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421935/Desktop/eLife/"/>
    </mc:Choice>
  </mc:AlternateContent>
  <xr:revisionPtr revIDLastSave="0" documentId="13_ncr:1_{0059F723-3F71-5543-AC66-E8EEA7477CC8}" xr6:coauthVersionLast="47" xr6:coauthVersionMax="47" xr10:uidLastSave="{00000000-0000-0000-0000-000000000000}"/>
  <bookViews>
    <workbookView xWindow="9460" yWindow="760" windowWidth="26440" windowHeight="15420" xr2:uid="{4906DC9F-82BF-5F4B-869F-3ED2AB71113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75" i="1" l="1"/>
  <c r="N375" i="1"/>
  <c r="M375" i="1"/>
  <c r="L375" i="1"/>
  <c r="K375" i="1"/>
  <c r="J375" i="1"/>
  <c r="I375" i="1"/>
  <c r="H375" i="1"/>
  <c r="G375" i="1"/>
  <c r="F375" i="1"/>
  <c r="E375" i="1"/>
  <c r="O374" i="1"/>
  <c r="N374" i="1"/>
  <c r="M374" i="1"/>
  <c r="L374" i="1"/>
  <c r="K374" i="1"/>
  <c r="J374" i="1"/>
  <c r="I374" i="1"/>
  <c r="H374" i="1"/>
  <c r="G374" i="1"/>
  <c r="F374" i="1"/>
  <c r="E374" i="1"/>
  <c r="O373" i="1"/>
  <c r="N373" i="1"/>
  <c r="M373" i="1"/>
  <c r="L373" i="1"/>
  <c r="K373" i="1"/>
  <c r="J373" i="1"/>
  <c r="I373" i="1"/>
  <c r="H373" i="1"/>
  <c r="G373" i="1"/>
  <c r="F373" i="1"/>
  <c r="E373" i="1"/>
  <c r="O372" i="1"/>
  <c r="N372" i="1"/>
  <c r="M372" i="1"/>
  <c r="L372" i="1"/>
  <c r="K372" i="1"/>
  <c r="J372" i="1"/>
  <c r="I372" i="1"/>
  <c r="H372" i="1"/>
  <c r="G372" i="1"/>
  <c r="F372" i="1"/>
  <c r="E372" i="1"/>
  <c r="O371" i="1"/>
  <c r="N371" i="1"/>
  <c r="M371" i="1"/>
  <c r="L371" i="1"/>
  <c r="K371" i="1"/>
  <c r="J371" i="1"/>
  <c r="I371" i="1"/>
  <c r="H371" i="1"/>
  <c r="G371" i="1"/>
  <c r="F371" i="1"/>
  <c r="E371" i="1"/>
  <c r="O370" i="1"/>
  <c r="N370" i="1"/>
  <c r="M370" i="1"/>
  <c r="L370" i="1"/>
  <c r="K370" i="1"/>
  <c r="J370" i="1"/>
  <c r="I370" i="1"/>
  <c r="H370" i="1"/>
  <c r="G370" i="1"/>
  <c r="F370" i="1"/>
  <c r="E370" i="1"/>
  <c r="O368" i="1"/>
  <c r="N368" i="1"/>
  <c r="M368" i="1"/>
  <c r="L368" i="1"/>
  <c r="K368" i="1"/>
  <c r="J368" i="1"/>
  <c r="I368" i="1"/>
  <c r="H368" i="1"/>
  <c r="G368" i="1"/>
  <c r="F368" i="1"/>
  <c r="E368" i="1"/>
  <c r="O367" i="1"/>
  <c r="N367" i="1"/>
  <c r="M367" i="1"/>
  <c r="L367" i="1"/>
  <c r="K367" i="1"/>
  <c r="J367" i="1"/>
  <c r="I367" i="1"/>
  <c r="H367" i="1"/>
  <c r="G367" i="1"/>
  <c r="F367" i="1"/>
  <c r="E367" i="1"/>
  <c r="O366" i="1"/>
  <c r="N366" i="1"/>
  <c r="M366" i="1"/>
  <c r="L366" i="1"/>
  <c r="K366" i="1"/>
  <c r="J366" i="1"/>
  <c r="I366" i="1"/>
  <c r="H366" i="1"/>
  <c r="G366" i="1"/>
  <c r="F366" i="1"/>
  <c r="E366" i="1"/>
  <c r="O365" i="1"/>
  <c r="N365" i="1"/>
  <c r="M365" i="1"/>
  <c r="L365" i="1"/>
  <c r="K365" i="1"/>
  <c r="J365" i="1"/>
  <c r="I365" i="1"/>
  <c r="H365" i="1"/>
  <c r="G365" i="1"/>
  <c r="F365" i="1"/>
  <c r="E365" i="1"/>
  <c r="O364" i="1"/>
  <c r="N364" i="1"/>
  <c r="M364" i="1"/>
  <c r="L364" i="1"/>
  <c r="K364" i="1"/>
  <c r="J364" i="1"/>
  <c r="I364" i="1"/>
  <c r="H364" i="1"/>
  <c r="G364" i="1"/>
  <c r="F364" i="1"/>
  <c r="E364" i="1"/>
  <c r="O363" i="1"/>
  <c r="N363" i="1"/>
  <c r="M363" i="1"/>
  <c r="L363" i="1"/>
  <c r="K363" i="1"/>
  <c r="J363" i="1"/>
  <c r="I363" i="1"/>
  <c r="H363" i="1"/>
  <c r="G363" i="1"/>
  <c r="F363" i="1"/>
  <c r="E363" i="1"/>
  <c r="O362" i="1"/>
  <c r="N362" i="1"/>
  <c r="M362" i="1"/>
  <c r="L362" i="1"/>
  <c r="K362" i="1"/>
  <c r="J362" i="1"/>
  <c r="I362" i="1"/>
  <c r="H362" i="1"/>
  <c r="G362" i="1"/>
  <c r="F362" i="1"/>
  <c r="E362" i="1"/>
  <c r="O361" i="1"/>
  <c r="N361" i="1"/>
  <c r="M361" i="1"/>
  <c r="L361" i="1"/>
  <c r="K361" i="1"/>
  <c r="J361" i="1"/>
  <c r="I361" i="1"/>
  <c r="H361" i="1"/>
  <c r="G361" i="1"/>
  <c r="F361" i="1"/>
  <c r="E361" i="1"/>
  <c r="O360" i="1"/>
  <c r="N360" i="1"/>
  <c r="M360" i="1"/>
  <c r="L360" i="1"/>
  <c r="K360" i="1"/>
  <c r="J360" i="1"/>
  <c r="I360" i="1"/>
  <c r="H360" i="1"/>
  <c r="G360" i="1"/>
  <c r="F360" i="1"/>
  <c r="E360" i="1"/>
  <c r="O359" i="1"/>
  <c r="N359" i="1"/>
  <c r="M359" i="1"/>
  <c r="L359" i="1"/>
  <c r="K359" i="1"/>
  <c r="J359" i="1"/>
  <c r="I359" i="1"/>
  <c r="H359" i="1"/>
  <c r="G359" i="1"/>
  <c r="F359" i="1"/>
  <c r="E359" i="1"/>
  <c r="O358" i="1"/>
  <c r="N358" i="1"/>
  <c r="M358" i="1"/>
  <c r="L358" i="1"/>
  <c r="K358" i="1"/>
  <c r="J358" i="1"/>
  <c r="I358" i="1"/>
  <c r="H358" i="1"/>
  <c r="G358" i="1"/>
  <c r="F358" i="1"/>
  <c r="E358" i="1"/>
  <c r="O357" i="1"/>
  <c r="N357" i="1"/>
  <c r="M357" i="1"/>
  <c r="L357" i="1"/>
  <c r="K357" i="1"/>
  <c r="J357" i="1"/>
  <c r="I357" i="1"/>
  <c r="H357" i="1"/>
  <c r="G357" i="1"/>
  <c r="F357" i="1"/>
  <c r="E357" i="1"/>
  <c r="O356" i="1"/>
  <c r="N356" i="1"/>
  <c r="M356" i="1"/>
  <c r="L356" i="1"/>
  <c r="K356" i="1"/>
  <c r="J356" i="1"/>
  <c r="I356" i="1"/>
  <c r="H356" i="1"/>
  <c r="G356" i="1"/>
  <c r="F356" i="1"/>
  <c r="E356" i="1"/>
  <c r="O355" i="1"/>
  <c r="N355" i="1"/>
  <c r="M355" i="1"/>
  <c r="L355" i="1"/>
  <c r="K355" i="1"/>
  <c r="J355" i="1"/>
  <c r="I355" i="1"/>
  <c r="H355" i="1"/>
  <c r="G355" i="1"/>
  <c r="F355" i="1"/>
  <c r="E355" i="1"/>
  <c r="O354" i="1"/>
  <c r="N354" i="1"/>
  <c r="M354" i="1"/>
  <c r="L354" i="1"/>
  <c r="K354" i="1"/>
  <c r="J354" i="1"/>
  <c r="I354" i="1"/>
  <c r="H354" i="1"/>
  <c r="G354" i="1"/>
  <c r="F354" i="1"/>
  <c r="E354" i="1"/>
  <c r="O353" i="1"/>
  <c r="N353" i="1"/>
  <c r="M353" i="1"/>
  <c r="L353" i="1"/>
  <c r="K353" i="1"/>
  <c r="J353" i="1"/>
  <c r="I353" i="1"/>
  <c r="H353" i="1"/>
  <c r="G353" i="1"/>
  <c r="F353" i="1"/>
  <c r="E353" i="1"/>
  <c r="O352" i="1"/>
  <c r="N352" i="1"/>
  <c r="M352" i="1"/>
  <c r="L352" i="1"/>
  <c r="K352" i="1"/>
  <c r="J352" i="1"/>
  <c r="I352" i="1"/>
  <c r="H352" i="1"/>
  <c r="G352" i="1"/>
  <c r="F352" i="1"/>
  <c r="E352" i="1"/>
  <c r="O351" i="1"/>
  <c r="N351" i="1"/>
  <c r="M351" i="1"/>
  <c r="L351" i="1"/>
  <c r="K351" i="1"/>
  <c r="J351" i="1"/>
  <c r="I351" i="1"/>
  <c r="H351" i="1"/>
  <c r="G351" i="1"/>
  <c r="F351" i="1"/>
  <c r="E351" i="1"/>
  <c r="O350" i="1"/>
  <c r="N350" i="1"/>
  <c r="M350" i="1"/>
  <c r="L350" i="1"/>
  <c r="K350" i="1"/>
  <c r="J350" i="1"/>
  <c r="I350" i="1"/>
  <c r="H350" i="1"/>
  <c r="G350" i="1"/>
  <c r="F350" i="1"/>
  <c r="E350" i="1"/>
  <c r="O349" i="1"/>
  <c r="N349" i="1"/>
  <c r="M349" i="1"/>
  <c r="L349" i="1"/>
  <c r="K349" i="1"/>
  <c r="J349" i="1"/>
  <c r="I349" i="1"/>
  <c r="H349" i="1"/>
  <c r="G349" i="1"/>
  <c r="F349" i="1"/>
  <c r="E349" i="1"/>
  <c r="O348" i="1"/>
  <c r="N348" i="1"/>
  <c r="M348" i="1"/>
  <c r="L348" i="1"/>
  <c r="K348" i="1"/>
  <c r="J348" i="1"/>
  <c r="I348" i="1"/>
  <c r="H348" i="1"/>
  <c r="G348" i="1"/>
  <c r="F348" i="1"/>
  <c r="E348" i="1"/>
  <c r="O347" i="1"/>
  <c r="N347" i="1"/>
  <c r="M347" i="1"/>
  <c r="L347" i="1"/>
  <c r="K347" i="1"/>
  <c r="J347" i="1"/>
  <c r="I347" i="1"/>
  <c r="H347" i="1"/>
  <c r="G347" i="1"/>
  <c r="F347" i="1"/>
  <c r="E347" i="1"/>
  <c r="O346" i="1"/>
  <c r="N346" i="1"/>
  <c r="M346" i="1"/>
  <c r="L346" i="1"/>
  <c r="K346" i="1"/>
  <c r="J346" i="1"/>
  <c r="I346" i="1"/>
  <c r="H346" i="1"/>
  <c r="G346" i="1"/>
  <c r="F346" i="1"/>
  <c r="E346" i="1"/>
  <c r="O345" i="1"/>
  <c r="N345" i="1"/>
  <c r="M345" i="1"/>
  <c r="L345" i="1"/>
  <c r="K345" i="1"/>
  <c r="J345" i="1"/>
  <c r="I345" i="1"/>
  <c r="H345" i="1"/>
  <c r="G345" i="1"/>
  <c r="F345" i="1"/>
  <c r="E345" i="1"/>
  <c r="G344" i="1"/>
  <c r="H344" i="1" s="1"/>
  <c r="I344" i="1" s="1"/>
  <c r="J344" i="1" s="1"/>
  <c r="K344" i="1" s="1"/>
  <c r="L344" i="1" s="1"/>
  <c r="M344" i="1" s="1"/>
  <c r="N344" i="1" s="1"/>
  <c r="O344" i="1" s="1"/>
  <c r="F344" i="1"/>
  <c r="L343" i="1"/>
  <c r="M343" i="1" s="1"/>
  <c r="N343" i="1" s="1"/>
  <c r="K343" i="1"/>
  <c r="J343" i="1"/>
  <c r="M302" i="1"/>
  <c r="L302" i="1"/>
  <c r="K302" i="1"/>
  <c r="J302" i="1"/>
  <c r="I302" i="1"/>
  <c r="H302" i="1"/>
  <c r="G302" i="1"/>
  <c r="F302" i="1"/>
  <c r="E302" i="1"/>
  <c r="D302" i="1"/>
  <c r="C302" i="1"/>
  <c r="B302" i="1"/>
  <c r="J293" i="1"/>
  <c r="I293" i="1"/>
  <c r="H293" i="1"/>
  <c r="G293" i="1"/>
  <c r="F293" i="1"/>
  <c r="E293" i="1"/>
  <c r="D293" i="1"/>
  <c r="C293" i="1"/>
  <c r="B293" i="1"/>
  <c r="J285" i="1"/>
  <c r="I285" i="1"/>
  <c r="H285" i="1"/>
  <c r="G285" i="1"/>
  <c r="F285" i="1"/>
  <c r="E285" i="1"/>
  <c r="D285" i="1"/>
  <c r="C285" i="1"/>
  <c r="B285" i="1"/>
  <c r="J277" i="1"/>
  <c r="I277" i="1"/>
  <c r="H277" i="1"/>
  <c r="G277" i="1"/>
  <c r="F277" i="1"/>
  <c r="E277" i="1"/>
  <c r="D277" i="1"/>
  <c r="C277" i="1"/>
  <c r="B277" i="1"/>
  <c r="J268" i="1"/>
  <c r="I268" i="1"/>
  <c r="H268" i="1"/>
  <c r="G268" i="1"/>
  <c r="F268" i="1"/>
  <c r="E268" i="1"/>
  <c r="D268" i="1"/>
  <c r="C268" i="1"/>
  <c r="B268" i="1"/>
  <c r="J260" i="1"/>
  <c r="I260" i="1"/>
  <c r="H260" i="1"/>
  <c r="G260" i="1"/>
  <c r="F260" i="1"/>
  <c r="E260" i="1"/>
  <c r="D260" i="1"/>
  <c r="C260" i="1"/>
  <c r="B260" i="1"/>
  <c r="J252" i="1"/>
  <c r="I252" i="1"/>
  <c r="H252" i="1"/>
  <c r="G252" i="1"/>
  <c r="F252" i="1"/>
  <c r="E252" i="1"/>
  <c r="D252" i="1"/>
  <c r="C252" i="1"/>
  <c r="B252" i="1"/>
  <c r="J243" i="1"/>
  <c r="I243" i="1"/>
  <c r="H243" i="1"/>
  <c r="G243" i="1"/>
  <c r="F243" i="1"/>
  <c r="E243" i="1"/>
  <c r="D243" i="1"/>
  <c r="C243" i="1"/>
  <c r="B243" i="1"/>
  <c r="J235" i="1"/>
  <c r="I235" i="1"/>
  <c r="H235" i="1"/>
  <c r="G235" i="1"/>
  <c r="F235" i="1"/>
  <c r="E235" i="1"/>
  <c r="D235" i="1"/>
  <c r="C235" i="1"/>
  <c r="B235" i="1"/>
  <c r="J226" i="1"/>
  <c r="I226" i="1"/>
  <c r="H226" i="1"/>
  <c r="G226" i="1"/>
  <c r="F226" i="1"/>
  <c r="E226" i="1"/>
  <c r="D226" i="1"/>
  <c r="C226" i="1"/>
  <c r="B226" i="1"/>
  <c r="J218" i="1"/>
  <c r="I218" i="1"/>
  <c r="H218" i="1"/>
  <c r="G218" i="1"/>
  <c r="F218" i="1"/>
  <c r="E218" i="1"/>
  <c r="D218" i="1"/>
  <c r="C218" i="1"/>
  <c r="B218" i="1"/>
  <c r="J210" i="1"/>
  <c r="I210" i="1"/>
  <c r="H210" i="1"/>
  <c r="G210" i="1"/>
  <c r="F210" i="1"/>
  <c r="E210" i="1"/>
  <c r="D210" i="1"/>
  <c r="C210" i="1"/>
  <c r="B210" i="1"/>
  <c r="J201" i="1"/>
  <c r="I201" i="1"/>
  <c r="H201" i="1"/>
  <c r="G201" i="1"/>
  <c r="F201" i="1"/>
  <c r="E201" i="1"/>
  <c r="D201" i="1"/>
  <c r="C201" i="1"/>
  <c r="B201" i="1"/>
  <c r="J193" i="1"/>
  <c r="I193" i="1"/>
  <c r="H193" i="1"/>
  <c r="G193" i="1"/>
  <c r="F193" i="1"/>
  <c r="E193" i="1"/>
  <c r="D193" i="1"/>
  <c r="C193" i="1"/>
  <c r="B193" i="1"/>
  <c r="M181" i="1"/>
  <c r="L181" i="1"/>
  <c r="K181" i="1"/>
  <c r="J181" i="1"/>
  <c r="I181" i="1"/>
  <c r="H181" i="1"/>
  <c r="G181" i="1"/>
  <c r="F181" i="1"/>
  <c r="E181" i="1"/>
  <c r="D181" i="1"/>
  <c r="C181" i="1"/>
  <c r="B181" i="1"/>
  <c r="J172" i="1"/>
  <c r="I172" i="1"/>
  <c r="H172" i="1"/>
  <c r="G172" i="1"/>
  <c r="F172" i="1"/>
  <c r="E172" i="1"/>
  <c r="D172" i="1"/>
  <c r="C172" i="1"/>
  <c r="B172" i="1"/>
  <c r="J164" i="1"/>
  <c r="I164" i="1"/>
  <c r="H164" i="1"/>
  <c r="G164" i="1"/>
  <c r="F164" i="1"/>
  <c r="E164" i="1"/>
  <c r="D164" i="1"/>
  <c r="C164" i="1"/>
  <c r="B164" i="1"/>
  <c r="J156" i="1"/>
  <c r="I156" i="1"/>
  <c r="H156" i="1"/>
  <c r="G156" i="1"/>
  <c r="F156" i="1"/>
  <c r="E156" i="1"/>
  <c r="D156" i="1"/>
  <c r="C156" i="1"/>
  <c r="B156" i="1"/>
  <c r="J147" i="1"/>
  <c r="I147" i="1"/>
  <c r="H147" i="1"/>
  <c r="G147" i="1"/>
  <c r="F147" i="1"/>
  <c r="E147" i="1"/>
  <c r="D147" i="1"/>
  <c r="C147" i="1"/>
  <c r="B147" i="1"/>
  <c r="J139" i="1"/>
  <c r="I139" i="1"/>
  <c r="H139" i="1"/>
  <c r="G139" i="1"/>
  <c r="F139" i="1"/>
  <c r="E139" i="1"/>
  <c r="D139" i="1"/>
  <c r="C139" i="1"/>
  <c r="B139" i="1"/>
  <c r="J131" i="1"/>
  <c r="I131" i="1"/>
  <c r="H131" i="1"/>
  <c r="G131" i="1"/>
  <c r="F131" i="1"/>
  <c r="E131" i="1"/>
  <c r="D131" i="1"/>
  <c r="C131" i="1"/>
  <c r="B131" i="1"/>
  <c r="J122" i="1"/>
  <c r="I122" i="1"/>
  <c r="H122" i="1"/>
  <c r="G122" i="1"/>
  <c r="F122" i="1"/>
  <c r="E122" i="1"/>
  <c r="D122" i="1"/>
  <c r="C122" i="1"/>
  <c r="B122" i="1"/>
  <c r="J114" i="1"/>
  <c r="I114" i="1"/>
  <c r="H114" i="1"/>
  <c r="G114" i="1"/>
  <c r="F114" i="1"/>
  <c r="E114" i="1"/>
  <c r="D114" i="1"/>
  <c r="C114" i="1"/>
  <c r="B114" i="1"/>
  <c r="J105" i="1"/>
  <c r="I105" i="1"/>
  <c r="H105" i="1"/>
  <c r="G105" i="1"/>
  <c r="F105" i="1"/>
  <c r="E105" i="1"/>
  <c r="D105" i="1"/>
  <c r="C105" i="1"/>
  <c r="B105" i="1"/>
  <c r="J97" i="1"/>
  <c r="I97" i="1"/>
  <c r="H97" i="1"/>
  <c r="G97" i="1"/>
  <c r="F97" i="1"/>
  <c r="E97" i="1"/>
  <c r="D97" i="1"/>
  <c r="C97" i="1"/>
  <c r="B97" i="1"/>
  <c r="J89" i="1"/>
  <c r="I89" i="1"/>
  <c r="H89" i="1"/>
  <c r="G89" i="1"/>
  <c r="F89" i="1"/>
  <c r="E89" i="1"/>
  <c r="D89" i="1"/>
  <c r="C89" i="1"/>
  <c r="B89" i="1"/>
  <c r="J80" i="1"/>
  <c r="I80" i="1"/>
  <c r="H80" i="1"/>
  <c r="G80" i="1"/>
  <c r="F80" i="1"/>
  <c r="E80" i="1"/>
  <c r="D80" i="1"/>
  <c r="C80" i="1"/>
  <c r="B80" i="1"/>
  <c r="J72" i="1"/>
  <c r="I72" i="1"/>
  <c r="H72" i="1"/>
  <c r="G72" i="1"/>
  <c r="F72" i="1"/>
  <c r="E72" i="1"/>
  <c r="D72" i="1"/>
  <c r="C72" i="1"/>
  <c r="B72" i="1"/>
  <c r="AC60" i="1"/>
  <c r="AB60" i="1"/>
  <c r="AA60" i="1"/>
  <c r="Z60" i="1"/>
  <c r="Y60" i="1"/>
  <c r="AC59" i="1"/>
  <c r="AB59" i="1"/>
  <c r="AA59" i="1"/>
  <c r="Z59" i="1"/>
  <c r="Y59" i="1"/>
  <c r="AC58" i="1"/>
  <c r="AB58" i="1"/>
  <c r="AA58" i="1"/>
  <c r="Z58" i="1"/>
  <c r="Y58" i="1"/>
  <c r="AC57" i="1"/>
  <c r="AB57" i="1"/>
  <c r="AA57" i="1"/>
  <c r="Z57" i="1"/>
  <c r="Y57" i="1"/>
  <c r="AC56" i="1"/>
  <c r="AB56" i="1"/>
  <c r="AA56" i="1"/>
  <c r="Z56" i="1"/>
  <c r="Y56" i="1"/>
  <c r="AC55" i="1"/>
  <c r="AB55" i="1"/>
  <c r="AA55" i="1"/>
  <c r="Z55" i="1"/>
  <c r="Y55" i="1"/>
  <c r="AC54" i="1"/>
  <c r="AB54" i="1"/>
  <c r="AA54" i="1"/>
  <c r="Z54" i="1"/>
  <c r="Y54" i="1"/>
  <c r="AC53" i="1"/>
  <c r="AB53" i="1"/>
  <c r="AA53" i="1"/>
  <c r="Z53" i="1"/>
  <c r="Y53" i="1"/>
  <c r="AC52" i="1"/>
  <c r="AB52" i="1"/>
  <c r="AA52" i="1"/>
  <c r="Z52" i="1"/>
  <c r="Y52" i="1"/>
  <c r="AC48" i="1"/>
  <c r="AB48" i="1"/>
  <c r="AA48" i="1"/>
  <c r="Z48" i="1"/>
  <c r="Y48" i="1"/>
  <c r="AC47" i="1"/>
  <c r="AB47" i="1"/>
  <c r="AA47" i="1"/>
  <c r="Z47" i="1"/>
  <c r="Y47" i="1"/>
  <c r="AC46" i="1"/>
  <c r="AB46" i="1"/>
  <c r="AA46" i="1"/>
  <c r="Z46" i="1"/>
  <c r="Y46" i="1"/>
  <c r="AC45" i="1"/>
  <c r="AB45" i="1"/>
  <c r="AA45" i="1"/>
  <c r="Z45" i="1"/>
  <c r="Y45" i="1"/>
  <c r="AC44" i="1"/>
  <c r="AB44" i="1"/>
  <c r="AA44" i="1"/>
  <c r="Z44" i="1"/>
  <c r="Y44" i="1"/>
  <c r="AC43" i="1"/>
  <c r="AB43" i="1"/>
  <c r="AA43" i="1"/>
  <c r="Z43" i="1"/>
  <c r="Y43" i="1"/>
  <c r="AC42" i="1"/>
  <c r="AB42" i="1"/>
  <c r="AA42" i="1"/>
  <c r="Z42" i="1"/>
  <c r="Y42" i="1"/>
  <c r="AC41" i="1"/>
  <c r="AB41" i="1"/>
  <c r="AA41" i="1"/>
  <c r="Z41" i="1"/>
  <c r="Y41" i="1"/>
  <c r="AC40" i="1"/>
  <c r="AB40" i="1"/>
  <c r="AA40" i="1"/>
  <c r="Z40" i="1"/>
  <c r="Y40" i="1"/>
  <c r="W32" i="1"/>
  <c r="V32" i="1"/>
  <c r="U32" i="1"/>
  <c r="K32" i="1"/>
  <c r="J32" i="1"/>
  <c r="I32" i="1"/>
  <c r="W31" i="1"/>
  <c r="V31" i="1"/>
  <c r="U31" i="1"/>
  <c r="K31" i="1"/>
  <c r="J31" i="1"/>
  <c r="I31" i="1"/>
  <c r="W30" i="1"/>
  <c r="V30" i="1"/>
  <c r="U30" i="1"/>
  <c r="K30" i="1"/>
  <c r="J30" i="1"/>
  <c r="I30" i="1"/>
  <c r="W29" i="1"/>
  <c r="V29" i="1"/>
  <c r="U29" i="1"/>
  <c r="K29" i="1"/>
  <c r="J29" i="1"/>
  <c r="I29" i="1"/>
  <c r="W28" i="1"/>
  <c r="V28" i="1"/>
  <c r="U28" i="1"/>
  <c r="K28" i="1"/>
  <c r="J28" i="1"/>
  <c r="I28" i="1"/>
  <c r="W27" i="1"/>
  <c r="V27" i="1"/>
  <c r="U27" i="1"/>
  <c r="K27" i="1"/>
  <c r="J27" i="1"/>
  <c r="I27" i="1"/>
  <c r="W26" i="1"/>
  <c r="V26" i="1"/>
  <c r="U26" i="1"/>
  <c r="K26" i="1"/>
  <c r="J26" i="1"/>
  <c r="I26" i="1"/>
  <c r="W25" i="1"/>
  <c r="V25" i="1"/>
  <c r="U25" i="1"/>
  <c r="K25" i="1"/>
  <c r="J25" i="1"/>
  <c r="I25" i="1"/>
  <c r="W24" i="1"/>
  <c r="V24" i="1"/>
  <c r="U24" i="1"/>
  <c r="K24" i="1"/>
  <c r="J24" i="1"/>
  <c r="I24" i="1"/>
  <c r="W21" i="1"/>
  <c r="V21" i="1"/>
  <c r="U21" i="1"/>
  <c r="K21" i="1"/>
  <c r="J21" i="1"/>
  <c r="I21" i="1"/>
  <c r="W20" i="1"/>
  <c r="V20" i="1"/>
  <c r="U20" i="1"/>
  <c r="K20" i="1"/>
  <c r="J20" i="1"/>
  <c r="I20" i="1"/>
  <c r="W19" i="1"/>
  <c r="V19" i="1"/>
  <c r="U19" i="1"/>
  <c r="K19" i="1"/>
  <c r="J19" i="1"/>
  <c r="I19" i="1"/>
  <c r="W18" i="1"/>
  <c r="V18" i="1"/>
  <c r="U18" i="1"/>
  <c r="K18" i="1"/>
  <c r="J18" i="1"/>
  <c r="I18" i="1"/>
  <c r="W17" i="1"/>
  <c r="V17" i="1"/>
  <c r="U17" i="1"/>
  <c r="K17" i="1"/>
  <c r="J17" i="1"/>
  <c r="I17" i="1"/>
  <c r="W16" i="1"/>
  <c r="V16" i="1"/>
  <c r="U16" i="1"/>
  <c r="K16" i="1"/>
  <c r="J16" i="1"/>
  <c r="I16" i="1"/>
  <c r="W15" i="1"/>
  <c r="V15" i="1"/>
  <c r="U15" i="1"/>
  <c r="K15" i="1"/>
  <c r="J15" i="1"/>
  <c r="I15" i="1"/>
  <c r="W14" i="1"/>
  <c r="V14" i="1"/>
  <c r="U14" i="1"/>
  <c r="K14" i="1"/>
  <c r="J14" i="1"/>
  <c r="I14" i="1"/>
  <c r="W13" i="1"/>
  <c r="V13" i="1"/>
  <c r="U13" i="1"/>
  <c r="K13" i="1"/>
  <c r="J13" i="1"/>
  <c r="I13" i="1"/>
</calcChain>
</file>

<file path=xl/sharedStrings.xml><?xml version="1.0" encoding="utf-8"?>
<sst xmlns="http://schemas.openxmlformats.org/spreadsheetml/2006/main" count="428" uniqueCount="63">
  <si>
    <t>Figure 2A</t>
  </si>
  <si>
    <t>Schematic</t>
  </si>
  <si>
    <t>Figure 2B</t>
  </si>
  <si>
    <t>Experiment 1 (2019_0917)</t>
  </si>
  <si>
    <t>RagKO</t>
  </si>
  <si>
    <t>Wild-type</t>
  </si>
  <si>
    <t>KP-HetHigh</t>
  </si>
  <si>
    <t>Date</t>
  </si>
  <si>
    <t>Day</t>
  </si>
  <si>
    <t>L1</t>
  </si>
  <si>
    <t>W1</t>
  </si>
  <si>
    <t>L2</t>
  </si>
  <si>
    <t>W2</t>
  </si>
  <si>
    <t>L3</t>
  </si>
  <si>
    <t>W3</t>
  </si>
  <si>
    <t>A1</t>
  </si>
  <si>
    <t>A2</t>
  </si>
  <si>
    <t>A3</t>
  </si>
  <si>
    <t>KP-HetLow</t>
  </si>
  <si>
    <t>Experiment 2 (2021_0706)</t>
  </si>
  <si>
    <t>L4</t>
  </si>
  <si>
    <t>W4</t>
  </si>
  <si>
    <t>L5</t>
  </si>
  <si>
    <t>W5</t>
  </si>
  <si>
    <t>A4</t>
  </si>
  <si>
    <t>A5</t>
  </si>
  <si>
    <t>Figure 2C</t>
  </si>
  <si>
    <t>ADPGK RESPONSE</t>
  </si>
  <si>
    <t>Experiment 1 (2019_1020)</t>
  </si>
  <si>
    <t>Day 7</t>
  </si>
  <si>
    <t>KP-Adpgk</t>
  </si>
  <si>
    <t>Background replicate 1</t>
  </si>
  <si>
    <t>Peptide 1</t>
  </si>
  <si>
    <t>Peptide 2</t>
  </si>
  <si>
    <t>Avg peptide - Avg Background</t>
  </si>
  <si>
    <t>Day 10</t>
  </si>
  <si>
    <t>Experiment 2 (2019_1211)</t>
  </si>
  <si>
    <t>Day 14</t>
  </si>
  <si>
    <t>Experiment 3 (2020_0303)</t>
  </si>
  <si>
    <t>Experiment 4 (2020_0822)</t>
  </si>
  <si>
    <t>Experiment 5 (2020_1201)</t>
  </si>
  <si>
    <t>Experiment 6</t>
  </si>
  <si>
    <t>Figure 2D</t>
  </si>
  <si>
    <t>AATF RESPONSE</t>
  </si>
  <si>
    <t>KP-Aatf</t>
  </si>
  <si>
    <t xml:space="preserve">Experiment 6 </t>
  </si>
  <si>
    <t>Experiment 1</t>
  </si>
  <si>
    <t xml:space="preserve">Tumor </t>
  </si>
  <si>
    <t>#</t>
  </si>
  <si>
    <t>Group</t>
  </si>
  <si>
    <t>Tumor</t>
  </si>
  <si>
    <t xml:space="preserve">Donor: naïve </t>
  </si>
  <si>
    <t>Aatf (right flank)</t>
  </si>
  <si>
    <t>Adpgk (left flank)</t>
  </si>
  <si>
    <t>Donor: Het High
(Adpgk | Aatf)</t>
  </si>
  <si>
    <t>Donor: Het Low 
(Adpgk- Aatf)</t>
  </si>
  <si>
    <t>Means: Aatf</t>
  </si>
  <si>
    <t>Naïve</t>
  </si>
  <si>
    <t>HetHigh</t>
  </si>
  <si>
    <t>HetLow</t>
  </si>
  <si>
    <t>Means: Adpgk</t>
  </si>
  <si>
    <t>Experiment 2</t>
  </si>
  <si>
    <t>Figure 2E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</si>
</sst>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4C6E7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46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15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16" fontId="3" fillId="0" borderId="0" xfId="0" applyNumberFormat="1" applyFont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 applyAlignment="1">
      <alignment horizontal="center" vertical="center"/>
    </xf>
    <xf numFmtId="16" fontId="0" fillId="0" borderId="0" xfId="0" applyNumberFormat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3" borderId="0" xfId="0" applyFill="1" applyAlignment="1">
      <alignment horizontal="center"/>
    </xf>
    <xf numFmtId="16" fontId="0" fillId="3" borderId="0" xfId="0" applyNumberFormat="1" applyFill="1" applyAlignment="1">
      <alignment horizontal="center"/>
    </xf>
    <xf numFmtId="0" fontId="0" fillId="0" borderId="0" xfId="0" applyAlignment="1">
      <alignment vertical="center" wrapText="1"/>
    </xf>
    <xf numFmtId="2" fontId="0" fillId="3" borderId="0" xfId="0" applyNumberFormat="1" applyFill="1" applyAlignment="1">
      <alignment horizontal="center"/>
    </xf>
    <xf numFmtId="2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0" fillId="5" borderId="0" xfId="0" applyFill="1" applyAlignment="1">
      <alignment horizontal="center"/>
    </xf>
    <xf numFmtId="0" fontId="4" fillId="0" borderId="0" xfId="0" applyFont="1"/>
    <xf numFmtId="0" fontId="5" fillId="0" borderId="0" xfId="0" applyFont="1"/>
    <xf numFmtId="0" fontId="1" fillId="6" borderId="0" xfId="0" applyFont="1" applyFill="1"/>
    <xf numFmtId="0" fontId="0" fillId="6" borderId="0" xfId="0" applyFill="1"/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4" xfId="1" applyBorder="1" applyAlignment="1">
      <alignment horizontal="center" vertical="center"/>
    </xf>
    <xf numFmtId="0" fontId="6" fillId="0" borderId="15" xfId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6" fillId="0" borderId="16" xfId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" fillId="0" borderId="17" xfId="1" applyBorder="1" applyAlignment="1">
      <alignment horizontal="center" vertical="center"/>
    </xf>
    <xf numFmtId="0" fontId="6" fillId="0" borderId="18" xfId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8" fillId="8" borderId="21" xfId="0" applyFont="1" applyFill="1" applyBorder="1" applyAlignment="1">
      <alignment horizontal="center"/>
    </xf>
    <xf numFmtId="0" fontId="8" fillId="8" borderId="22" xfId="0" applyFont="1" applyFill="1" applyBorder="1" applyAlignment="1">
      <alignment horizontal="center"/>
    </xf>
    <xf numFmtId="0" fontId="7" fillId="7" borderId="23" xfId="0" applyFont="1" applyFill="1" applyBorder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7" fillId="8" borderId="0" xfId="0" applyFont="1" applyFill="1" applyAlignment="1">
      <alignment horizontal="center"/>
    </xf>
    <xf numFmtId="0" fontId="7" fillId="8" borderId="24" xfId="0" applyFont="1" applyFill="1" applyBorder="1" applyAlignment="1">
      <alignment horizontal="center"/>
    </xf>
    <xf numFmtId="0" fontId="7" fillId="7" borderId="25" xfId="0" applyFont="1" applyFill="1" applyBorder="1" applyAlignment="1">
      <alignment horizontal="center" vertical="center"/>
    </xf>
    <xf numFmtId="0" fontId="7" fillId="7" borderId="26" xfId="0" applyFont="1" applyFill="1" applyBorder="1" applyAlignment="1">
      <alignment horizontal="center" vertical="center"/>
    </xf>
    <xf numFmtId="0" fontId="7" fillId="7" borderId="26" xfId="0" applyFont="1" applyFill="1" applyBorder="1" applyAlignment="1">
      <alignment horizontal="center" vertical="center"/>
    </xf>
    <xf numFmtId="14" fontId="7" fillId="8" borderId="0" xfId="0" applyNumberFormat="1" applyFont="1" applyFill="1" applyAlignment="1">
      <alignment horizontal="center"/>
    </xf>
    <xf numFmtId="14" fontId="7" fillId="8" borderId="24" xfId="0" applyNumberFormat="1" applyFont="1" applyFill="1" applyBorder="1" applyAlignment="1">
      <alignment horizontal="center"/>
    </xf>
    <xf numFmtId="0" fontId="7" fillId="9" borderId="27" xfId="0" applyFont="1" applyFill="1" applyBorder="1" applyAlignment="1">
      <alignment horizontal="center" vertical="center"/>
    </xf>
    <xf numFmtId="0" fontId="7" fillId="9" borderId="27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/>
    </xf>
    <xf numFmtId="2" fontId="8" fillId="0" borderId="28" xfId="0" applyNumberFormat="1" applyFont="1" applyBorder="1" applyAlignment="1">
      <alignment horizontal="center"/>
    </xf>
    <xf numFmtId="2" fontId="8" fillId="0" borderId="29" xfId="0" applyNumberFormat="1" applyFont="1" applyBorder="1" applyAlignment="1">
      <alignment horizontal="center"/>
    </xf>
    <xf numFmtId="0" fontId="7" fillId="9" borderId="30" xfId="0" applyFont="1" applyFill="1" applyBorder="1" applyAlignment="1">
      <alignment horizontal="center" vertical="center"/>
    </xf>
    <xf numFmtId="0" fontId="7" fillId="9" borderId="30" xfId="0" applyFont="1" applyFill="1" applyBorder="1" applyAlignment="1">
      <alignment horizontal="center" vertical="center" wrapText="1"/>
    </xf>
    <xf numFmtId="0" fontId="7" fillId="0" borderId="31" xfId="0" applyFont="1" applyBorder="1" applyAlignment="1">
      <alignment horizontal="center"/>
    </xf>
    <xf numFmtId="2" fontId="8" fillId="0" borderId="32" xfId="0" applyNumberFormat="1" applyFont="1" applyBorder="1" applyAlignment="1">
      <alignment horizontal="center"/>
    </xf>
    <xf numFmtId="2" fontId="8" fillId="0" borderId="33" xfId="0" applyNumberFormat="1" applyFont="1" applyBorder="1" applyAlignment="1">
      <alignment horizontal="center"/>
    </xf>
    <xf numFmtId="0" fontId="7" fillId="9" borderId="34" xfId="0" applyFont="1" applyFill="1" applyBorder="1" applyAlignment="1">
      <alignment horizontal="center" vertical="center" wrapText="1"/>
    </xf>
    <xf numFmtId="0" fontId="7" fillId="0" borderId="35" xfId="0" applyFont="1" applyBorder="1" applyAlignment="1">
      <alignment horizontal="center"/>
    </xf>
    <xf numFmtId="2" fontId="8" fillId="0" borderId="36" xfId="0" applyNumberFormat="1" applyFont="1" applyBorder="1" applyAlignment="1">
      <alignment horizontal="center"/>
    </xf>
    <xf numFmtId="2" fontId="8" fillId="0" borderId="37" xfId="0" applyNumberFormat="1" applyFont="1" applyBorder="1" applyAlignment="1">
      <alignment horizontal="center"/>
    </xf>
    <xf numFmtId="0" fontId="7" fillId="9" borderId="38" xfId="0" applyFont="1" applyFill="1" applyBorder="1" applyAlignment="1">
      <alignment horizontal="center" vertical="center" wrapText="1"/>
    </xf>
    <xf numFmtId="0" fontId="7" fillId="9" borderId="34" xfId="0" applyFont="1" applyFill="1" applyBorder="1" applyAlignment="1">
      <alignment horizontal="center" vertical="center"/>
    </xf>
    <xf numFmtId="0" fontId="7" fillId="10" borderId="38" xfId="0" applyFont="1" applyFill="1" applyBorder="1" applyAlignment="1">
      <alignment horizontal="center" vertical="center" wrapText="1"/>
    </xf>
    <xf numFmtId="0" fontId="7" fillId="10" borderId="30" xfId="0" applyFont="1" applyFill="1" applyBorder="1" applyAlignment="1">
      <alignment horizontal="center" vertical="center" wrapText="1"/>
    </xf>
    <xf numFmtId="0" fontId="7" fillId="10" borderId="34" xfId="0" applyFont="1" applyFill="1" applyBorder="1" applyAlignment="1">
      <alignment horizontal="center" vertical="center" wrapText="1"/>
    </xf>
    <xf numFmtId="0" fontId="7" fillId="11" borderId="38" xfId="0" applyFont="1" applyFill="1" applyBorder="1" applyAlignment="1">
      <alignment horizontal="center" vertical="center" wrapText="1"/>
    </xf>
    <xf numFmtId="0" fontId="7" fillId="11" borderId="30" xfId="0" applyFont="1" applyFill="1" applyBorder="1" applyAlignment="1">
      <alignment horizontal="center" vertical="center" wrapText="1"/>
    </xf>
    <xf numFmtId="0" fontId="7" fillId="11" borderId="34" xfId="0" applyFont="1" applyFill="1" applyBorder="1" applyAlignment="1">
      <alignment horizontal="center" vertical="center" wrapText="1"/>
    </xf>
    <xf numFmtId="0" fontId="8" fillId="0" borderId="0" xfId="0" applyFont="1"/>
    <xf numFmtId="0" fontId="4" fillId="0" borderId="20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/>
    </xf>
    <xf numFmtId="164" fontId="8" fillId="0" borderId="21" xfId="0" applyNumberFormat="1" applyFont="1" applyBorder="1" applyAlignment="1">
      <alignment horizontal="center"/>
    </xf>
    <xf numFmtId="164" fontId="8" fillId="0" borderId="39" xfId="0" applyNumberFormat="1" applyFont="1" applyBorder="1" applyAlignment="1">
      <alignment horizont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/>
    </xf>
    <xf numFmtId="164" fontId="8" fillId="0" borderId="23" xfId="0" applyNumberFormat="1" applyFont="1" applyBorder="1" applyAlignment="1">
      <alignment horizontal="center"/>
    </xf>
    <xf numFmtId="164" fontId="8" fillId="0" borderId="0" xfId="0" applyNumberFormat="1" applyFont="1" applyAlignment="1">
      <alignment horizontal="center"/>
    </xf>
    <xf numFmtId="164" fontId="8" fillId="0" borderId="24" xfId="0" applyNumberFormat="1" applyFont="1" applyBorder="1" applyAlignment="1">
      <alignment horizontal="center"/>
    </xf>
    <xf numFmtId="0" fontId="4" fillId="0" borderId="40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/>
    </xf>
    <xf numFmtId="164" fontId="8" fillId="0" borderId="26" xfId="0" applyNumberFormat="1" applyFont="1" applyBorder="1" applyAlignment="1">
      <alignment horizontal="center"/>
    </xf>
    <xf numFmtId="164" fontId="8" fillId="0" borderId="37" xfId="0" applyNumberFormat="1" applyFont="1" applyBorder="1" applyAlignment="1">
      <alignment horizontal="center"/>
    </xf>
    <xf numFmtId="0" fontId="4" fillId="0" borderId="41" xfId="0" applyFont="1" applyBorder="1" applyAlignment="1">
      <alignment horizontal="center" vertical="center"/>
    </xf>
    <xf numFmtId="0" fontId="9" fillId="12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9" fillId="12" borderId="21" xfId="0" applyFont="1" applyFill="1" applyBorder="1" applyAlignment="1">
      <alignment horizontal="center" vertical="center"/>
    </xf>
    <xf numFmtId="0" fontId="10" fillId="13" borderId="21" xfId="0" applyFont="1" applyFill="1" applyBorder="1" applyAlignment="1">
      <alignment horizontal="center"/>
    </xf>
    <xf numFmtId="0" fontId="0" fillId="0" borderId="39" xfId="0" applyBorder="1"/>
    <xf numFmtId="0" fontId="0" fillId="0" borderId="23" xfId="0" applyBorder="1" applyAlignment="1">
      <alignment horizontal="center" vertical="center"/>
    </xf>
    <xf numFmtId="0" fontId="9" fillId="12" borderId="0" xfId="0" applyFont="1" applyFill="1" applyAlignment="1">
      <alignment horizontal="center" vertical="center"/>
    </xf>
    <xf numFmtId="0" fontId="9" fillId="13" borderId="0" xfId="0" applyFont="1" applyFill="1" applyAlignment="1">
      <alignment horizontal="center"/>
    </xf>
    <xf numFmtId="0" fontId="9" fillId="13" borderId="24" xfId="0" applyFont="1" applyFill="1" applyBorder="1" applyAlignment="1">
      <alignment horizontal="center"/>
    </xf>
    <xf numFmtId="0" fontId="9" fillId="12" borderId="25" xfId="0" applyFont="1" applyFill="1" applyBorder="1" applyAlignment="1">
      <alignment horizontal="center" vertical="center"/>
    </xf>
    <xf numFmtId="0" fontId="9" fillId="12" borderId="26" xfId="0" applyFont="1" applyFill="1" applyBorder="1" applyAlignment="1">
      <alignment horizontal="center" vertical="center"/>
    </xf>
    <xf numFmtId="14" fontId="9" fillId="13" borderId="0" xfId="0" applyNumberFormat="1" applyFont="1" applyFill="1" applyAlignment="1">
      <alignment horizontal="center"/>
    </xf>
    <xf numFmtId="14" fontId="9" fillId="13" borderId="24" xfId="0" applyNumberFormat="1" applyFont="1" applyFill="1" applyBorder="1" applyAlignment="1">
      <alignment horizontal="center"/>
    </xf>
    <xf numFmtId="0" fontId="9" fillId="14" borderId="27" xfId="0" applyFont="1" applyFill="1" applyBorder="1" applyAlignment="1">
      <alignment horizontal="center" vertical="center"/>
    </xf>
    <xf numFmtId="0" fontId="9" fillId="14" borderId="27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/>
    </xf>
    <xf numFmtId="2" fontId="10" fillId="0" borderId="18" xfId="0" applyNumberFormat="1" applyFont="1" applyBorder="1" applyAlignment="1">
      <alignment horizontal="center"/>
    </xf>
    <xf numFmtId="2" fontId="10" fillId="0" borderId="19" xfId="0" applyNumberFormat="1" applyFont="1" applyBorder="1" applyAlignment="1">
      <alignment horizontal="center"/>
    </xf>
    <xf numFmtId="0" fontId="9" fillId="14" borderId="30" xfId="0" applyFont="1" applyFill="1" applyBorder="1" applyAlignment="1">
      <alignment horizontal="center" vertical="center"/>
    </xf>
    <xf numFmtId="0" fontId="9" fillId="14" borderId="30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/>
    </xf>
    <xf numFmtId="2" fontId="10" fillId="0" borderId="15" xfId="0" applyNumberFormat="1" applyFont="1" applyBorder="1" applyAlignment="1">
      <alignment horizontal="center"/>
    </xf>
    <xf numFmtId="2" fontId="10" fillId="0" borderId="16" xfId="0" applyNumberFormat="1" applyFont="1" applyBorder="1" applyAlignment="1">
      <alignment horizontal="center"/>
    </xf>
    <xf numFmtId="0" fontId="9" fillId="14" borderId="42" xfId="0" applyFont="1" applyFill="1" applyBorder="1" applyAlignment="1">
      <alignment horizontal="center" vertical="center" wrapText="1"/>
    </xf>
    <xf numFmtId="0" fontId="9" fillId="0" borderId="43" xfId="0" applyFont="1" applyBorder="1" applyAlignment="1">
      <alignment horizontal="center"/>
    </xf>
    <xf numFmtId="2" fontId="10" fillId="0" borderId="44" xfId="0" applyNumberFormat="1" applyFont="1" applyBorder="1" applyAlignment="1">
      <alignment horizontal="center"/>
    </xf>
    <xf numFmtId="2" fontId="10" fillId="0" borderId="45" xfId="0" applyNumberFormat="1" applyFont="1" applyBorder="1" applyAlignment="1">
      <alignment horizontal="center"/>
    </xf>
    <xf numFmtId="0" fontId="0" fillId="14" borderId="30" xfId="0" applyFill="1" applyBorder="1" applyAlignment="1">
      <alignment horizontal="center" vertical="center"/>
    </xf>
    <xf numFmtId="0" fontId="0" fillId="14" borderId="42" xfId="0" applyFill="1" applyBorder="1" applyAlignment="1">
      <alignment horizontal="center" vertical="center"/>
    </xf>
    <xf numFmtId="0" fontId="9" fillId="15" borderId="27" xfId="0" applyFont="1" applyFill="1" applyBorder="1" applyAlignment="1">
      <alignment horizontal="center" vertical="center" wrapText="1"/>
    </xf>
    <xf numFmtId="0" fontId="9" fillId="15" borderId="30" xfId="0" applyFont="1" applyFill="1" applyBorder="1" applyAlignment="1">
      <alignment horizontal="center" vertical="center"/>
    </xf>
    <xf numFmtId="0" fontId="9" fillId="15" borderId="30" xfId="0" applyFont="1" applyFill="1" applyBorder="1" applyAlignment="1">
      <alignment horizontal="center" vertical="center" wrapText="1"/>
    </xf>
    <xf numFmtId="0" fontId="9" fillId="15" borderId="42" xfId="0" applyFont="1" applyFill="1" applyBorder="1" applyAlignment="1">
      <alignment horizontal="center" vertical="center" wrapText="1"/>
    </xf>
    <xf numFmtId="0" fontId="0" fillId="15" borderId="30" xfId="0" applyFill="1" applyBorder="1" applyAlignment="1">
      <alignment horizontal="center" vertical="center"/>
    </xf>
    <xf numFmtId="0" fontId="0" fillId="15" borderId="42" xfId="0" applyFill="1" applyBorder="1" applyAlignment="1">
      <alignment horizontal="center" vertical="center"/>
    </xf>
    <xf numFmtId="0" fontId="9" fillId="16" borderId="27" xfId="0" applyFont="1" applyFill="1" applyBorder="1" applyAlignment="1">
      <alignment horizontal="center" vertical="center" wrapText="1"/>
    </xf>
    <xf numFmtId="0" fontId="9" fillId="16" borderId="30" xfId="0" applyFont="1" applyFill="1" applyBorder="1" applyAlignment="1">
      <alignment horizontal="center" vertical="center"/>
    </xf>
    <xf numFmtId="0" fontId="9" fillId="16" borderId="30" xfId="0" applyFont="1" applyFill="1" applyBorder="1" applyAlignment="1">
      <alignment horizontal="center" vertical="center" wrapText="1"/>
    </xf>
    <xf numFmtId="0" fontId="9" fillId="16" borderId="42" xfId="0" applyFont="1" applyFill="1" applyBorder="1" applyAlignment="1">
      <alignment horizontal="center" vertical="center" wrapText="1"/>
    </xf>
    <xf numFmtId="0" fontId="0" fillId="16" borderId="30" xfId="0" applyFill="1" applyBorder="1" applyAlignment="1">
      <alignment horizontal="center" vertical="center"/>
    </xf>
    <xf numFmtId="0" fontId="0" fillId="16" borderId="42" xfId="0" applyFill="1" applyBorder="1" applyAlignment="1">
      <alignment horizontal="center" vertical="center"/>
    </xf>
    <xf numFmtId="0" fontId="10" fillId="0" borderId="0" xfId="0" applyFont="1"/>
    <xf numFmtId="0" fontId="6" fillId="0" borderId="20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/>
    </xf>
    <xf numFmtId="164" fontId="10" fillId="0" borderId="20" xfId="0" applyNumberFormat="1" applyFont="1" applyBorder="1" applyAlignment="1">
      <alignment horizontal="center"/>
    </xf>
    <xf numFmtId="164" fontId="10" fillId="0" borderId="21" xfId="0" applyNumberFormat="1" applyFont="1" applyBorder="1" applyAlignment="1">
      <alignment horizontal="center"/>
    </xf>
    <xf numFmtId="164" fontId="10" fillId="0" borderId="39" xfId="0" applyNumberFormat="1" applyFont="1" applyBorder="1" applyAlignment="1">
      <alignment horizont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/>
    </xf>
    <xf numFmtId="164" fontId="10" fillId="0" borderId="23" xfId="0" applyNumberFormat="1" applyFont="1" applyBorder="1" applyAlignment="1">
      <alignment horizontal="center"/>
    </xf>
    <xf numFmtId="164" fontId="10" fillId="0" borderId="0" xfId="0" applyNumberFormat="1" applyFont="1" applyAlignment="1">
      <alignment horizontal="center"/>
    </xf>
    <xf numFmtId="164" fontId="10" fillId="0" borderId="24" xfId="0" applyNumberFormat="1" applyFont="1" applyBorder="1" applyAlignment="1">
      <alignment horizontal="center"/>
    </xf>
    <xf numFmtId="0" fontId="6" fillId="0" borderId="25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/>
    </xf>
    <xf numFmtId="164" fontId="10" fillId="0" borderId="25" xfId="0" applyNumberFormat="1" applyFont="1" applyBorder="1" applyAlignment="1">
      <alignment horizontal="center"/>
    </xf>
    <xf numFmtId="164" fontId="10" fillId="0" borderId="26" xfId="0" applyNumberFormat="1" applyFont="1" applyBorder="1" applyAlignment="1">
      <alignment horizontal="center"/>
    </xf>
    <xf numFmtId="164" fontId="10" fillId="0" borderId="37" xfId="0" applyNumberFormat="1" applyFont="1" applyBorder="1" applyAlignment="1">
      <alignment horizontal="center"/>
    </xf>
  </cellXfs>
  <cellStyles count="2">
    <cellStyle name="Normal" xfId="0" builtinId="0"/>
    <cellStyle name="Normal 2" xfId="1" xr:uid="{F24F40FF-BA22-3941-9500-11F2D29779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25653-B33D-3044-B6DC-ED9A3080673F}">
  <dimension ref="A1:AC375"/>
  <sheetViews>
    <sheetView tabSelected="1" workbookViewId="0">
      <selection activeCell="A305" sqref="A305"/>
    </sheetView>
  </sheetViews>
  <sheetFormatPr baseColWidth="10" defaultRowHeight="16" x14ac:dyDescent="0.2"/>
  <sheetData>
    <row r="1" spans="1:23" x14ac:dyDescent="0.2">
      <c r="A1" s="1" t="s">
        <v>0</v>
      </c>
    </row>
    <row r="3" spans="1:23" x14ac:dyDescent="0.2">
      <c r="A3" t="s">
        <v>1</v>
      </c>
    </row>
    <row r="6" spans="1:23" x14ac:dyDescent="0.2">
      <c r="A6" s="1" t="s">
        <v>2</v>
      </c>
    </row>
    <row r="8" spans="1:23" x14ac:dyDescent="0.2">
      <c r="A8" s="1" t="s">
        <v>3</v>
      </c>
    </row>
    <row r="10" spans="1:23" x14ac:dyDescent="0.2">
      <c r="A10" s="2" t="s">
        <v>4</v>
      </c>
      <c r="B10" s="3"/>
      <c r="C10" s="3"/>
      <c r="D10" s="3"/>
      <c r="E10" s="3"/>
      <c r="F10" s="3"/>
      <c r="G10" s="3"/>
      <c r="H10" s="3"/>
      <c r="I10" s="3"/>
      <c r="J10" s="3"/>
      <c r="K10" s="3"/>
      <c r="M10" s="1" t="s">
        <v>5</v>
      </c>
    </row>
    <row r="11" spans="1:23" ht="17" thickBot="1" x14ac:dyDescent="0.25">
      <c r="A11" s="3" t="s">
        <v>6</v>
      </c>
      <c r="B11" s="3"/>
      <c r="C11" s="3"/>
      <c r="D11" s="3"/>
      <c r="E11" s="3"/>
      <c r="F11" s="3"/>
      <c r="G11" s="3"/>
      <c r="H11" s="3"/>
      <c r="I11" s="3"/>
      <c r="J11" s="3"/>
      <c r="K11" s="3"/>
      <c r="M11" s="3" t="s">
        <v>6</v>
      </c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8" thickTop="1" thickBot="1" x14ac:dyDescent="0.25">
      <c r="A12" s="3" t="s">
        <v>7</v>
      </c>
      <c r="B12" s="3" t="s">
        <v>8</v>
      </c>
      <c r="C12" s="4" t="s">
        <v>9</v>
      </c>
      <c r="D12" s="5" t="s">
        <v>10</v>
      </c>
      <c r="E12" s="4" t="s">
        <v>11</v>
      </c>
      <c r="F12" s="5" t="s">
        <v>12</v>
      </c>
      <c r="G12" s="6" t="s">
        <v>13</v>
      </c>
      <c r="H12" s="5" t="s">
        <v>14</v>
      </c>
      <c r="I12" s="7" t="s">
        <v>15</v>
      </c>
      <c r="J12" s="7" t="s">
        <v>16</v>
      </c>
      <c r="K12" s="7" t="s">
        <v>17</v>
      </c>
      <c r="M12" s="3" t="s">
        <v>7</v>
      </c>
      <c r="N12" s="3" t="s">
        <v>8</v>
      </c>
      <c r="O12" s="4" t="s">
        <v>9</v>
      </c>
      <c r="P12" s="5" t="s">
        <v>10</v>
      </c>
      <c r="Q12" s="4" t="s">
        <v>11</v>
      </c>
      <c r="R12" s="5" t="s">
        <v>12</v>
      </c>
      <c r="S12" s="6" t="s">
        <v>13</v>
      </c>
      <c r="T12" s="5" t="s">
        <v>14</v>
      </c>
      <c r="U12" s="7" t="s">
        <v>15</v>
      </c>
      <c r="V12" s="7" t="s">
        <v>16</v>
      </c>
      <c r="W12" s="7" t="s">
        <v>17</v>
      </c>
    </row>
    <row r="13" spans="1:23" ht="17" thickTop="1" x14ac:dyDescent="0.2">
      <c r="A13" s="8"/>
      <c r="B13" s="3">
        <v>6</v>
      </c>
      <c r="C13" s="9">
        <v>5.59</v>
      </c>
      <c r="D13" s="10">
        <v>4.63</v>
      </c>
      <c r="E13" s="9">
        <v>5.59</v>
      </c>
      <c r="F13" s="10">
        <v>4.6900000000000004</v>
      </c>
      <c r="G13" s="11">
        <v>5.65</v>
      </c>
      <c r="H13" s="12">
        <v>4.95</v>
      </c>
      <c r="I13" s="13">
        <f>C13*D13</f>
        <v>25.881699999999999</v>
      </c>
      <c r="J13" s="13">
        <f>E13*F13</f>
        <v>26.217100000000002</v>
      </c>
      <c r="K13" s="13">
        <f>G13*H13</f>
        <v>27.967500000000001</v>
      </c>
      <c r="M13" s="8"/>
      <c r="N13" s="3">
        <v>6</v>
      </c>
      <c r="O13" s="9">
        <v>5.38</v>
      </c>
      <c r="P13" s="10">
        <v>4.9000000000000004</v>
      </c>
      <c r="Q13" s="9">
        <v>6.6</v>
      </c>
      <c r="R13" s="10">
        <v>4.7</v>
      </c>
      <c r="S13" s="11">
        <v>5.45</v>
      </c>
      <c r="T13" s="12">
        <v>4.58</v>
      </c>
      <c r="U13" s="13">
        <f>O13*P13</f>
        <v>26.362000000000002</v>
      </c>
      <c r="V13" s="13">
        <f>Q13*R13</f>
        <v>31.02</v>
      </c>
      <c r="W13" s="13">
        <f>S13*T13</f>
        <v>24.961000000000002</v>
      </c>
    </row>
    <row r="14" spans="1:23" x14ac:dyDescent="0.2">
      <c r="A14" s="8"/>
      <c r="B14" s="3">
        <v>8</v>
      </c>
      <c r="C14" s="9">
        <v>6.42</v>
      </c>
      <c r="D14" s="10">
        <v>4.5999999999999996</v>
      </c>
      <c r="E14" s="9">
        <v>6.67</v>
      </c>
      <c r="F14" s="10">
        <v>5.59</v>
      </c>
      <c r="G14" s="9">
        <v>6.39</v>
      </c>
      <c r="H14" s="10">
        <v>4.6900000000000004</v>
      </c>
      <c r="I14" s="13">
        <f t="shared" ref="I14:I21" si="0">C14*D14</f>
        <v>29.531999999999996</v>
      </c>
      <c r="J14" s="13">
        <f t="shared" ref="J14:J21" si="1">E14*F14</f>
        <v>37.285299999999999</v>
      </c>
      <c r="K14" s="13">
        <f t="shared" ref="K14:K21" si="2">G14*H14</f>
        <v>29.969100000000001</v>
      </c>
      <c r="M14" s="8"/>
      <c r="N14" s="3">
        <v>8</v>
      </c>
      <c r="O14" s="9">
        <v>6.08</v>
      </c>
      <c r="P14" s="10">
        <v>6.35</v>
      </c>
      <c r="Q14" s="9">
        <v>7.2</v>
      </c>
      <c r="R14" s="10">
        <v>5.88</v>
      </c>
      <c r="S14" s="9">
        <v>8.25</v>
      </c>
      <c r="T14" s="10">
        <v>6.26</v>
      </c>
      <c r="U14" s="13">
        <f t="shared" ref="U14:U21" si="3">O14*P14</f>
        <v>38.607999999999997</v>
      </c>
      <c r="V14" s="13">
        <f t="shared" ref="V14:V21" si="4">Q14*R14</f>
        <v>42.335999999999999</v>
      </c>
      <c r="W14" s="13">
        <f t="shared" ref="W14:W21" si="5">S14*T14</f>
        <v>51.644999999999996</v>
      </c>
    </row>
    <row r="15" spans="1:23" x14ac:dyDescent="0.2">
      <c r="A15" s="8"/>
      <c r="B15" s="3">
        <v>10</v>
      </c>
      <c r="C15" s="9">
        <v>6.4</v>
      </c>
      <c r="D15" s="10">
        <v>6</v>
      </c>
      <c r="E15" s="9">
        <v>6.64</v>
      </c>
      <c r="F15" s="10">
        <v>6.33</v>
      </c>
      <c r="G15" s="9">
        <v>7.07</v>
      </c>
      <c r="H15" s="10">
        <v>5.67</v>
      </c>
      <c r="I15" s="13">
        <f t="shared" si="0"/>
        <v>38.400000000000006</v>
      </c>
      <c r="J15" s="13">
        <f t="shared" si="1"/>
        <v>42.031199999999998</v>
      </c>
      <c r="K15" s="13">
        <f t="shared" si="2"/>
        <v>40.0869</v>
      </c>
      <c r="M15" s="8"/>
      <c r="N15" s="3">
        <v>10</v>
      </c>
      <c r="O15" s="9">
        <v>8.3699999999999992</v>
      </c>
      <c r="P15" s="10">
        <v>6.43</v>
      </c>
      <c r="Q15" s="9">
        <v>6.45</v>
      </c>
      <c r="R15" s="10">
        <v>6.32</v>
      </c>
      <c r="S15" s="9">
        <v>6.66</v>
      </c>
      <c r="T15" s="10">
        <v>5.64</v>
      </c>
      <c r="U15" s="13">
        <f t="shared" si="3"/>
        <v>53.819099999999992</v>
      </c>
      <c r="V15" s="13">
        <f t="shared" si="4"/>
        <v>40.764000000000003</v>
      </c>
      <c r="W15" s="13">
        <f t="shared" si="5"/>
        <v>37.562399999999997</v>
      </c>
    </row>
    <row r="16" spans="1:23" x14ac:dyDescent="0.2">
      <c r="A16" s="3"/>
      <c r="B16" s="3">
        <v>13</v>
      </c>
      <c r="C16" s="9">
        <v>7.15</v>
      </c>
      <c r="D16" s="10">
        <v>6.05</v>
      </c>
      <c r="E16" s="9">
        <v>6.58</v>
      </c>
      <c r="F16" s="10">
        <v>6.11</v>
      </c>
      <c r="G16" s="9">
        <v>7.13</v>
      </c>
      <c r="H16" s="10">
        <v>6.53</v>
      </c>
      <c r="I16" s="13">
        <f t="shared" si="0"/>
        <v>43.2575</v>
      </c>
      <c r="J16" s="13">
        <f t="shared" si="1"/>
        <v>40.203800000000001</v>
      </c>
      <c r="K16" s="13">
        <f t="shared" si="2"/>
        <v>46.558900000000001</v>
      </c>
      <c r="M16" s="3"/>
      <c r="N16" s="3">
        <v>13</v>
      </c>
      <c r="O16" s="9">
        <v>7.45</v>
      </c>
      <c r="P16" s="10">
        <v>5.96</v>
      </c>
      <c r="Q16" s="9">
        <v>8.89</v>
      </c>
      <c r="R16" s="10">
        <v>7.21</v>
      </c>
      <c r="S16" s="9">
        <v>7.95</v>
      </c>
      <c r="T16" s="10">
        <v>6.34</v>
      </c>
      <c r="U16" s="13">
        <f t="shared" si="3"/>
        <v>44.402000000000001</v>
      </c>
      <c r="V16" s="13">
        <f t="shared" si="4"/>
        <v>64.096900000000005</v>
      </c>
      <c r="W16" s="13">
        <f t="shared" si="5"/>
        <v>50.402999999999999</v>
      </c>
    </row>
    <row r="17" spans="1:23" x14ac:dyDescent="0.2">
      <c r="A17" s="3"/>
      <c r="B17" s="3">
        <v>15</v>
      </c>
      <c r="C17" s="9">
        <v>8.42</v>
      </c>
      <c r="D17" s="10">
        <v>7.02</v>
      </c>
      <c r="E17" s="9">
        <v>8.08</v>
      </c>
      <c r="F17" s="10">
        <v>7.42</v>
      </c>
      <c r="G17" s="9">
        <v>8.09</v>
      </c>
      <c r="H17" s="10">
        <v>6.9</v>
      </c>
      <c r="I17" s="13">
        <f t="shared" si="0"/>
        <v>59.108399999999996</v>
      </c>
      <c r="J17" s="13">
        <f t="shared" si="1"/>
        <v>59.953600000000002</v>
      </c>
      <c r="K17" s="13">
        <f t="shared" si="2"/>
        <v>55.821000000000005</v>
      </c>
      <c r="M17" s="3"/>
      <c r="N17" s="3">
        <v>15</v>
      </c>
      <c r="O17" s="9">
        <v>8.01</v>
      </c>
      <c r="P17" s="10">
        <v>6.76</v>
      </c>
      <c r="Q17" s="9">
        <v>7.62</v>
      </c>
      <c r="R17" s="10">
        <v>6.44</v>
      </c>
      <c r="S17" s="9">
        <v>8.32</v>
      </c>
      <c r="T17" s="10">
        <v>7</v>
      </c>
      <c r="U17" s="13">
        <f t="shared" si="3"/>
        <v>54.147599999999997</v>
      </c>
      <c r="V17" s="13">
        <f t="shared" si="4"/>
        <v>49.072800000000001</v>
      </c>
      <c r="W17" s="13">
        <f t="shared" si="5"/>
        <v>58.24</v>
      </c>
    </row>
    <row r="18" spans="1:23" x14ac:dyDescent="0.2">
      <c r="A18" s="3"/>
      <c r="B18" s="3">
        <v>17</v>
      </c>
      <c r="C18" s="9">
        <v>9.1</v>
      </c>
      <c r="D18" s="10">
        <v>7.5</v>
      </c>
      <c r="E18" s="9">
        <v>8.6999999999999993</v>
      </c>
      <c r="F18" s="10">
        <v>8</v>
      </c>
      <c r="G18" s="9">
        <v>8.6</v>
      </c>
      <c r="H18" s="10">
        <v>7.5</v>
      </c>
      <c r="I18" s="13">
        <f t="shared" si="0"/>
        <v>68.25</v>
      </c>
      <c r="J18" s="13">
        <f t="shared" si="1"/>
        <v>69.599999999999994</v>
      </c>
      <c r="K18" s="13">
        <f t="shared" si="2"/>
        <v>64.5</v>
      </c>
      <c r="M18" s="3"/>
      <c r="N18" s="3">
        <v>17</v>
      </c>
      <c r="O18" s="9">
        <v>7.2</v>
      </c>
      <c r="P18" s="10">
        <v>7</v>
      </c>
      <c r="Q18" s="9">
        <v>9.9</v>
      </c>
      <c r="R18" s="10">
        <v>7.6</v>
      </c>
      <c r="S18" s="9">
        <v>8.6999999999999993</v>
      </c>
      <c r="T18" s="10">
        <v>7.2</v>
      </c>
      <c r="U18" s="13">
        <f t="shared" si="3"/>
        <v>50.4</v>
      </c>
      <c r="V18" s="13">
        <f t="shared" si="4"/>
        <v>75.239999999999995</v>
      </c>
      <c r="W18" s="13">
        <f t="shared" si="5"/>
        <v>62.639999999999993</v>
      </c>
    </row>
    <row r="19" spans="1:23" x14ac:dyDescent="0.2">
      <c r="A19" s="3"/>
      <c r="B19" s="3">
        <v>19</v>
      </c>
      <c r="C19" s="9">
        <v>9.27</v>
      </c>
      <c r="D19" s="10">
        <v>8.6</v>
      </c>
      <c r="E19" s="9">
        <v>8.85</v>
      </c>
      <c r="F19" s="10">
        <v>8.18</v>
      </c>
      <c r="G19" s="9">
        <v>9.09</v>
      </c>
      <c r="H19" s="10">
        <v>8.66</v>
      </c>
      <c r="I19" s="13">
        <f t="shared" si="0"/>
        <v>79.721999999999994</v>
      </c>
      <c r="J19" s="13">
        <f t="shared" si="1"/>
        <v>72.393000000000001</v>
      </c>
      <c r="K19" s="13">
        <f t="shared" si="2"/>
        <v>78.719399999999993</v>
      </c>
      <c r="M19" s="3"/>
      <c r="N19" s="3">
        <v>19</v>
      </c>
      <c r="O19" s="9">
        <v>8.86</v>
      </c>
      <c r="P19" s="10">
        <v>7.28</v>
      </c>
      <c r="Q19" s="9">
        <v>10.39</v>
      </c>
      <c r="R19" s="10">
        <v>8.52</v>
      </c>
      <c r="S19" s="9">
        <v>8.6300000000000008</v>
      </c>
      <c r="T19" s="10">
        <v>7.55</v>
      </c>
      <c r="U19" s="13">
        <f t="shared" si="3"/>
        <v>64.500799999999998</v>
      </c>
      <c r="V19" s="13">
        <f t="shared" si="4"/>
        <v>88.522800000000004</v>
      </c>
      <c r="W19" s="13">
        <f t="shared" si="5"/>
        <v>65.156500000000008</v>
      </c>
    </row>
    <row r="20" spans="1:23" x14ac:dyDescent="0.2">
      <c r="A20" s="3"/>
      <c r="B20" s="3">
        <v>21</v>
      </c>
      <c r="C20" s="9">
        <v>9.1999999999999993</v>
      </c>
      <c r="D20" s="10">
        <v>8.49</v>
      </c>
      <c r="E20" s="9">
        <v>9.17</v>
      </c>
      <c r="F20" s="10">
        <v>9.3699999999999992</v>
      </c>
      <c r="G20" s="9">
        <v>10.15</v>
      </c>
      <c r="H20" s="10">
        <v>8.73</v>
      </c>
      <c r="I20" s="13">
        <f t="shared" si="0"/>
        <v>78.10799999999999</v>
      </c>
      <c r="J20" s="13">
        <f t="shared" si="1"/>
        <v>85.922899999999998</v>
      </c>
      <c r="K20" s="13">
        <f t="shared" si="2"/>
        <v>88.609500000000011</v>
      </c>
      <c r="M20" s="3"/>
      <c r="N20" s="3">
        <v>21</v>
      </c>
      <c r="O20" s="9">
        <v>10.88</v>
      </c>
      <c r="P20" s="10">
        <v>9.0399999999999991</v>
      </c>
      <c r="Q20" s="9">
        <v>8.01</v>
      </c>
      <c r="R20" s="10">
        <v>8.8800000000000008</v>
      </c>
      <c r="S20" s="9">
        <v>9.3699999999999992</v>
      </c>
      <c r="T20" s="10">
        <v>7</v>
      </c>
      <c r="U20" s="13">
        <f t="shared" si="3"/>
        <v>98.355199999999996</v>
      </c>
      <c r="V20" s="13">
        <f t="shared" si="4"/>
        <v>71.128799999999998</v>
      </c>
      <c r="W20" s="13">
        <f t="shared" si="5"/>
        <v>65.589999999999989</v>
      </c>
    </row>
    <row r="21" spans="1:23" ht="17" thickBot="1" x14ac:dyDescent="0.25">
      <c r="A21" s="3"/>
      <c r="B21" s="3">
        <v>23</v>
      </c>
      <c r="C21" s="14">
        <v>10.59</v>
      </c>
      <c r="D21" s="15">
        <v>10.41</v>
      </c>
      <c r="E21" s="14">
        <v>10.63</v>
      </c>
      <c r="F21" s="15">
        <v>9.52</v>
      </c>
      <c r="G21" s="14">
        <v>10.1</v>
      </c>
      <c r="H21" s="15">
        <v>8.65</v>
      </c>
      <c r="I21" s="16">
        <f t="shared" si="0"/>
        <v>110.2419</v>
      </c>
      <c r="J21" s="16">
        <f t="shared" si="1"/>
        <v>101.19760000000001</v>
      </c>
      <c r="K21" s="16">
        <f t="shared" si="2"/>
        <v>87.364999999999995</v>
      </c>
      <c r="M21" s="3"/>
      <c r="N21" s="3">
        <v>23</v>
      </c>
      <c r="O21" s="14">
        <v>9.36</v>
      </c>
      <c r="P21" s="15">
        <v>8.73</v>
      </c>
      <c r="Q21" s="14">
        <v>12</v>
      </c>
      <c r="R21" s="15">
        <v>10</v>
      </c>
      <c r="S21" s="14">
        <v>10.24</v>
      </c>
      <c r="T21" s="15">
        <v>8.5500000000000007</v>
      </c>
      <c r="U21" s="16">
        <f t="shared" si="3"/>
        <v>81.712800000000001</v>
      </c>
      <c r="V21" s="16">
        <f t="shared" si="4"/>
        <v>120</v>
      </c>
      <c r="W21" s="16">
        <f t="shared" si="5"/>
        <v>87.552000000000007</v>
      </c>
    </row>
    <row r="22" spans="1:23" ht="18" thickTop="1" thickBot="1" x14ac:dyDescent="0.25">
      <c r="A22" s="3" t="s">
        <v>18</v>
      </c>
      <c r="B22" s="3"/>
      <c r="C22" s="3"/>
      <c r="D22" s="3"/>
      <c r="E22" s="3"/>
      <c r="F22" s="3"/>
      <c r="G22" s="3"/>
      <c r="H22" s="3"/>
      <c r="I22" s="3"/>
      <c r="J22" s="3"/>
      <c r="K22" s="3"/>
      <c r="M22" s="3" t="s">
        <v>18</v>
      </c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ht="18" thickTop="1" thickBot="1" x14ac:dyDescent="0.25">
      <c r="A23" s="3" t="s">
        <v>7</v>
      </c>
      <c r="B23" s="3" t="s">
        <v>8</v>
      </c>
      <c r="C23" s="4" t="s">
        <v>9</v>
      </c>
      <c r="D23" s="5" t="s">
        <v>10</v>
      </c>
      <c r="E23" s="4" t="s">
        <v>11</v>
      </c>
      <c r="F23" s="5" t="s">
        <v>12</v>
      </c>
      <c r="G23" s="6" t="s">
        <v>13</v>
      </c>
      <c r="H23" s="5" t="s">
        <v>14</v>
      </c>
      <c r="I23" s="7" t="s">
        <v>15</v>
      </c>
      <c r="J23" s="7" t="s">
        <v>16</v>
      </c>
      <c r="K23" s="7" t="s">
        <v>17</v>
      </c>
      <c r="M23" s="3" t="s">
        <v>7</v>
      </c>
      <c r="N23" s="3" t="s">
        <v>8</v>
      </c>
      <c r="O23" s="4" t="s">
        <v>9</v>
      </c>
      <c r="P23" s="5" t="s">
        <v>10</v>
      </c>
      <c r="Q23" s="4" t="s">
        <v>11</v>
      </c>
      <c r="R23" s="5" t="s">
        <v>12</v>
      </c>
      <c r="S23" s="6" t="s">
        <v>13</v>
      </c>
      <c r="T23" s="5" t="s">
        <v>14</v>
      </c>
      <c r="U23" s="7" t="s">
        <v>15</v>
      </c>
      <c r="V23" s="7" t="s">
        <v>16</v>
      </c>
      <c r="W23" s="7" t="s">
        <v>17</v>
      </c>
    </row>
    <row r="24" spans="1:23" ht="17" thickTop="1" x14ac:dyDescent="0.2">
      <c r="A24" s="8"/>
      <c r="B24" s="3">
        <v>6</v>
      </c>
      <c r="C24" s="9">
        <v>5.63</v>
      </c>
      <c r="D24" s="10">
        <v>5.46</v>
      </c>
      <c r="E24" s="9">
        <v>5.4</v>
      </c>
      <c r="F24" s="10">
        <v>5.26</v>
      </c>
      <c r="G24" s="11">
        <v>4.8</v>
      </c>
      <c r="H24" s="12">
        <v>4.51</v>
      </c>
      <c r="I24" s="13">
        <f>C24*D24</f>
        <v>30.739799999999999</v>
      </c>
      <c r="J24" s="13">
        <f>E24*F24</f>
        <v>28.404</v>
      </c>
      <c r="K24" s="13">
        <f>G24*H24</f>
        <v>21.648</v>
      </c>
      <c r="M24" s="8"/>
      <c r="N24" s="3">
        <v>6</v>
      </c>
      <c r="O24" s="9">
        <v>5.5</v>
      </c>
      <c r="P24" s="10">
        <v>4.8600000000000003</v>
      </c>
      <c r="Q24" s="9">
        <v>5.51</v>
      </c>
      <c r="R24" s="10">
        <v>4.33</v>
      </c>
      <c r="S24" s="11">
        <v>5.86</v>
      </c>
      <c r="T24" s="12">
        <v>4.93</v>
      </c>
      <c r="U24" s="13">
        <f>O24*P24</f>
        <v>26.73</v>
      </c>
      <c r="V24" s="13">
        <f>Q24*R24</f>
        <v>23.8583</v>
      </c>
      <c r="W24" s="13">
        <f>S24*T24</f>
        <v>28.889800000000001</v>
      </c>
    </row>
    <row r="25" spans="1:23" x14ac:dyDescent="0.2">
      <c r="A25" s="8"/>
      <c r="B25" s="3">
        <v>8</v>
      </c>
      <c r="C25" s="9">
        <v>5.51</v>
      </c>
      <c r="D25" s="10">
        <v>4.4800000000000004</v>
      </c>
      <c r="E25" s="9">
        <v>5.27</v>
      </c>
      <c r="F25" s="10">
        <v>4.97</v>
      </c>
      <c r="G25" s="9">
        <v>5.97</v>
      </c>
      <c r="H25" s="10">
        <v>4.99</v>
      </c>
      <c r="I25" s="13">
        <f t="shared" ref="I25:I32" si="6">C25*D25</f>
        <v>24.684800000000003</v>
      </c>
      <c r="J25" s="13">
        <f t="shared" ref="J25:J32" si="7">E25*F25</f>
        <v>26.191899999999997</v>
      </c>
      <c r="K25" s="13">
        <f t="shared" ref="K25:K32" si="8">G25*H25</f>
        <v>29.790299999999998</v>
      </c>
      <c r="M25" s="8"/>
      <c r="N25" s="3">
        <v>8</v>
      </c>
      <c r="O25" s="9">
        <v>5.94</v>
      </c>
      <c r="P25" s="10">
        <v>5.44</v>
      </c>
      <c r="Q25" s="9">
        <v>5.69</v>
      </c>
      <c r="R25" s="10">
        <v>4.84</v>
      </c>
      <c r="S25" s="9">
        <v>4.1399999999999997</v>
      </c>
      <c r="T25" s="10">
        <v>6.06</v>
      </c>
      <c r="U25" s="13">
        <f t="shared" ref="U25:U32" si="9">O25*P25</f>
        <v>32.313600000000001</v>
      </c>
      <c r="V25" s="13">
        <f t="shared" ref="V25:V32" si="10">Q25*R25</f>
        <v>27.5396</v>
      </c>
      <c r="W25" s="13">
        <f t="shared" ref="W25:W32" si="11">S25*T25</f>
        <v>25.088399999999996</v>
      </c>
    </row>
    <row r="26" spans="1:23" x14ac:dyDescent="0.2">
      <c r="A26" s="8"/>
      <c r="B26" s="3">
        <v>10</v>
      </c>
      <c r="C26" s="9">
        <v>6.05</v>
      </c>
      <c r="D26" s="10">
        <v>5.32</v>
      </c>
      <c r="E26" s="9">
        <v>6.53</v>
      </c>
      <c r="F26" s="10">
        <v>5.55</v>
      </c>
      <c r="G26" s="9">
        <v>6.12</v>
      </c>
      <c r="H26" s="10">
        <v>5.43</v>
      </c>
      <c r="I26" s="13">
        <f t="shared" si="6"/>
        <v>32.186</v>
      </c>
      <c r="J26" s="13">
        <f t="shared" si="7"/>
        <v>36.241500000000002</v>
      </c>
      <c r="K26" s="13">
        <f t="shared" si="8"/>
        <v>33.2316</v>
      </c>
      <c r="M26" s="8"/>
      <c r="N26" s="3">
        <v>10</v>
      </c>
      <c r="O26" s="9">
        <v>4.28</v>
      </c>
      <c r="P26" s="10">
        <v>5.48</v>
      </c>
      <c r="Q26" s="9">
        <v>5.23</v>
      </c>
      <c r="R26" s="10">
        <v>4.37</v>
      </c>
      <c r="S26" s="9">
        <v>5.4</v>
      </c>
      <c r="T26" s="10">
        <v>4.6900000000000004</v>
      </c>
      <c r="U26" s="13">
        <f t="shared" si="9"/>
        <v>23.454400000000003</v>
      </c>
      <c r="V26" s="13">
        <f t="shared" si="10"/>
        <v>22.855100000000004</v>
      </c>
      <c r="W26" s="13">
        <f t="shared" si="11"/>
        <v>25.326000000000004</v>
      </c>
    </row>
    <row r="27" spans="1:23" x14ac:dyDescent="0.2">
      <c r="A27" s="3"/>
      <c r="B27" s="3">
        <v>13</v>
      </c>
      <c r="C27" s="9">
        <v>6.75</v>
      </c>
      <c r="D27" s="10">
        <v>6.33</v>
      </c>
      <c r="E27" s="9">
        <v>7.54</v>
      </c>
      <c r="F27" s="10">
        <v>6.92</v>
      </c>
      <c r="G27" s="9">
        <v>7.79</v>
      </c>
      <c r="H27" s="10">
        <v>6.7</v>
      </c>
      <c r="I27" s="13">
        <f t="shared" si="6"/>
        <v>42.727499999999999</v>
      </c>
      <c r="J27" s="13">
        <f t="shared" si="7"/>
        <v>52.1768</v>
      </c>
      <c r="K27" s="13">
        <f t="shared" si="8"/>
        <v>52.193000000000005</v>
      </c>
      <c r="M27" s="3"/>
      <c r="N27" s="3">
        <v>13</v>
      </c>
      <c r="O27" s="9">
        <v>4.34</v>
      </c>
      <c r="P27" s="10">
        <v>3.79</v>
      </c>
      <c r="Q27" s="9">
        <v>5.08</v>
      </c>
      <c r="R27" s="10">
        <v>3.93</v>
      </c>
      <c r="S27" s="9">
        <v>5.29</v>
      </c>
      <c r="T27" s="10">
        <v>4.32</v>
      </c>
      <c r="U27" s="13">
        <f t="shared" si="9"/>
        <v>16.448599999999999</v>
      </c>
      <c r="V27" s="13">
        <f t="shared" si="10"/>
        <v>19.964400000000001</v>
      </c>
      <c r="W27" s="13">
        <f t="shared" si="11"/>
        <v>22.852800000000002</v>
      </c>
    </row>
    <row r="28" spans="1:23" x14ac:dyDescent="0.2">
      <c r="A28" s="3"/>
      <c r="B28" s="3">
        <v>15</v>
      </c>
      <c r="C28" s="9">
        <v>6.8</v>
      </c>
      <c r="D28" s="10">
        <v>6.36</v>
      </c>
      <c r="E28" s="9">
        <v>7.52</v>
      </c>
      <c r="F28" s="10">
        <v>6.84</v>
      </c>
      <c r="G28" s="9">
        <v>7.21</v>
      </c>
      <c r="H28" s="10">
        <v>6.54</v>
      </c>
      <c r="I28" s="13">
        <f t="shared" si="6"/>
        <v>43.247999999999998</v>
      </c>
      <c r="J28" s="13">
        <f t="shared" si="7"/>
        <v>51.436799999999998</v>
      </c>
      <c r="K28" s="13">
        <f t="shared" si="8"/>
        <v>47.153399999999998</v>
      </c>
      <c r="M28" s="3"/>
      <c r="N28" s="3">
        <v>15</v>
      </c>
      <c r="O28" s="9">
        <v>4.1100000000000003</v>
      </c>
      <c r="P28" s="10">
        <v>3.99</v>
      </c>
      <c r="Q28" s="9">
        <v>3.99</v>
      </c>
      <c r="R28" s="10">
        <v>3.53</v>
      </c>
      <c r="S28" s="9">
        <v>4.29</v>
      </c>
      <c r="T28" s="10">
        <v>3.88</v>
      </c>
      <c r="U28" s="13">
        <f t="shared" si="9"/>
        <v>16.398900000000001</v>
      </c>
      <c r="V28" s="13">
        <f t="shared" si="10"/>
        <v>14.0847</v>
      </c>
      <c r="W28" s="13">
        <f t="shared" si="11"/>
        <v>16.645199999999999</v>
      </c>
    </row>
    <row r="29" spans="1:23" x14ac:dyDescent="0.2">
      <c r="A29" s="3"/>
      <c r="B29" s="3">
        <v>17</v>
      </c>
      <c r="C29" s="9">
        <v>8.6</v>
      </c>
      <c r="D29" s="10">
        <v>7.2</v>
      </c>
      <c r="E29" s="9">
        <v>7.3</v>
      </c>
      <c r="F29" s="10">
        <v>7</v>
      </c>
      <c r="G29" s="9">
        <v>8.1</v>
      </c>
      <c r="H29" s="10">
        <v>7</v>
      </c>
      <c r="I29" s="13">
        <f t="shared" si="6"/>
        <v>61.92</v>
      </c>
      <c r="J29" s="13">
        <f t="shared" si="7"/>
        <v>51.1</v>
      </c>
      <c r="K29" s="13">
        <f t="shared" si="8"/>
        <v>56.699999999999996</v>
      </c>
      <c r="M29" s="3"/>
      <c r="N29" s="3">
        <v>17</v>
      </c>
      <c r="O29" s="9">
        <v>3.3</v>
      </c>
      <c r="P29" s="10">
        <v>3.3</v>
      </c>
      <c r="Q29" s="9">
        <v>2.9</v>
      </c>
      <c r="R29" s="10">
        <v>2.5</v>
      </c>
      <c r="S29" s="9">
        <v>3.7</v>
      </c>
      <c r="T29" s="10">
        <v>3.5</v>
      </c>
      <c r="U29" s="13">
        <f t="shared" si="9"/>
        <v>10.889999999999999</v>
      </c>
      <c r="V29" s="13">
        <f t="shared" si="10"/>
        <v>7.25</v>
      </c>
      <c r="W29" s="13">
        <f t="shared" si="11"/>
        <v>12.950000000000001</v>
      </c>
    </row>
    <row r="30" spans="1:23" x14ac:dyDescent="0.2">
      <c r="A30" s="3"/>
      <c r="B30" s="3">
        <v>19</v>
      </c>
      <c r="C30" s="9">
        <v>8.66</v>
      </c>
      <c r="D30" s="10">
        <v>7.87</v>
      </c>
      <c r="E30" s="9">
        <v>9.1300000000000008</v>
      </c>
      <c r="F30" s="10">
        <v>7.95</v>
      </c>
      <c r="G30" s="9">
        <v>7.94</v>
      </c>
      <c r="H30" s="10">
        <v>8.1</v>
      </c>
      <c r="I30" s="13">
        <f t="shared" si="6"/>
        <v>68.154200000000003</v>
      </c>
      <c r="J30" s="13">
        <f t="shared" si="7"/>
        <v>72.583500000000001</v>
      </c>
      <c r="K30" s="13">
        <f t="shared" si="8"/>
        <v>64.314000000000007</v>
      </c>
      <c r="M30" s="3"/>
      <c r="N30" s="3">
        <v>19</v>
      </c>
      <c r="O30" s="9">
        <v>4.08</v>
      </c>
      <c r="P30" s="10">
        <v>3.35</v>
      </c>
      <c r="Q30" s="9">
        <v>2.2000000000000002</v>
      </c>
      <c r="R30" s="10">
        <v>1.8</v>
      </c>
      <c r="S30" s="9">
        <v>0</v>
      </c>
      <c r="T30" s="10">
        <v>0</v>
      </c>
      <c r="U30" s="13">
        <f t="shared" si="9"/>
        <v>13.668000000000001</v>
      </c>
      <c r="V30" s="13">
        <f t="shared" si="10"/>
        <v>3.9600000000000004</v>
      </c>
      <c r="W30" s="13">
        <f t="shared" si="11"/>
        <v>0</v>
      </c>
    </row>
    <row r="31" spans="1:23" x14ac:dyDescent="0.2">
      <c r="A31" s="3"/>
      <c r="B31" s="3">
        <v>21</v>
      </c>
      <c r="C31" s="9">
        <v>8.7200000000000006</v>
      </c>
      <c r="D31" s="10">
        <v>8.1999999999999993</v>
      </c>
      <c r="E31" s="9">
        <v>8.81</v>
      </c>
      <c r="F31" s="10">
        <v>9.44</v>
      </c>
      <c r="G31" s="9">
        <v>9.5</v>
      </c>
      <c r="H31" s="10">
        <v>8.48</v>
      </c>
      <c r="I31" s="13">
        <f t="shared" si="6"/>
        <v>71.504000000000005</v>
      </c>
      <c r="J31" s="13">
        <f t="shared" si="7"/>
        <v>83.166399999999996</v>
      </c>
      <c r="K31" s="13">
        <f t="shared" si="8"/>
        <v>80.56</v>
      </c>
      <c r="M31" s="3"/>
      <c r="N31" s="3">
        <v>21</v>
      </c>
      <c r="O31" s="9">
        <v>0</v>
      </c>
      <c r="P31" s="10">
        <v>0</v>
      </c>
      <c r="Q31" s="9">
        <v>0</v>
      </c>
      <c r="R31" s="10">
        <v>0</v>
      </c>
      <c r="S31" s="9">
        <v>3.3</v>
      </c>
      <c r="T31" s="10">
        <v>4.01</v>
      </c>
      <c r="U31" s="13">
        <f t="shared" si="9"/>
        <v>0</v>
      </c>
      <c r="V31" s="13">
        <f t="shared" si="10"/>
        <v>0</v>
      </c>
      <c r="W31" s="13">
        <f t="shared" si="11"/>
        <v>13.232999999999999</v>
      </c>
    </row>
    <row r="32" spans="1:23" ht="17" thickBot="1" x14ac:dyDescent="0.25">
      <c r="A32" s="3"/>
      <c r="B32" s="3">
        <v>23</v>
      </c>
      <c r="C32" s="14">
        <v>10.78</v>
      </c>
      <c r="D32" s="15">
        <v>9.67</v>
      </c>
      <c r="E32" s="14">
        <v>9.9700000000000006</v>
      </c>
      <c r="F32" s="15">
        <v>8.5500000000000007</v>
      </c>
      <c r="G32" s="14">
        <v>9.27</v>
      </c>
      <c r="H32" s="15">
        <v>9.2799999999999994</v>
      </c>
      <c r="I32" s="16">
        <f t="shared" si="6"/>
        <v>104.2426</v>
      </c>
      <c r="J32" s="16">
        <f t="shared" si="7"/>
        <v>85.243500000000012</v>
      </c>
      <c r="K32" s="16">
        <f t="shared" si="8"/>
        <v>86.025599999999997</v>
      </c>
      <c r="M32" s="3"/>
      <c r="N32" s="3">
        <v>23</v>
      </c>
      <c r="O32" s="14">
        <v>0</v>
      </c>
      <c r="P32" s="15">
        <v>0</v>
      </c>
      <c r="Q32" s="14">
        <v>0</v>
      </c>
      <c r="R32" s="15">
        <v>0</v>
      </c>
      <c r="S32" s="14">
        <v>3.7</v>
      </c>
      <c r="T32" s="15">
        <v>4.28</v>
      </c>
      <c r="U32" s="16">
        <f t="shared" si="9"/>
        <v>0</v>
      </c>
      <c r="V32" s="16">
        <f t="shared" si="10"/>
        <v>0</v>
      </c>
      <c r="W32" s="16">
        <f t="shared" si="11"/>
        <v>15.836000000000002</v>
      </c>
    </row>
    <row r="33" spans="1:29" ht="17" thickTop="1" x14ac:dyDescent="0.2"/>
    <row r="36" spans="1:29" x14ac:dyDescent="0.2">
      <c r="A36" s="1" t="s">
        <v>19</v>
      </c>
    </row>
    <row r="37" spans="1:29" x14ac:dyDescent="0.2">
      <c r="A37" s="2" t="s">
        <v>4</v>
      </c>
      <c r="M37" s="1" t="s">
        <v>5</v>
      </c>
    </row>
    <row r="38" spans="1:29" ht="17" thickBot="1" x14ac:dyDescent="0.25">
      <c r="A38" s="3" t="s">
        <v>6</v>
      </c>
      <c r="B38" s="3"/>
      <c r="C38" s="17">
        <v>4500</v>
      </c>
      <c r="D38" s="17"/>
      <c r="E38" s="17">
        <v>4501</v>
      </c>
      <c r="F38" s="17"/>
      <c r="G38" s="17">
        <v>4447</v>
      </c>
      <c r="H38" s="17"/>
      <c r="I38" s="3"/>
      <c r="J38" s="3"/>
      <c r="K38" s="3"/>
      <c r="M38" s="3" t="s">
        <v>6</v>
      </c>
    </row>
    <row r="39" spans="1:29" ht="18" thickTop="1" thickBot="1" x14ac:dyDescent="0.25">
      <c r="A39" s="3"/>
      <c r="B39" s="3" t="s">
        <v>8</v>
      </c>
      <c r="C39" s="4" t="s">
        <v>9</v>
      </c>
      <c r="D39" s="5" t="s">
        <v>10</v>
      </c>
      <c r="E39" s="6" t="s">
        <v>11</v>
      </c>
      <c r="F39" s="5" t="s">
        <v>12</v>
      </c>
      <c r="G39" s="6" t="s">
        <v>13</v>
      </c>
      <c r="H39" s="5" t="s">
        <v>14</v>
      </c>
      <c r="I39" s="6" t="s">
        <v>15</v>
      </c>
      <c r="J39" s="6" t="s">
        <v>16</v>
      </c>
      <c r="K39" s="5" t="s">
        <v>17</v>
      </c>
      <c r="M39" t="s">
        <v>7</v>
      </c>
      <c r="N39" t="s">
        <v>8</v>
      </c>
      <c r="O39" s="4" t="s">
        <v>9</v>
      </c>
      <c r="P39" s="5" t="s">
        <v>10</v>
      </c>
      <c r="Q39" s="6" t="s">
        <v>11</v>
      </c>
      <c r="R39" s="5" t="s">
        <v>12</v>
      </c>
      <c r="S39" s="6" t="s">
        <v>13</v>
      </c>
      <c r="T39" s="5" t="s">
        <v>14</v>
      </c>
      <c r="U39" s="6" t="s">
        <v>20</v>
      </c>
      <c r="V39" s="6" t="s">
        <v>21</v>
      </c>
      <c r="W39" s="4" t="s">
        <v>22</v>
      </c>
      <c r="X39" s="5" t="s">
        <v>23</v>
      </c>
      <c r="Y39" s="4" t="s">
        <v>15</v>
      </c>
      <c r="Z39" s="6" t="s">
        <v>16</v>
      </c>
      <c r="AA39" s="6" t="s">
        <v>17</v>
      </c>
      <c r="AB39" s="6" t="s">
        <v>24</v>
      </c>
      <c r="AC39" s="5" t="s">
        <v>25</v>
      </c>
    </row>
    <row r="40" spans="1:29" ht="17" thickTop="1" x14ac:dyDescent="0.2">
      <c r="A40" s="8">
        <v>45119</v>
      </c>
      <c r="B40" s="3">
        <v>6</v>
      </c>
      <c r="C40" s="3">
        <v>4.63</v>
      </c>
      <c r="D40" s="3">
        <v>4.03</v>
      </c>
      <c r="E40" s="3">
        <v>5.18</v>
      </c>
      <c r="F40" s="3">
        <v>3.66</v>
      </c>
      <c r="G40" s="3">
        <v>4.88</v>
      </c>
      <c r="H40" s="3">
        <v>5.14</v>
      </c>
      <c r="I40" s="3">
        <v>18.658899999999999</v>
      </c>
      <c r="J40" s="3">
        <v>18.9588</v>
      </c>
      <c r="K40" s="3">
        <v>25.083200000000001</v>
      </c>
      <c r="M40" s="18">
        <v>44389</v>
      </c>
      <c r="N40">
        <v>6</v>
      </c>
      <c r="O40">
        <v>8.0399999999999991</v>
      </c>
      <c r="P40">
        <v>4.0999999999999996</v>
      </c>
      <c r="Q40">
        <v>6.09</v>
      </c>
      <c r="R40">
        <v>4.8499999999999996</v>
      </c>
      <c r="S40">
        <v>4</v>
      </c>
      <c r="T40">
        <v>4.16</v>
      </c>
      <c r="U40">
        <v>4.5</v>
      </c>
      <c r="V40">
        <v>5.71</v>
      </c>
      <c r="W40">
        <v>4.8600000000000003</v>
      </c>
      <c r="X40">
        <v>4.54</v>
      </c>
      <c r="Y40">
        <f>O40*P40</f>
        <v>32.963999999999992</v>
      </c>
      <c r="Z40">
        <f>Q40*R40</f>
        <v>29.536499999999997</v>
      </c>
      <c r="AA40">
        <f>S40*T40</f>
        <v>16.64</v>
      </c>
      <c r="AB40">
        <f>U40*V40</f>
        <v>25.695</v>
      </c>
      <c r="AC40">
        <f>W40*X40</f>
        <v>22.064400000000003</v>
      </c>
    </row>
    <row r="41" spans="1:29" x14ac:dyDescent="0.2">
      <c r="A41" s="8">
        <v>45121</v>
      </c>
      <c r="B41" s="3">
        <v>8</v>
      </c>
      <c r="C41" s="3">
        <v>5.51</v>
      </c>
      <c r="D41" s="3">
        <v>4.32</v>
      </c>
      <c r="E41" s="3">
        <v>5.73</v>
      </c>
      <c r="F41" s="3">
        <v>4.2699999999999996</v>
      </c>
      <c r="G41" s="3">
        <v>6.11</v>
      </c>
      <c r="H41" s="3">
        <v>5.94</v>
      </c>
      <c r="I41" s="3">
        <v>23.8032</v>
      </c>
      <c r="J41" s="3">
        <v>24.467099999999999</v>
      </c>
      <c r="K41" s="3">
        <v>36.293399999999998</v>
      </c>
      <c r="M41" s="18">
        <v>44391</v>
      </c>
      <c r="N41">
        <v>8</v>
      </c>
      <c r="O41">
        <v>9.65</v>
      </c>
      <c r="P41">
        <v>4.34</v>
      </c>
      <c r="Q41">
        <v>6.15</v>
      </c>
      <c r="R41">
        <v>4.43</v>
      </c>
      <c r="S41">
        <v>4.82</v>
      </c>
      <c r="T41">
        <v>4.1100000000000003</v>
      </c>
      <c r="U41">
        <v>6.29</v>
      </c>
      <c r="V41">
        <v>4.7699999999999996</v>
      </c>
      <c r="W41">
        <v>5.33</v>
      </c>
      <c r="X41">
        <v>4.03</v>
      </c>
      <c r="Y41">
        <f t="shared" ref="Y41:Y48" si="12">O41*P41</f>
        <v>41.881</v>
      </c>
      <c r="Z41">
        <f t="shared" ref="Z41:Z48" si="13">Q41*R41</f>
        <v>27.244499999999999</v>
      </c>
      <c r="AA41">
        <f t="shared" ref="AA41:AA48" si="14">S41*T41</f>
        <v>19.810200000000002</v>
      </c>
      <c r="AB41">
        <f t="shared" ref="AB41:AB48" si="15">U41*V41</f>
        <v>30.003299999999996</v>
      </c>
      <c r="AC41">
        <f t="shared" ref="AC41:AC48" si="16">W41*X41</f>
        <v>21.479900000000001</v>
      </c>
    </row>
    <row r="42" spans="1:29" x14ac:dyDescent="0.2">
      <c r="A42" s="8">
        <v>45123</v>
      </c>
      <c r="B42" s="3">
        <v>10</v>
      </c>
      <c r="C42" s="3">
        <v>5.69</v>
      </c>
      <c r="D42" s="3">
        <v>4.4400000000000004</v>
      </c>
      <c r="E42" s="3">
        <v>6.08</v>
      </c>
      <c r="F42" s="3">
        <v>4.49</v>
      </c>
      <c r="G42" s="3">
        <v>5.76</v>
      </c>
      <c r="H42" s="3">
        <v>5.95</v>
      </c>
      <c r="I42" s="3">
        <v>25.2636</v>
      </c>
      <c r="J42" s="3">
        <v>27.299199999999999</v>
      </c>
      <c r="K42" s="3">
        <v>34.271999999999998</v>
      </c>
      <c r="M42" s="18">
        <v>44393</v>
      </c>
      <c r="N42">
        <v>10</v>
      </c>
      <c r="O42">
        <v>9.52</v>
      </c>
      <c r="P42">
        <v>4.5999999999999996</v>
      </c>
      <c r="Q42">
        <v>6.32</v>
      </c>
      <c r="R42">
        <v>4.5</v>
      </c>
      <c r="S42">
        <v>4.0999999999999996</v>
      </c>
      <c r="T42">
        <v>4.62</v>
      </c>
      <c r="U42">
        <v>6.49</v>
      </c>
      <c r="V42">
        <v>4.87</v>
      </c>
      <c r="W42">
        <v>4.22</v>
      </c>
      <c r="X42">
        <v>5.0599999999999996</v>
      </c>
      <c r="Y42">
        <f t="shared" si="12"/>
        <v>43.791999999999994</v>
      </c>
      <c r="Z42">
        <f t="shared" si="13"/>
        <v>28.44</v>
      </c>
      <c r="AA42">
        <f t="shared" si="14"/>
        <v>18.942</v>
      </c>
      <c r="AB42">
        <f t="shared" si="15"/>
        <v>31.606300000000001</v>
      </c>
      <c r="AC42">
        <f t="shared" si="16"/>
        <v>21.353199999999998</v>
      </c>
    </row>
    <row r="43" spans="1:29" x14ac:dyDescent="0.2">
      <c r="A43" s="8">
        <v>45126</v>
      </c>
      <c r="B43" s="3">
        <v>13</v>
      </c>
      <c r="C43" s="3">
        <v>7.03</v>
      </c>
      <c r="D43" s="3">
        <v>5.42</v>
      </c>
      <c r="E43" s="3">
        <v>6.9</v>
      </c>
      <c r="F43" s="3">
        <v>5.47</v>
      </c>
      <c r="G43" s="3">
        <v>7.19</v>
      </c>
      <c r="H43" s="3">
        <v>7.95</v>
      </c>
      <c r="I43" s="3">
        <v>38.102600000000002</v>
      </c>
      <c r="J43" s="3">
        <v>37.743000000000002</v>
      </c>
      <c r="K43" s="3">
        <v>57.160499999999999</v>
      </c>
      <c r="M43" s="18">
        <v>44396</v>
      </c>
      <c r="N43">
        <v>13</v>
      </c>
      <c r="O43">
        <v>9.86</v>
      </c>
      <c r="P43">
        <v>4.54</v>
      </c>
      <c r="Q43">
        <v>6.33</v>
      </c>
      <c r="R43">
        <v>5.2</v>
      </c>
      <c r="S43">
        <v>4.49</v>
      </c>
      <c r="T43">
        <v>4.62</v>
      </c>
      <c r="U43">
        <v>6.72</v>
      </c>
      <c r="V43">
        <v>5.48</v>
      </c>
      <c r="W43">
        <v>4.8</v>
      </c>
      <c r="X43">
        <v>4.92</v>
      </c>
      <c r="Y43">
        <f t="shared" si="12"/>
        <v>44.764399999999995</v>
      </c>
      <c r="Z43">
        <f t="shared" si="13"/>
        <v>32.916000000000004</v>
      </c>
      <c r="AA43">
        <f t="shared" si="14"/>
        <v>20.7438</v>
      </c>
      <c r="AB43">
        <f t="shared" si="15"/>
        <v>36.825600000000001</v>
      </c>
      <c r="AC43">
        <f t="shared" si="16"/>
        <v>23.616</v>
      </c>
    </row>
    <row r="44" spans="1:29" x14ac:dyDescent="0.2">
      <c r="A44" s="8">
        <v>45128</v>
      </c>
      <c r="B44" s="3">
        <v>15</v>
      </c>
      <c r="C44" s="3">
        <v>7.75</v>
      </c>
      <c r="D44" s="3">
        <v>6.13</v>
      </c>
      <c r="E44" s="3">
        <v>7.56</v>
      </c>
      <c r="F44" s="3">
        <v>6.26</v>
      </c>
      <c r="G44" s="3">
        <v>9.24</v>
      </c>
      <c r="H44" s="3">
        <v>8.9600000000000009</v>
      </c>
      <c r="I44" s="3">
        <v>47.5075</v>
      </c>
      <c r="J44" s="3">
        <v>47.325600000000001</v>
      </c>
      <c r="K44" s="3">
        <v>82.790400000000005</v>
      </c>
      <c r="M44" s="18">
        <v>44398</v>
      </c>
      <c r="N44">
        <v>15</v>
      </c>
      <c r="O44">
        <v>11.1</v>
      </c>
      <c r="P44">
        <v>5.16</v>
      </c>
      <c r="Q44">
        <v>7.33</v>
      </c>
      <c r="R44">
        <v>5.57</v>
      </c>
      <c r="S44">
        <v>5.22</v>
      </c>
      <c r="T44">
        <v>4.82</v>
      </c>
      <c r="U44">
        <v>7.68</v>
      </c>
      <c r="V44">
        <v>5.62</v>
      </c>
      <c r="W44">
        <v>5.6</v>
      </c>
      <c r="X44">
        <v>5.62</v>
      </c>
      <c r="Y44">
        <f t="shared" si="12"/>
        <v>57.275999999999996</v>
      </c>
      <c r="Z44">
        <f t="shared" si="13"/>
        <v>40.828099999999999</v>
      </c>
      <c r="AA44">
        <f t="shared" si="14"/>
        <v>25.160399999999999</v>
      </c>
      <c r="AB44">
        <f t="shared" si="15"/>
        <v>43.1616</v>
      </c>
      <c r="AC44">
        <f t="shared" si="16"/>
        <v>31.471999999999998</v>
      </c>
    </row>
    <row r="45" spans="1:29" x14ac:dyDescent="0.2">
      <c r="A45" s="8">
        <v>45130</v>
      </c>
      <c r="B45" s="3">
        <v>17</v>
      </c>
      <c r="C45" s="3">
        <v>8.2799999999999994</v>
      </c>
      <c r="D45" s="3">
        <v>6.43</v>
      </c>
      <c r="E45" s="3">
        <v>7.92</v>
      </c>
      <c r="F45" s="3">
        <v>6.84</v>
      </c>
      <c r="G45" s="3">
        <v>11.59</v>
      </c>
      <c r="H45" s="3">
        <v>9.2200000000000006</v>
      </c>
      <c r="I45" s="3">
        <v>53.240400000000001</v>
      </c>
      <c r="J45" s="3">
        <v>54.172800000000002</v>
      </c>
      <c r="K45" s="3">
        <v>106.85980000000001</v>
      </c>
      <c r="M45" s="18">
        <v>44400</v>
      </c>
      <c r="N45">
        <v>17</v>
      </c>
      <c r="O45">
        <v>11.64</v>
      </c>
      <c r="P45">
        <v>5.45</v>
      </c>
      <c r="Q45">
        <v>7.54</v>
      </c>
      <c r="R45">
        <v>6.1</v>
      </c>
      <c r="S45">
        <v>5.74</v>
      </c>
      <c r="T45">
        <v>5.46</v>
      </c>
      <c r="U45">
        <v>7.02</v>
      </c>
      <c r="V45">
        <v>5.85</v>
      </c>
      <c r="W45">
        <v>5.59</v>
      </c>
      <c r="X45">
        <v>5.43</v>
      </c>
      <c r="Y45">
        <f t="shared" si="12"/>
        <v>63.438000000000002</v>
      </c>
      <c r="Z45">
        <f t="shared" si="13"/>
        <v>45.994</v>
      </c>
      <c r="AA45">
        <f t="shared" si="14"/>
        <v>31.340400000000002</v>
      </c>
      <c r="AB45">
        <f t="shared" si="15"/>
        <v>41.066999999999993</v>
      </c>
      <c r="AC45">
        <f t="shared" si="16"/>
        <v>30.353699999999996</v>
      </c>
    </row>
    <row r="46" spans="1:29" x14ac:dyDescent="0.2">
      <c r="A46" s="8">
        <v>45133</v>
      </c>
      <c r="B46" s="3">
        <v>20</v>
      </c>
      <c r="C46" s="3">
        <v>9.0500000000000007</v>
      </c>
      <c r="D46" s="3">
        <v>8.1300000000000008</v>
      </c>
      <c r="E46" s="3">
        <v>8.86</v>
      </c>
      <c r="F46" s="3">
        <v>8.16</v>
      </c>
      <c r="G46" s="3">
        <v>14.81</v>
      </c>
      <c r="H46" s="3">
        <v>10.16</v>
      </c>
      <c r="I46" s="3">
        <v>73.576499999999996</v>
      </c>
      <c r="J46" s="3">
        <v>72.297600000000003</v>
      </c>
      <c r="K46" s="3">
        <v>150.46960000000001</v>
      </c>
      <c r="M46" s="18">
        <v>44403</v>
      </c>
      <c r="N46">
        <v>20</v>
      </c>
      <c r="O46">
        <v>12.38</v>
      </c>
      <c r="P46">
        <v>6.31</v>
      </c>
      <c r="Q46">
        <v>8.85</v>
      </c>
      <c r="R46">
        <v>6.97</v>
      </c>
      <c r="S46">
        <v>6.7</v>
      </c>
      <c r="T46">
        <v>6.61</v>
      </c>
      <c r="U46">
        <v>7.73</v>
      </c>
      <c r="V46">
        <v>6.7</v>
      </c>
      <c r="W46">
        <v>5.98</v>
      </c>
      <c r="X46">
        <v>5.55</v>
      </c>
      <c r="Y46">
        <f t="shared" si="12"/>
        <v>78.117800000000003</v>
      </c>
      <c r="Z46">
        <f t="shared" si="13"/>
        <v>61.684499999999993</v>
      </c>
      <c r="AA46">
        <f t="shared" si="14"/>
        <v>44.287000000000006</v>
      </c>
      <c r="AB46">
        <f t="shared" si="15"/>
        <v>51.791000000000004</v>
      </c>
      <c r="AC46">
        <f t="shared" si="16"/>
        <v>33.189</v>
      </c>
    </row>
    <row r="47" spans="1:29" x14ac:dyDescent="0.2">
      <c r="A47" s="8">
        <v>45135</v>
      </c>
      <c r="B47" s="3">
        <v>22</v>
      </c>
      <c r="C47" s="3">
        <v>9.4600000000000009</v>
      </c>
      <c r="D47" s="3">
        <v>8.3000000000000007</v>
      </c>
      <c r="E47" s="3">
        <v>9.23</v>
      </c>
      <c r="F47" s="3">
        <v>8.6999999999999993</v>
      </c>
      <c r="G47" s="3">
        <v>14.14</v>
      </c>
      <c r="H47" s="3">
        <v>10.34</v>
      </c>
      <c r="I47" s="3">
        <v>78.518000000000001</v>
      </c>
      <c r="J47" s="3">
        <v>80.301000000000002</v>
      </c>
      <c r="K47" s="3">
        <v>146.20760000000001</v>
      </c>
      <c r="M47" s="18">
        <v>44405</v>
      </c>
      <c r="N47">
        <v>22</v>
      </c>
      <c r="O47">
        <v>13.34</v>
      </c>
      <c r="P47">
        <v>6.46</v>
      </c>
      <c r="Q47">
        <v>9.58</v>
      </c>
      <c r="R47">
        <v>7.47</v>
      </c>
      <c r="S47">
        <v>6.75</v>
      </c>
      <c r="T47">
        <v>7.06</v>
      </c>
      <c r="U47">
        <v>8.51</v>
      </c>
      <c r="V47">
        <v>7.14</v>
      </c>
      <c r="W47">
        <v>6.96</v>
      </c>
      <c r="X47">
        <v>5.76</v>
      </c>
      <c r="Y47">
        <f t="shared" si="12"/>
        <v>86.176400000000001</v>
      </c>
      <c r="Z47">
        <f t="shared" si="13"/>
        <v>71.562600000000003</v>
      </c>
      <c r="AA47">
        <f t="shared" si="14"/>
        <v>47.654999999999994</v>
      </c>
      <c r="AB47">
        <f t="shared" si="15"/>
        <v>60.761399999999995</v>
      </c>
      <c r="AC47">
        <f t="shared" si="16"/>
        <v>40.089599999999997</v>
      </c>
    </row>
    <row r="48" spans="1:29" x14ac:dyDescent="0.2">
      <c r="A48" s="8">
        <v>45137</v>
      </c>
      <c r="B48" s="3">
        <v>24</v>
      </c>
      <c r="C48" s="3">
        <v>10.94</v>
      </c>
      <c r="D48" s="3">
        <v>8.66</v>
      </c>
      <c r="E48" s="3">
        <v>10.66</v>
      </c>
      <c r="F48" s="3">
        <v>9.2899999999999991</v>
      </c>
      <c r="G48" s="3">
        <v>15.35</v>
      </c>
      <c r="H48" s="3">
        <v>11.14</v>
      </c>
      <c r="I48" s="3">
        <v>94.740399999999994</v>
      </c>
      <c r="J48" s="3">
        <v>99.031400000000005</v>
      </c>
      <c r="K48" s="3">
        <v>170.999</v>
      </c>
      <c r="M48" s="18">
        <v>44407</v>
      </c>
      <c r="N48">
        <v>24</v>
      </c>
      <c r="O48">
        <v>13.34</v>
      </c>
      <c r="P48">
        <v>7.28</v>
      </c>
      <c r="Q48">
        <v>9.98</v>
      </c>
      <c r="R48">
        <v>7.87</v>
      </c>
      <c r="S48">
        <v>7.27</v>
      </c>
      <c r="T48">
        <v>7.21</v>
      </c>
      <c r="U48">
        <v>8.69</v>
      </c>
      <c r="V48">
        <v>7.81</v>
      </c>
      <c r="W48">
        <v>7.59</v>
      </c>
      <c r="X48">
        <v>6.33</v>
      </c>
      <c r="Y48">
        <f t="shared" si="12"/>
        <v>97.115200000000002</v>
      </c>
      <c r="Z48">
        <f t="shared" si="13"/>
        <v>78.542600000000007</v>
      </c>
      <c r="AA48">
        <f t="shared" si="14"/>
        <v>52.416699999999999</v>
      </c>
      <c r="AB48">
        <f t="shared" si="15"/>
        <v>67.868899999999996</v>
      </c>
      <c r="AC48">
        <f t="shared" si="16"/>
        <v>48.044699999999999</v>
      </c>
    </row>
    <row r="49" spans="1:29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29" ht="17" thickBot="1" x14ac:dyDescent="0.25">
      <c r="A50" s="3" t="s">
        <v>18</v>
      </c>
      <c r="B50" s="3"/>
      <c r="C50" s="17">
        <v>4502</v>
      </c>
      <c r="D50" s="17"/>
      <c r="E50" s="17">
        <v>4503</v>
      </c>
      <c r="F50" s="17"/>
      <c r="G50" s="17">
        <v>4499</v>
      </c>
      <c r="H50" s="17"/>
      <c r="I50" s="3"/>
      <c r="J50" s="3"/>
      <c r="K50" s="3"/>
      <c r="M50" s="3" t="s">
        <v>18</v>
      </c>
    </row>
    <row r="51" spans="1:29" ht="18" thickTop="1" thickBot="1" x14ac:dyDescent="0.25">
      <c r="A51" s="3"/>
      <c r="B51" s="3" t="s">
        <v>8</v>
      </c>
      <c r="C51" s="4" t="s">
        <v>9</v>
      </c>
      <c r="D51" s="5" t="s">
        <v>10</v>
      </c>
      <c r="E51" s="6" t="s">
        <v>11</v>
      </c>
      <c r="F51" s="5" t="s">
        <v>12</v>
      </c>
      <c r="G51" s="6" t="s">
        <v>13</v>
      </c>
      <c r="H51" s="5" t="s">
        <v>14</v>
      </c>
      <c r="I51" s="6" t="s">
        <v>15</v>
      </c>
      <c r="J51" s="6" t="s">
        <v>16</v>
      </c>
      <c r="K51" s="5" t="s">
        <v>17</v>
      </c>
      <c r="M51" t="s">
        <v>7</v>
      </c>
      <c r="N51" t="s">
        <v>8</v>
      </c>
      <c r="O51" s="4" t="s">
        <v>9</v>
      </c>
      <c r="P51" s="5" t="s">
        <v>10</v>
      </c>
      <c r="Q51" s="6" t="s">
        <v>11</v>
      </c>
      <c r="R51" s="5" t="s">
        <v>12</v>
      </c>
      <c r="S51" s="6" t="s">
        <v>13</v>
      </c>
      <c r="T51" s="5" t="s">
        <v>14</v>
      </c>
      <c r="U51" s="6" t="s">
        <v>20</v>
      </c>
      <c r="V51" s="6" t="s">
        <v>21</v>
      </c>
      <c r="W51" s="4" t="s">
        <v>22</v>
      </c>
      <c r="X51" s="5" t="s">
        <v>23</v>
      </c>
      <c r="Y51" s="4" t="s">
        <v>15</v>
      </c>
      <c r="Z51" s="6" t="s">
        <v>16</v>
      </c>
      <c r="AA51" s="6" t="s">
        <v>17</v>
      </c>
      <c r="AB51" s="6" t="s">
        <v>24</v>
      </c>
      <c r="AC51" s="5" t="s">
        <v>25</v>
      </c>
    </row>
    <row r="52" spans="1:29" ht="17" thickTop="1" x14ac:dyDescent="0.2">
      <c r="A52" s="8">
        <v>45119</v>
      </c>
      <c r="B52" s="3">
        <v>6</v>
      </c>
      <c r="C52" s="3">
        <v>5.4</v>
      </c>
      <c r="D52" s="3">
        <v>3.97</v>
      </c>
      <c r="E52" s="3">
        <v>5.58</v>
      </c>
      <c r="F52" s="3">
        <v>4.07</v>
      </c>
      <c r="G52" s="3">
        <v>4.32</v>
      </c>
      <c r="H52" s="3">
        <v>4.03</v>
      </c>
      <c r="I52" s="3">
        <v>21.437999999999999</v>
      </c>
      <c r="J52" s="3">
        <v>22.710599999999999</v>
      </c>
      <c r="K52" s="3">
        <v>17.409600000000001</v>
      </c>
      <c r="M52" s="18">
        <v>44389</v>
      </c>
      <c r="N52">
        <v>6</v>
      </c>
      <c r="O52">
        <v>6.46</v>
      </c>
      <c r="P52">
        <v>6.07</v>
      </c>
      <c r="Q52">
        <v>5.82</v>
      </c>
      <c r="R52">
        <v>4.7</v>
      </c>
      <c r="S52">
        <v>5.7</v>
      </c>
      <c r="T52">
        <v>5.0199999999999996</v>
      </c>
      <c r="U52">
        <v>5.28</v>
      </c>
      <c r="V52">
        <v>5.21</v>
      </c>
      <c r="W52">
        <v>6.36</v>
      </c>
      <c r="X52">
        <v>5.03</v>
      </c>
      <c r="Y52">
        <f>O52*P52</f>
        <v>39.212200000000003</v>
      </c>
      <c r="Z52">
        <f>Q52*R52</f>
        <v>27.354000000000003</v>
      </c>
      <c r="AA52">
        <f>S52*T52</f>
        <v>28.613999999999997</v>
      </c>
      <c r="AB52">
        <f>U52*V52</f>
        <v>27.508800000000001</v>
      </c>
      <c r="AC52">
        <f>W52*X52</f>
        <v>31.990800000000004</v>
      </c>
    </row>
    <row r="53" spans="1:29" x14ac:dyDescent="0.2">
      <c r="A53" s="8">
        <v>45121</v>
      </c>
      <c r="B53" s="3">
        <v>8</v>
      </c>
      <c r="C53" s="3">
        <v>6.2</v>
      </c>
      <c r="D53" s="3">
        <v>4.47</v>
      </c>
      <c r="E53" s="3">
        <v>6.3</v>
      </c>
      <c r="F53" s="3">
        <v>4.51</v>
      </c>
      <c r="G53" s="3">
        <v>5.67</v>
      </c>
      <c r="H53" s="3">
        <v>4.46</v>
      </c>
      <c r="I53" s="3">
        <v>27.713999999999999</v>
      </c>
      <c r="J53" s="3">
        <v>28.413</v>
      </c>
      <c r="K53" s="3">
        <v>25.2882</v>
      </c>
      <c r="M53" s="18">
        <v>44391</v>
      </c>
      <c r="N53">
        <v>8</v>
      </c>
      <c r="O53">
        <v>6.24</v>
      </c>
      <c r="P53">
        <v>4.5999999999999996</v>
      </c>
      <c r="Q53">
        <v>5.47</v>
      </c>
      <c r="R53">
        <v>3.98</v>
      </c>
      <c r="S53">
        <v>5.29</v>
      </c>
      <c r="T53">
        <v>4.4800000000000004</v>
      </c>
      <c r="U53">
        <v>5.87</v>
      </c>
      <c r="V53">
        <v>4.76</v>
      </c>
      <c r="W53">
        <v>4.9800000000000004</v>
      </c>
      <c r="X53">
        <v>3.44</v>
      </c>
      <c r="Y53">
        <f t="shared" ref="Y53:Y60" si="17">O53*P53</f>
        <v>28.703999999999997</v>
      </c>
      <c r="Z53">
        <f t="shared" ref="Z53:Z60" si="18">Q53*R53</f>
        <v>21.770599999999998</v>
      </c>
      <c r="AA53">
        <f t="shared" ref="AA53:AA60" si="19">S53*T53</f>
        <v>23.699200000000001</v>
      </c>
      <c r="AB53">
        <f t="shared" ref="AB53:AB60" si="20">U53*V53</f>
        <v>27.941199999999998</v>
      </c>
      <c r="AC53">
        <f t="shared" ref="AC53:AC60" si="21">W53*X53</f>
        <v>17.1312</v>
      </c>
    </row>
    <row r="54" spans="1:29" x14ac:dyDescent="0.2">
      <c r="A54" s="8">
        <v>45123</v>
      </c>
      <c r="B54" s="3">
        <v>10</v>
      </c>
      <c r="C54" s="3">
        <v>6.42</v>
      </c>
      <c r="D54" s="3">
        <v>4.8099999999999996</v>
      </c>
      <c r="E54" s="3">
        <v>6.86</v>
      </c>
      <c r="F54" s="3">
        <v>4.97</v>
      </c>
      <c r="G54" s="3">
        <v>5.8</v>
      </c>
      <c r="H54" s="3">
        <v>4.84</v>
      </c>
      <c r="I54" s="3">
        <v>30.880199999999999</v>
      </c>
      <c r="J54" s="3">
        <v>34.094200000000001</v>
      </c>
      <c r="K54" s="3">
        <v>28.071999999999999</v>
      </c>
      <c r="M54" s="18">
        <v>44393</v>
      </c>
      <c r="N54">
        <v>10</v>
      </c>
      <c r="O54">
        <v>5.71</v>
      </c>
      <c r="P54">
        <v>4.2699999999999996</v>
      </c>
      <c r="Q54">
        <v>5.17</v>
      </c>
      <c r="R54">
        <v>3.72</v>
      </c>
      <c r="S54">
        <v>5.24</v>
      </c>
      <c r="T54">
        <v>5.24</v>
      </c>
      <c r="U54">
        <v>6.19</v>
      </c>
      <c r="V54">
        <v>4.87</v>
      </c>
      <c r="W54">
        <v>3.97</v>
      </c>
      <c r="X54">
        <v>3.11</v>
      </c>
      <c r="Y54">
        <f t="shared" si="17"/>
        <v>24.381699999999999</v>
      </c>
      <c r="Z54">
        <f t="shared" si="18"/>
        <v>19.232400000000002</v>
      </c>
      <c r="AA54">
        <f t="shared" si="19"/>
        <v>27.457600000000003</v>
      </c>
      <c r="AB54">
        <f t="shared" si="20"/>
        <v>30.145300000000002</v>
      </c>
      <c r="AC54">
        <f t="shared" si="21"/>
        <v>12.3467</v>
      </c>
    </row>
    <row r="55" spans="1:29" x14ac:dyDescent="0.2">
      <c r="A55" s="8">
        <v>45126</v>
      </c>
      <c r="B55" s="3">
        <v>13</v>
      </c>
      <c r="C55" s="3">
        <v>6.9</v>
      </c>
      <c r="D55" s="3">
        <v>5.83</v>
      </c>
      <c r="E55" s="3">
        <v>7.66</v>
      </c>
      <c r="F55" s="3">
        <v>5.88</v>
      </c>
      <c r="G55" s="3">
        <v>6.49</v>
      </c>
      <c r="H55" s="3">
        <v>5.52</v>
      </c>
      <c r="I55" s="3">
        <v>40.226999999999997</v>
      </c>
      <c r="J55" s="3">
        <v>45.040799999999997</v>
      </c>
      <c r="K55" s="3">
        <v>35.824800000000003</v>
      </c>
      <c r="M55" s="18">
        <v>44396</v>
      </c>
      <c r="N55">
        <v>13</v>
      </c>
      <c r="O55">
        <v>6.02</v>
      </c>
      <c r="P55">
        <v>4.41</v>
      </c>
      <c r="Q55">
        <v>5.31</v>
      </c>
      <c r="R55">
        <v>3.61</v>
      </c>
      <c r="S55">
        <v>4.63</v>
      </c>
      <c r="T55">
        <v>5.48</v>
      </c>
      <c r="U55">
        <v>6.08</v>
      </c>
      <c r="V55">
        <v>4.88</v>
      </c>
      <c r="W55">
        <v>2.0099999999999998</v>
      </c>
      <c r="X55">
        <v>2.7</v>
      </c>
      <c r="Y55">
        <f t="shared" si="17"/>
        <v>26.548199999999998</v>
      </c>
      <c r="Z55">
        <f t="shared" si="18"/>
        <v>19.169099999999997</v>
      </c>
      <c r="AA55">
        <f t="shared" si="19"/>
        <v>25.372400000000003</v>
      </c>
      <c r="AB55">
        <f t="shared" si="20"/>
        <v>29.670400000000001</v>
      </c>
      <c r="AC55">
        <f t="shared" si="21"/>
        <v>5.4269999999999996</v>
      </c>
    </row>
    <row r="56" spans="1:29" x14ac:dyDescent="0.2">
      <c r="A56" s="8">
        <v>45128</v>
      </c>
      <c r="B56" s="3">
        <v>15</v>
      </c>
      <c r="C56" s="3">
        <v>7.98</v>
      </c>
      <c r="D56" s="3">
        <v>6.38</v>
      </c>
      <c r="E56" s="3">
        <v>8.6</v>
      </c>
      <c r="F56" s="3">
        <v>6.72</v>
      </c>
      <c r="G56" s="3">
        <v>6.98</v>
      </c>
      <c r="H56" s="3">
        <v>6.01</v>
      </c>
      <c r="I56" s="3">
        <v>50.912399999999998</v>
      </c>
      <c r="J56" s="3">
        <v>57.792000000000002</v>
      </c>
      <c r="K56" s="3">
        <v>41.949800000000003</v>
      </c>
      <c r="M56" s="18">
        <v>44398</v>
      </c>
      <c r="N56">
        <v>15</v>
      </c>
      <c r="O56">
        <v>6.65</v>
      </c>
      <c r="P56">
        <v>4.9400000000000004</v>
      </c>
      <c r="Q56">
        <v>5.76</v>
      </c>
      <c r="R56">
        <v>4.5199999999999996</v>
      </c>
      <c r="S56">
        <v>5.46</v>
      </c>
      <c r="T56">
        <v>5.85</v>
      </c>
      <c r="U56">
        <v>6.67</v>
      </c>
      <c r="V56">
        <v>5.44</v>
      </c>
      <c r="W56">
        <v>0</v>
      </c>
      <c r="X56">
        <v>0</v>
      </c>
      <c r="Y56">
        <f t="shared" si="17"/>
        <v>32.851000000000006</v>
      </c>
      <c r="Z56">
        <f t="shared" si="18"/>
        <v>26.035199999999996</v>
      </c>
      <c r="AA56">
        <f t="shared" si="19"/>
        <v>31.940999999999999</v>
      </c>
      <c r="AB56">
        <f t="shared" si="20"/>
        <v>36.284800000000004</v>
      </c>
      <c r="AC56">
        <f t="shared" si="21"/>
        <v>0</v>
      </c>
    </row>
    <row r="57" spans="1:29" x14ac:dyDescent="0.2">
      <c r="A57" s="8">
        <v>45130</v>
      </c>
      <c r="B57" s="3">
        <v>17</v>
      </c>
      <c r="C57" s="3">
        <v>8.24</v>
      </c>
      <c r="D57" s="3">
        <v>7.03</v>
      </c>
      <c r="E57" s="3">
        <v>9.25</v>
      </c>
      <c r="F57" s="3">
        <v>7.13</v>
      </c>
      <c r="G57" s="3">
        <v>7.13</v>
      </c>
      <c r="H57" s="3">
        <v>6.79</v>
      </c>
      <c r="I57" s="3">
        <v>57.927199999999999</v>
      </c>
      <c r="J57" s="3">
        <v>65.952500000000001</v>
      </c>
      <c r="K57" s="3">
        <v>48.412700000000001</v>
      </c>
      <c r="M57" s="18">
        <v>44400</v>
      </c>
      <c r="N57">
        <v>17</v>
      </c>
      <c r="O57">
        <v>6.95</v>
      </c>
      <c r="P57">
        <v>5.24</v>
      </c>
      <c r="Q57">
        <v>6.41</v>
      </c>
      <c r="R57">
        <v>4.5</v>
      </c>
      <c r="S57">
        <v>5.24</v>
      </c>
      <c r="T57">
        <v>5.9</v>
      </c>
      <c r="U57">
        <v>5.6</v>
      </c>
      <c r="V57">
        <v>6.13</v>
      </c>
      <c r="W57">
        <v>0</v>
      </c>
      <c r="X57">
        <v>0</v>
      </c>
      <c r="Y57">
        <f t="shared" si="17"/>
        <v>36.417999999999999</v>
      </c>
      <c r="Z57">
        <f t="shared" si="18"/>
        <v>28.844999999999999</v>
      </c>
      <c r="AA57">
        <f t="shared" si="19"/>
        <v>30.916000000000004</v>
      </c>
      <c r="AB57">
        <f t="shared" si="20"/>
        <v>34.327999999999996</v>
      </c>
      <c r="AC57">
        <f t="shared" si="21"/>
        <v>0</v>
      </c>
    </row>
    <row r="58" spans="1:29" x14ac:dyDescent="0.2">
      <c r="A58" s="8">
        <v>45133</v>
      </c>
      <c r="B58" s="3">
        <v>20</v>
      </c>
      <c r="C58" s="3">
        <v>9.56</v>
      </c>
      <c r="D58" s="3">
        <v>8.24</v>
      </c>
      <c r="E58" s="3">
        <v>10.79</v>
      </c>
      <c r="F58" s="3">
        <v>8.1300000000000008</v>
      </c>
      <c r="G58" s="3">
        <v>8.25</v>
      </c>
      <c r="H58" s="3">
        <v>7.83</v>
      </c>
      <c r="I58" s="3">
        <v>78.7744</v>
      </c>
      <c r="J58" s="3">
        <v>87.722700000000003</v>
      </c>
      <c r="K58" s="3">
        <v>64.597499999999997</v>
      </c>
      <c r="M58" s="18">
        <v>44403</v>
      </c>
      <c r="N58">
        <v>20</v>
      </c>
      <c r="O58">
        <v>8.61</v>
      </c>
      <c r="P58">
        <v>5.69</v>
      </c>
      <c r="Q58">
        <v>6.56</v>
      </c>
      <c r="R58">
        <v>4.87</v>
      </c>
      <c r="S58">
        <v>6.42</v>
      </c>
      <c r="T58">
        <v>6.35</v>
      </c>
      <c r="U58">
        <v>7.2</v>
      </c>
      <c r="V58">
        <v>6.59</v>
      </c>
      <c r="W58">
        <v>0</v>
      </c>
      <c r="X58">
        <v>0</v>
      </c>
      <c r="Y58">
        <f t="shared" si="17"/>
        <v>48.990900000000003</v>
      </c>
      <c r="Z58">
        <f t="shared" si="18"/>
        <v>31.947199999999999</v>
      </c>
      <c r="AA58">
        <f t="shared" si="19"/>
        <v>40.766999999999996</v>
      </c>
      <c r="AB58">
        <f t="shared" si="20"/>
        <v>47.448</v>
      </c>
      <c r="AC58">
        <f t="shared" si="21"/>
        <v>0</v>
      </c>
    </row>
    <row r="59" spans="1:29" x14ac:dyDescent="0.2">
      <c r="A59" s="8">
        <v>45135</v>
      </c>
      <c r="B59" s="3">
        <v>22</v>
      </c>
      <c r="C59" s="3">
        <v>8.7200000000000006</v>
      </c>
      <c r="D59" s="3">
        <v>9.75</v>
      </c>
      <c r="E59" s="3">
        <v>10.9</v>
      </c>
      <c r="F59" s="3">
        <v>9.1300000000000008</v>
      </c>
      <c r="G59" s="3">
        <v>8.89</v>
      </c>
      <c r="H59" s="3">
        <v>8.5299999999999994</v>
      </c>
      <c r="I59" s="3">
        <v>85.02</v>
      </c>
      <c r="J59" s="3">
        <v>99.516999999999996</v>
      </c>
      <c r="K59" s="3">
        <v>75.831699999999998</v>
      </c>
      <c r="M59" s="18">
        <v>44405</v>
      </c>
      <c r="N59">
        <v>22</v>
      </c>
      <c r="O59">
        <v>8.3000000000000007</v>
      </c>
      <c r="P59">
        <v>6.74</v>
      </c>
      <c r="Q59">
        <v>7.15</v>
      </c>
      <c r="R59">
        <v>5.52</v>
      </c>
      <c r="S59">
        <v>7.08</v>
      </c>
      <c r="T59">
        <v>6.56</v>
      </c>
      <c r="U59">
        <v>7.72</v>
      </c>
      <c r="V59">
        <v>7.68</v>
      </c>
      <c r="W59">
        <v>0</v>
      </c>
      <c r="X59">
        <v>0</v>
      </c>
      <c r="Y59">
        <f t="shared" si="17"/>
        <v>55.942000000000007</v>
      </c>
      <c r="Z59">
        <f t="shared" si="18"/>
        <v>39.467999999999996</v>
      </c>
      <c r="AA59">
        <f t="shared" si="19"/>
        <v>46.444800000000001</v>
      </c>
      <c r="AB59">
        <f t="shared" si="20"/>
        <v>59.289599999999993</v>
      </c>
      <c r="AC59">
        <f t="shared" si="21"/>
        <v>0</v>
      </c>
    </row>
    <row r="60" spans="1:29" x14ac:dyDescent="0.2">
      <c r="A60" s="8">
        <v>45137</v>
      </c>
      <c r="B60" s="3">
        <v>24</v>
      </c>
      <c r="C60" s="3">
        <v>9.48</v>
      </c>
      <c r="D60" s="3">
        <v>10.71</v>
      </c>
      <c r="E60" s="3">
        <v>11.55</v>
      </c>
      <c r="F60" s="3">
        <v>10.11</v>
      </c>
      <c r="G60" s="3">
        <v>9.98</v>
      </c>
      <c r="H60" s="3">
        <v>8.89</v>
      </c>
      <c r="I60" s="3">
        <v>101.5308</v>
      </c>
      <c r="J60" s="3">
        <v>116.7705</v>
      </c>
      <c r="K60" s="3">
        <v>88.722200000000001</v>
      </c>
      <c r="M60" s="18">
        <v>44407</v>
      </c>
      <c r="N60">
        <v>24</v>
      </c>
      <c r="O60">
        <v>10.41</v>
      </c>
      <c r="P60">
        <v>7.88</v>
      </c>
      <c r="Q60">
        <v>7.94</v>
      </c>
      <c r="R60">
        <v>6.25</v>
      </c>
      <c r="S60">
        <v>8.6999999999999993</v>
      </c>
      <c r="T60">
        <v>7.34</v>
      </c>
      <c r="U60">
        <v>9.33</v>
      </c>
      <c r="V60">
        <v>7.94</v>
      </c>
      <c r="W60">
        <v>0</v>
      </c>
      <c r="X60">
        <v>0</v>
      </c>
      <c r="Y60">
        <f t="shared" si="17"/>
        <v>82.030799999999999</v>
      </c>
      <c r="Z60">
        <f t="shared" si="18"/>
        <v>49.625</v>
      </c>
      <c r="AA60">
        <f t="shared" si="19"/>
        <v>63.857999999999997</v>
      </c>
      <c r="AB60">
        <f t="shared" si="20"/>
        <v>74.080200000000005</v>
      </c>
      <c r="AC60">
        <f t="shared" si="21"/>
        <v>0</v>
      </c>
    </row>
    <row r="63" spans="1:29" x14ac:dyDescent="0.2">
      <c r="A63" s="1" t="s">
        <v>26</v>
      </c>
    </row>
    <row r="64" spans="1:29" x14ac:dyDescent="0.2">
      <c r="A64" t="s">
        <v>27</v>
      </c>
    </row>
    <row r="65" spans="1:13" x14ac:dyDescent="0.2">
      <c r="A65" s="1" t="s">
        <v>28</v>
      </c>
    </row>
    <row r="66" spans="1:13" x14ac:dyDescent="0.2">
      <c r="A66" s="1"/>
      <c r="B66" s="19" t="s">
        <v>29</v>
      </c>
      <c r="C66" s="19"/>
      <c r="D66" s="19"/>
      <c r="E66" s="19"/>
      <c r="F66" s="19"/>
      <c r="G66" s="19"/>
      <c r="H66" s="19"/>
      <c r="I66" s="19"/>
      <c r="J66" s="19"/>
    </row>
    <row r="67" spans="1:13" x14ac:dyDescent="0.2">
      <c r="A67" s="20"/>
      <c r="B67" s="21" t="s">
        <v>30</v>
      </c>
      <c r="C67" s="21"/>
      <c r="D67" s="21"/>
      <c r="E67" s="21" t="s">
        <v>6</v>
      </c>
      <c r="F67" s="21"/>
      <c r="G67" s="21"/>
      <c r="H67" s="21" t="s">
        <v>18</v>
      </c>
      <c r="I67" s="21"/>
      <c r="J67" s="21"/>
      <c r="K67" s="20"/>
      <c r="L67" s="20"/>
      <c r="M67" s="20"/>
    </row>
    <row r="68" spans="1:13" ht="34" x14ac:dyDescent="0.2">
      <c r="A68" s="22" t="s">
        <v>31</v>
      </c>
      <c r="B68" s="23"/>
      <c r="C68" s="23"/>
      <c r="D68" s="24"/>
      <c r="E68">
        <v>0</v>
      </c>
      <c r="F68">
        <v>7</v>
      </c>
      <c r="G68">
        <v>0</v>
      </c>
      <c r="H68">
        <v>5</v>
      </c>
      <c r="I68">
        <v>6</v>
      </c>
      <c r="J68">
        <v>2</v>
      </c>
    </row>
    <row r="69" spans="1:13" ht="34" x14ac:dyDescent="0.2">
      <c r="A69" s="25" t="s">
        <v>31</v>
      </c>
      <c r="B69" s="23"/>
      <c r="C69" s="23"/>
      <c r="D69" s="24"/>
      <c r="E69">
        <v>0</v>
      </c>
      <c r="F69">
        <v>1</v>
      </c>
      <c r="G69">
        <v>0</v>
      </c>
      <c r="H69">
        <v>32</v>
      </c>
      <c r="I69">
        <v>8</v>
      </c>
      <c r="J69">
        <v>0</v>
      </c>
    </row>
    <row r="70" spans="1:13" ht="17" x14ac:dyDescent="0.2">
      <c r="A70" s="22" t="s">
        <v>32</v>
      </c>
      <c r="B70" s="23"/>
      <c r="C70" s="23"/>
      <c r="D70" s="24"/>
      <c r="E70">
        <v>186</v>
      </c>
      <c r="F70">
        <v>321</v>
      </c>
      <c r="G70">
        <v>691</v>
      </c>
      <c r="H70">
        <v>738</v>
      </c>
      <c r="I70">
        <v>1024</v>
      </c>
      <c r="J70">
        <v>918</v>
      </c>
    </row>
    <row r="71" spans="1:13" x14ac:dyDescent="0.2">
      <c r="A71" t="s">
        <v>33</v>
      </c>
      <c r="B71" s="23"/>
      <c r="C71" s="23"/>
      <c r="D71" s="24"/>
      <c r="E71">
        <v>313</v>
      </c>
      <c r="F71">
        <v>196</v>
      </c>
      <c r="G71">
        <v>724</v>
      </c>
      <c r="H71">
        <v>764</v>
      </c>
      <c r="I71">
        <v>1061</v>
      </c>
      <c r="J71">
        <v>922</v>
      </c>
    </row>
    <row r="72" spans="1:13" x14ac:dyDescent="0.2">
      <c r="A72" s="20" t="s">
        <v>34</v>
      </c>
      <c r="B72" s="26" t="e">
        <f t="shared" ref="B72:J72" si="22">AVERAGE(B70:B71)-AVERAGE(B68:B69)</f>
        <v>#DIV/0!</v>
      </c>
      <c r="C72" s="26" t="e">
        <f t="shared" si="22"/>
        <v>#DIV/0!</v>
      </c>
      <c r="D72" s="26" t="e">
        <f t="shared" si="22"/>
        <v>#DIV/0!</v>
      </c>
      <c r="E72" s="27">
        <f t="shared" si="22"/>
        <v>249.5</v>
      </c>
      <c r="F72" s="27">
        <f t="shared" si="22"/>
        <v>254.5</v>
      </c>
      <c r="G72" s="27">
        <f t="shared" si="22"/>
        <v>707.5</v>
      </c>
      <c r="H72" s="27">
        <f t="shared" si="22"/>
        <v>732.5</v>
      </c>
      <c r="I72" s="27">
        <f t="shared" si="22"/>
        <v>1035.5</v>
      </c>
      <c r="J72" s="27">
        <f t="shared" si="22"/>
        <v>919</v>
      </c>
    </row>
    <row r="73" spans="1:13" x14ac:dyDescent="0.2">
      <c r="A73" s="20"/>
      <c r="B73" s="20"/>
      <c r="C73" s="20"/>
      <c r="D73" s="28"/>
      <c r="E73" s="28"/>
      <c r="F73" s="28"/>
      <c r="G73" s="28"/>
    </row>
    <row r="74" spans="1:13" x14ac:dyDescent="0.2">
      <c r="A74" s="1"/>
      <c r="B74" s="29" t="s">
        <v>35</v>
      </c>
      <c r="C74" s="29"/>
      <c r="D74" s="29"/>
      <c r="E74" s="29"/>
      <c r="F74" s="29"/>
      <c r="G74" s="29"/>
      <c r="H74" s="29"/>
      <c r="I74" s="29"/>
      <c r="J74" s="29"/>
    </row>
    <row r="75" spans="1:13" x14ac:dyDescent="0.2">
      <c r="A75" s="20"/>
      <c r="B75" s="21" t="s">
        <v>30</v>
      </c>
      <c r="C75" s="21"/>
      <c r="D75" s="21"/>
      <c r="E75" s="21" t="s">
        <v>6</v>
      </c>
      <c r="F75" s="21"/>
      <c r="G75" s="21"/>
      <c r="H75" s="21" t="s">
        <v>18</v>
      </c>
      <c r="I75" s="21"/>
      <c r="J75" s="21"/>
    </row>
    <row r="76" spans="1:13" ht="34" x14ac:dyDescent="0.2">
      <c r="A76" s="22" t="s">
        <v>31</v>
      </c>
      <c r="B76" s="23"/>
      <c r="C76" s="23"/>
      <c r="D76" s="24"/>
      <c r="E76">
        <v>2</v>
      </c>
      <c r="F76">
        <v>0</v>
      </c>
      <c r="G76">
        <v>2</v>
      </c>
      <c r="H76">
        <v>9</v>
      </c>
      <c r="I76">
        <v>4</v>
      </c>
      <c r="J76">
        <v>9</v>
      </c>
    </row>
    <row r="77" spans="1:13" ht="34" x14ac:dyDescent="0.2">
      <c r="A77" s="22" t="s">
        <v>31</v>
      </c>
      <c r="B77" s="23"/>
      <c r="C77" s="23"/>
      <c r="D77" s="24"/>
      <c r="E77">
        <v>8</v>
      </c>
      <c r="F77">
        <v>1</v>
      </c>
      <c r="G77">
        <v>2</v>
      </c>
      <c r="H77">
        <v>5</v>
      </c>
      <c r="I77">
        <v>1</v>
      </c>
      <c r="J77">
        <v>7</v>
      </c>
    </row>
    <row r="78" spans="1:13" ht="17" x14ac:dyDescent="0.2">
      <c r="A78" s="22" t="s">
        <v>32</v>
      </c>
      <c r="B78" s="23"/>
      <c r="C78" s="23"/>
      <c r="D78" s="24"/>
      <c r="E78">
        <v>112</v>
      </c>
      <c r="F78">
        <v>731</v>
      </c>
      <c r="G78">
        <v>1115</v>
      </c>
      <c r="H78">
        <v>919</v>
      </c>
      <c r="I78">
        <v>966</v>
      </c>
      <c r="J78">
        <v>922</v>
      </c>
    </row>
    <row r="79" spans="1:13" x14ac:dyDescent="0.2">
      <c r="A79" t="s">
        <v>33</v>
      </c>
      <c r="B79" s="23"/>
      <c r="C79" s="23"/>
      <c r="D79" s="24"/>
      <c r="E79">
        <v>149</v>
      </c>
      <c r="F79">
        <v>580</v>
      </c>
      <c r="G79">
        <v>1098</v>
      </c>
      <c r="H79">
        <v>954</v>
      </c>
      <c r="I79">
        <v>1005</v>
      </c>
      <c r="J79">
        <v>907</v>
      </c>
    </row>
    <row r="80" spans="1:13" x14ac:dyDescent="0.2">
      <c r="A80" s="20" t="s">
        <v>34</v>
      </c>
      <c r="B80" s="26" t="e">
        <f t="shared" ref="B80:D80" si="23">AVERAGE(B78:B79)-AVERAGE(B76:B77)</f>
        <v>#DIV/0!</v>
      </c>
      <c r="C80" s="26" t="e">
        <f t="shared" si="23"/>
        <v>#DIV/0!</v>
      </c>
      <c r="D80" s="26" t="e">
        <f t="shared" si="23"/>
        <v>#DIV/0!</v>
      </c>
      <c r="E80" s="27">
        <f>AVERAGE(E78:E79)-AVERAGE(E76:E77)</f>
        <v>125.5</v>
      </c>
      <c r="F80" s="27">
        <f t="shared" ref="F80:J80" si="24">AVERAGE(F78:F79)-AVERAGE(F76:F77)</f>
        <v>655</v>
      </c>
      <c r="G80" s="27">
        <f t="shared" si="24"/>
        <v>1104.5</v>
      </c>
      <c r="H80" s="27">
        <f t="shared" si="24"/>
        <v>929.5</v>
      </c>
      <c r="I80" s="27">
        <f t="shared" si="24"/>
        <v>983</v>
      </c>
      <c r="J80" s="27">
        <f t="shared" si="24"/>
        <v>906.5</v>
      </c>
    </row>
    <row r="81" spans="1:13" x14ac:dyDescent="0.2">
      <c r="A81" s="20"/>
      <c r="B81" s="20"/>
      <c r="C81" s="20"/>
      <c r="D81" s="28"/>
      <c r="E81" s="28"/>
      <c r="F81" s="28"/>
      <c r="G81" s="28"/>
    </row>
    <row r="82" spans="1:13" x14ac:dyDescent="0.2">
      <c r="A82" s="1" t="s">
        <v>36</v>
      </c>
    </row>
    <row r="83" spans="1:13" x14ac:dyDescent="0.2">
      <c r="A83" s="1"/>
      <c r="B83" s="19" t="s">
        <v>29</v>
      </c>
      <c r="C83" s="19"/>
      <c r="D83" s="19"/>
      <c r="E83" s="19"/>
      <c r="F83" s="19"/>
      <c r="G83" s="19"/>
      <c r="H83" s="19"/>
      <c r="I83" s="19"/>
      <c r="J83" s="19"/>
    </row>
    <row r="84" spans="1:13" x14ac:dyDescent="0.2">
      <c r="A84" s="20"/>
      <c r="B84" s="21" t="s">
        <v>30</v>
      </c>
      <c r="C84" s="21"/>
      <c r="D84" s="21"/>
      <c r="E84" s="21" t="s">
        <v>6</v>
      </c>
      <c r="F84" s="21"/>
      <c r="G84" s="21"/>
      <c r="H84" s="21" t="s">
        <v>18</v>
      </c>
      <c r="I84" s="21"/>
      <c r="J84" s="21"/>
    </row>
    <row r="85" spans="1:13" ht="34" x14ac:dyDescent="0.2">
      <c r="A85" s="25" t="s">
        <v>31</v>
      </c>
      <c r="B85">
        <v>2</v>
      </c>
      <c r="C85">
        <v>0</v>
      </c>
      <c r="D85">
        <v>1</v>
      </c>
      <c r="E85">
        <v>28</v>
      </c>
      <c r="F85">
        <v>29</v>
      </c>
      <c r="G85">
        <v>30</v>
      </c>
      <c r="H85">
        <v>25</v>
      </c>
      <c r="I85">
        <v>26</v>
      </c>
      <c r="J85">
        <v>27</v>
      </c>
    </row>
    <row r="86" spans="1:13" ht="34" x14ac:dyDescent="0.2">
      <c r="A86" s="25" t="s">
        <v>31</v>
      </c>
      <c r="B86" s="20"/>
      <c r="C86" s="20"/>
      <c r="D86" s="28"/>
    </row>
    <row r="87" spans="1:13" ht="17" x14ac:dyDescent="0.2">
      <c r="A87" s="25" t="s">
        <v>32</v>
      </c>
      <c r="B87">
        <v>342</v>
      </c>
      <c r="C87">
        <v>244</v>
      </c>
      <c r="D87">
        <v>288</v>
      </c>
      <c r="E87">
        <v>0</v>
      </c>
      <c r="F87">
        <v>361</v>
      </c>
      <c r="G87">
        <v>86</v>
      </c>
      <c r="H87">
        <v>434</v>
      </c>
      <c r="I87">
        <v>392</v>
      </c>
      <c r="J87">
        <v>412</v>
      </c>
    </row>
    <row r="88" spans="1:13" x14ac:dyDescent="0.2">
      <c r="A88" s="30" t="s">
        <v>33</v>
      </c>
      <c r="B88">
        <v>373</v>
      </c>
      <c r="C88">
        <v>286</v>
      </c>
      <c r="D88">
        <v>279</v>
      </c>
      <c r="E88">
        <v>1</v>
      </c>
      <c r="F88">
        <v>331</v>
      </c>
      <c r="G88">
        <v>94</v>
      </c>
      <c r="H88">
        <v>378</v>
      </c>
      <c r="I88">
        <v>382</v>
      </c>
      <c r="J88">
        <v>382</v>
      </c>
    </row>
    <row r="89" spans="1:13" x14ac:dyDescent="0.2">
      <c r="A89" s="31" t="s">
        <v>34</v>
      </c>
      <c r="B89" s="27">
        <f t="shared" ref="B89:J89" si="25">AVERAGE(B87:B88)-AVERAGE(B85:B86)</f>
        <v>355.5</v>
      </c>
      <c r="C89" s="27">
        <f t="shared" si="25"/>
        <v>265</v>
      </c>
      <c r="D89" s="27">
        <f t="shared" si="25"/>
        <v>282.5</v>
      </c>
      <c r="E89" s="27">
        <f t="shared" si="25"/>
        <v>-27.5</v>
      </c>
      <c r="F89" s="27">
        <f t="shared" si="25"/>
        <v>317</v>
      </c>
      <c r="G89" s="27">
        <f t="shared" si="25"/>
        <v>60</v>
      </c>
      <c r="H89" s="27">
        <f t="shared" si="25"/>
        <v>381</v>
      </c>
      <c r="I89" s="27">
        <f t="shared" si="25"/>
        <v>361</v>
      </c>
      <c r="J89" s="27">
        <f t="shared" si="25"/>
        <v>370</v>
      </c>
      <c r="K89" s="18"/>
      <c r="L89" s="18"/>
      <c r="M89" s="18"/>
    </row>
    <row r="90" spans="1:13" x14ac:dyDescent="0.2">
      <c r="A90" s="31"/>
      <c r="B90" s="20"/>
      <c r="C90" s="20"/>
      <c r="D90" s="28"/>
      <c r="E90" s="28"/>
      <c r="F90" s="28"/>
      <c r="G90" s="28"/>
    </row>
    <row r="91" spans="1:13" x14ac:dyDescent="0.2">
      <c r="A91" s="32"/>
      <c r="B91" s="29" t="s">
        <v>35</v>
      </c>
      <c r="C91" s="29"/>
      <c r="D91" s="29"/>
      <c r="E91" s="29"/>
      <c r="F91" s="29"/>
      <c r="G91" s="29"/>
      <c r="H91" s="29"/>
      <c r="I91" s="29"/>
      <c r="J91" s="29"/>
    </row>
    <row r="92" spans="1:13" x14ac:dyDescent="0.2">
      <c r="A92" s="31"/>
      <c r="B92" s="21" t="s">
        <v>30</v>
      </c>
      <c r="C92" s="21"/>
      <c r="D92" s="21"/>
      <c r="E92" s="21" t="s">
        <v>6</v>
      </c>
      <c r="F92" s="21"/>
      <c r="G92" s="21"/>
      <c r="H92" s="21" t="s">
        <v>18</v>
      </c>
      <c r="I92" s="21"/>
      <c r="J92" s="21"/>
    </row>
    <row r="93" spans="1:13" ht="34" x14ac:dyDescent="0.2">
      <c r="A93" s="25" t="s">
        <v>31</v>
      </c>
      <c r="B93">
        <v>2</v>
      </c>
      <c r="C93">
        <v>25</v>
      </c>
      <c r="D93">
        <v>5</v>
      </c>
      <c r="E93">
        <v>1</v>
      </c>
      <c r="F93">
        <v>16</v>
      </c>
      <c r="G93">
        <v>33</v>
      </c>
      <c r="H93">
        <v>6</v>
      </c>
      <c r="I93">
        <v>7</v>
      </c>
      <c r="J93">
        <v>26</v>
      </c>
    </row>
    <row r="94" spans="1:13" ht="34" x14ac:dyDescent="0.2">
      <c r="A94" s="25" t="s">
        <v>31</v>
      </c>
      <c r="B94" s="20"/>
      <c r="C94" s="20"/>
      <c r="D94" s="28"/>
    </row>
    <row r="95" spans="1:13" ht="17" x14ac:dyDescent="0.2">
      <c r="A95" s="25" t="s">
        <v>32</v>
      </c>
      <c r="B95">
        <v>60</v>
      </c>
      <c r="C95">
        <v>171</v>
      </c>
      <c r="D95">
        <v>298</v>
      </c>
      <c r="E95">
        <v>87</v>
      </c>
      <c r="F95">
        <v>568</v>
      </c>
      <c r="G95">
        <v>624</v>
      </c>
      <c r="H95">
        <v>411</v>
      </c>
      <c r="I95">
        <v>309</v>
      </c>
      <c r="J95">
        <v>587</v>
      </c>
    </row>
    <row r="96" spans="1:13" x14ac:dyDescent="0.2">
      <c r="A96" s="30" t="s">
        <v>33</v>
      </c>
      <c r="B96">
        <v>39</v>
      </c>
      <c r="C96">
        <v>193</v>
      </c>
      <c r="D96">
        <v>301</v>
      </c>
      <c r="E96">
        <v>118</v>
      </c>
      <c r="F96">
        <v>535</v>
      </c>
      <c r="G96">
        <v>647</v>
      </c>
      <c r="H96">
        <v>439</v>
      </c>
      <c r="I96">
        <v>351</v>
      </c>
      <c r="J96">
        <v>572</v>
      </c>
    </row>
    <row r="97" spans="1:10" x14ac:dyDescent="0.2">
      <c r="A97" s="31" t="s">
        <v>34</v>
      </c>
      <c r="B97" s="27">
        <f t="shared" ref="B97:D97" si="26">AVERAGE(B95:B96)-AVERAGE(B93:B94)</f>
        <v>47.5</v>
      </c>
      <c r="C97" s="27">
        <f t="shared" si="26"/>
        <v>157</v>
      </c>
      <c r="D97" s="27">
        <f t="shared" si="26"/>
        <v>294.5</v>
      </c>
      <c r="E97" s="27">
        <f>AVERAGE(E95:E96)-AVERAGE(E93:E94)</f>
        <v>101.5</v>
      </c>
      <c r="F97" s="27">
        <f t="shared" ref="F97:J97" si="27">AVERAGE(F95:F96)-AVERAGE(F93:F94)</f>
        <v>535.5</v>
      </c>
      <c r="G97" s="27">
        <f t="shared" si="27"/>
        <v>602.5</v>
      </c>
      <c r="H97" s="27">
        <f t="shared" si="27"/>
        <v>419</v>
      </c>
      <c r="I97" s="27">
        <f t="shared" si="27"/>
        <v>323</v>
      </c>
      <c r="J97" s="27">
        <f t="shared" si="27"/>
        <v>553.5</v>
      </c>
    </row>
    <row r="99" spans="1:10" x14ac:dyDescent="0.2">
      <c r="A99" s="32"/>
      <c r="B99" s="33" t="s">
        <v>37</v>
      </c>
      <c r="C99" s="33"/>
      <c r="D99" s="33"/>
      <c r="E99" s="33"/>
      <c r="F99" s="33"/>
      <c r="G99" s="33"/>
      <c r="H99" s="33"/>
      <c r="I99" s="33"/>
      <c r="J99" s="33"/>
    </row>
    <row r="100" spans="1:10" x14ac:dyDescent="0.2">
      <c r="A100" s="31"/>
      <c r="B100" s="21" t="s">
        <v>30</v>
      </c>
      <c r="C100" s="21"/>
      <c r="D100" s="21"/>
      <c r="E100" s="21" t="s">
        <v>6</v>
      </c>
      <c r="F100" s="21"/>
      <c r="G100" s="21"/>
      <c r="H100" s="21" t="s">
        <v>18</v>
      </c>
      <c r="I100" s="21"/>
      <c r="J100" s="21"/>
    </row>
    <row r="101" spans="1:10" ht="34" x14ac:dyDescent="0.2">
      <c r="A101" s="25" t="s">
        <v>31</v>
      </c>
      <c r="B101">
        <v>6</v>
      </c>
      <c r="C101">
        <v>32</v>
      </c>
      <c r="D101">
        <v>11</v>
      </c>
      <c r="E101">
        <v>2</v>
      </c>
      <c r="F101">
        <v>1</v>
      </c>
      <c r="G101">
        <v>5</v>
      </c>
      <c r="H101">
        <v>0</v>
      </c>
      <c r="I101">
        <v>5</v>
      </c>
      <c r="J101">
        <v>1</v>
      </c>
    </row>
    <row r="102" spans="1:10" ht="34" x14ac:dyDescent="0.2">
      <c r="A102" s="25" t="s">
        <v>31</v>
      </c>
      <c r="B102" s="20"/>
      <c r="C102" s="20"/>
      <c r="D102" s="28"/>
    </row>
    <row r="103" spans="1:10" ht="17" x14ac:dyDescent="0.2">
      <c r="A103" s="25" t="s">
        <v>32</v>
      </c>
      <c r="B103">
        <v>144</v>
      </c>
      <c r="C103">
        <v>113</v>
      </c>
      <c r="D103">
        <v>134</v>
      </c>
      <c r="E103">
        <v>27</v>
      </c>
      <c r="F103">
        <v>641</v>
      </c>
      <c r="G103">
        <v>253</v>
      </c>
      <c r="H103">
        <v>505</v>
      </c>
      <c r="I103">
        <v>99</v>
      </c>
      <c r="J103">
        <v>138</v>
      </c>
    </row>
    <row r="104" spans="1:10" x14ac:dyDescent="0.2">
      <c r="A104" s="30" t="s">
        <v>33</v>
      </c>
      <c r="B104">
        <v>142</v>
      </c>
      <c r="C104">
        <v>155</v>
      </c>
      <c r="D104">
        <v>142</v>
      </c>
      <c r="E104">
        <v>47</v>
      </c>
      <c r="F104">
        <v>644</v>
      </c>
      <c r="G104">
        <v>324</v>
      </c>
      <c r="H104">
        <v>518</v>
      </c>
      <c r="I104">
        <v>93</v>
      </c>
      <c r="J104">
        <v>151</v>
      </c>
    </row>
    <row r="105" spans="1:10" x14ac:dyDescent="0.2">
      <c r="A105" s="31" t="s">
        <v>34</v>
      </c>
      <c r="B105" s="27">
        <f t="shared" ref="B105:D105" si="28">AVERAGE(B103:B104)-AVERAGE(B101:B102)</f>
        <v>137</v>
      </c>
      <c r="C105" s="27">
        <f t="shared" si="28"/>
        <v>102</v>
      </c>
      <c r="D105" s="27">
        <f t="shared" si="28"/>
        <v>127</v>
      </c>
      <c r="E105" s="27">
        <f>AVERAGE(E103:E104)-AVERAGE(E101:E102)</f>
        <v>35</v>
      </c>
      <c r="F105" s="27">
        <f t="shared" ref="F105:J105" si="29">AVERAGE(F103:F104)-AVERAGE(F101:F102)</f>
        <v>641.5</v>
      </c>
      <c r="G105" s="27">
        <f t="shared" si="29"/>
        <v>283.5</v>
      </c>
      <c r="H105" s="27">
        <f t="shared" si="29"/>
        <v>511.5</v>
      </c>
      <c r="I105" s="27">
        <f t="shared" si="29"/>
        <v>91</v>
      </c>
      <c r="J105" s="27">
        <f t="shared" si="29"/>
        <v>143.5</v>
      </c>
    </row>
    <row r="106" spans="1:10" x14ac:dyDescent="0.2">
      <c r="C106" s="20"/>
    </row>
    <row r="107" spans="1:10" x14ac:dyDescent="0.2">
      <c r="A107" s="1" t="s">
        <v>38</v>
      </c>
    </row>
    <row r="108" spans="1:10" x14ac:dyDescent="0.2">
      <c r="A108" s="1"/>
      <c r="B108" s="19" t="s">
        <v>29</v>
      </c>
      <c r="C108" s="19"/>
      <c r="D108" s="19"/>
      <c r="E108" s="19"/>
      <c r="F108" s="19"/>
      <c r="G108" s="19"/>
      <c r="H108" s="19"/>
      <c r="I108" s="19"/>
      <c r="J108" s="19"/>
    </row>
    <row r="109" spans="1:10" x14ac:dyDescent="0.2">
      <c r="A109" s="20"/>
      <c r="B109" s="21" t="s">
        <v>30</v>
      </c>
      <c r="C109" s="21"/>
      <c r="D109" s="21"/>
      <c r="E109" s="21" t="s">
        <v>6</v>
      </c>
      <c r="F109" s="21"/>
      <c r="G109" s="21"/>
      <c r="H109" s="21" t="s">
        <v>18</v>
      </c>
      <c r="I109" s="21"/>
      <c r="J109" s="21"/>
    </row>
    <row r="110" spans="1:10" ht="34" x14ac:dyDescent="0.2">
      <c r="A110" s="25" t="s">
        <v>31</v>
      </c>
      <c r="B110" s="34">
        <v>2</v>
      </c>
      <c r="C110" s="34">
        <v>8</v>
      </c>
      <c r="D110" s="34">
        <v>0</v>
      </c>
      <c r="E110" s="34">
        <v>7</v>
      </c>
      <c r="F110" s="34">
        <v>0</v>
      </c>
      <c r="G110" s="34">
        <v>2</v>
      </c>
      <c r="H110" s="34">
        <v>8</v>
      </c>
      <c r="I110" s="34">
        <v>2</v>
      </c>
      <c r="J110" s="34">
        <v>11</v>
      </c>
    </row>
    <row r="111" spans="1:10" ht="34" x14ac:dyDescent="0.2">
      <c r="A111" s="25" t="s">
        <v>31</v>
      </c>
      <c r="B111" s="34">
        <v>0</v>
      </c>
      <c r="C111" s="34">
        <v>6</v>
      </c>
      <c r="D111" s="34">
        <v>0</v>
      </c>
      <c r="E111" s="34">
        <v>1</v>
      </c>
      <c r="F111" s="34">
        <v>4</v>
      </c>
      <c r="G111" s="34">
        <v>0</v>
      </c>
      <c r="H111" s="34">
        <v>9</v>
      </c>
      <c r="I111" s="34">
        <v>5</v>
      </c>
      <c r="J111" s="34">
        <v>16</v>
      </c>
    </row>
    <row r="112" spans="1:10" ht="17" x14ac:dyDescent="0.2">
      <c r="A112" s="25" t="s">
        <v>32</v>
      </c>
      <c r="B112">
        <v>476</v>
      </c>
      <c r="C112">
        <v>153</v>
      </c>
      <c r="D112">
        <v>53</v>
      </c>
      <c r="E112">
        <v>351</v>
      </c>
      <c r="F112">
        <v>56</v>
      </c>
      <c r="G112">
        <v>288</v>
      </c>
      <c r="H112">
        <v>508</v>
      </c>
      <c r="I112">
        <v>71</v>
      </c>
      <c r="J112">
        <v>556</v>
      </c>
    </row>
    <row r="113" spans="1:13" x14ac:dyDescent="0.2">
      <c r="A113" s="30" t="s">
        <v>33</v>
      </c>
      <c r="B113">
        <v>509</v>
      </c>
      <c r="C113">
        <v>93</v>
      </c>
      <c r="D113">
        <v>46</v>
      </c>
      <c r="E113">
        <v>331</v>
      </c>
      <c r="F113">
        <v>65</v>
      </c>
      <c r="G113">
        <v>292</v>
      </c>
      <c r="H113">
        <v>498</v>
      </c>
      <c r="I113">
        <v>64</v>
      </c>
      <c r="J113">
        <v>611</v>
      </c>
    </row>
    <row r="114" spans="1:13" x14ac:dyDescent="0.2">
      <c r="A114" s="31" t="s">
        <v>34</v>
      </c>
      <c r="B114" s="27">
        <f t="shared" ref="B114:J114" si="30">AVERAGE(B112:B113)-AVERAGE(B110:B111)</f>
        <v>491.5</v>
      </c>
      <c r="C114" s="27">
        <f t="shared" si="30"/>
        <v>116</v>
      </c>
      <c r="D114" s="27">
        <f t="shared" si="30"/>
        <v>49.5</v>
      </c>
      <c r="E114" s="27">
        <f t="shared" si="30"/>
        <v>337</v>
      </c>
      <c r="F114" s="27">
        <f t="shared" si="30"/>
        <v>58.5</v>
      </c>
      <c r="G114" s="27">
        <f t="shared" si="30"/>
        <v>289</v>
      </c>
      <c r="H114" s="27">
        <f t="shared" si="30"/>
        <v>494.5</v>
      </c>
      <c r="I114" s="27">
        <f t="shared" si="30"/>
        <v>64</v>
      </c>
      <c r="J114" s="27">
        <f t="shared" si="30"/>
        <v>570</v>
      </c>
      <c r="K114" s="20"/>
      <c r="L114" s="20"/>
      <c r="M114" s="20"/>
    </row>
    <row r="115" spans="1:13" x14ac:dyDescent="0.2">
      <c r="A115" s="31"/>
      <c r="B115" s="20"/>
      <c r="C115" s="20"/>
      <c r="D115" s="28"/>
      <c r="E115" s="28"/>
      <c r="F115" s="28"/>
      <c r="G115" s="28"/>
    </row>
    <row r="116" spans="1:13" x14ac:dyDescent="0.2">
      <c r="A116" s="32"/>
      <c r="B116" s="29" t="s">
        <v>35</v>
      </c>
      <c r="C116" s="29"/>
      <c r="D116" s="29"/>
      <c r="E116" s="29"/>
      <c r="F116" s="29"/>
      <c r="G116" s="29"/>
      <c r="H116" s="29"/>
      <c r="I116" s="29"/>
      <c r="J116" s="29"/>
    </row>
    <row r="117" spans="1:13" x14ac:dyDescent="0.2">
      <c r="A117" s="31"/>
      <c r="B117" s="21" t="s">
        <v>30</v>
      </c>
      <c r="C117" s="21"/>
      <c r="D117" s="21"/>
      <c r="E117" s="21" t="s">
        <v>6</v>
      </c>
      <c r="F117" s="21"/>
      <c r="G117" s="21"/>
      <c r="H117" s="21" t="s">
        <v>18</v>
      </c>
      <c r="I117" s="21"/>
      <c r="J117" s="21"/>
    </row>
    <row r="118" spans="1:13" ht="34" x14ac:dyDescent="0.2">
      <c r="A118" s="25" t="s">
        <v>31</v>
      </c>
      <c r="B118" s="34">
        <v>1</v>
      </c>
      <c r="C118" s="34">
        <v>0</v>
      </c>
      <c r="D118" s="34">
        <v>4</v>
      </c>
      <c r="E118" s="34">
        <v>1</v>
      </c>
      <c r="F118" s="34">
        <v>11</v>
      </c>
      <c r="G118" s="34">
        <v>0</v>
      </c>
      <c r="H118" s="34">
        <v>20</v>
      </c>
      <c r="I118" s="34">
        <v>6</v>
      </c>
      <c r="J118" s="34">
        <v>0</v>
      </c>
    </row>
    <row r="119" spans="1:13" ht="34" x14ac:dyDescent="0.2">
      <c r="A119" s="25" t="s">
        <v>31</v>
      </c>
      <c r="B119" s="35">
        <v>2</v>
      </c>
      <c r="C119" s="35">
        <v>1</v>
      </c>
      <c r="D119" s="35">
        <v>0</v>
      </c>
      <c r="E119" s="35">
        <v>26</v>
      </c>
      <c r="F119" s="35">
        <v>1</v>
      </c>
      <c r="G119" s="35">
        <v>5</v>
      </c>
      <c r="H119" s="35">
        <v>2</v>
      </c>
      <c r="I119" s="35">
        <v>1</v>
      </c>
      <c r="J119" s="35">
        <v>2</v>
      </c>
    </row>
    <row r="120" spans="1:13" ht="17" x14ac:dyDescent="0.2">
      <c r="A120" s="25" t="s">
        <v>32</v>
      </c>
      <c r="B120">
        <v>258</v>
      </c>
      <c r="C120">
        <v>31</v>
      </c>
      <c r="D120">
        <v>472</v>
      </c>
      <c r="E120">
        <v>229</v>
      </c>
      <c r="F120">
        <v>213</v>
      </c>
      <c r="G120">
        <v>209</v>
      </c>
      <c r="H120">
        <v>479</v>
      </c>
      <c r="I120">
        <v>468</v>
      </c>
      <c r="J120">
        <v>325</v>
      </c>
    </row>
    <row r="121" spans="1:13" x14ac:dyDescent="0.2">
      <c r="A121" s="30" t="s">
        <v>33</v>
      </c>
      <c r="B121">
        <v>402</v>
      </c>
      <c r="C121">
        <v>45</v>
      </c>
      <c r="D121">
        <v>565</v>
      </c>
      <c r="E121">
        <v>198</v>
      </c>
      <c r="F121">
        <v>167</v>
      </c>
      <c r="G121">
        <v>247</v>
      </c>
      <c r="H121">
        <v>521</v>
      </c>
      <c r="I121">
        <v>489</v>
      </c>
      <c r="J121">
        <v>401</v>
      </c>
    </row>
    <row r="122" spans="1:13" x14ac:dyDescent="0.2">
      <c r="A122" s="31" t="s">
        <v>34</v>
      </c>
      <c r="B122" s="27">
        <f t="shared" ref="B122:D122" si="31">AVERAGE(B120:B121)-AVERAGE(B118:B119)</f>
        <v>328.5</v>
      </c>
      <c r="C122" s="27">
        <f t="shared" si="31"/>
        <v>37.5</v>
      </c>
      <c r="D122" s="27">
        <f t="shared" si="31"/>
        <v>516.5</v>
      </c>
      <c r="E122" s="27">
        <f>AVERAGE(E120:E121)-AVERAGE(E118:E119)</f>
        <v>200</v>
      </c>
      <c r="F122" s="27">
        <f t="shared" ref="F122:J122" si="32">AVERAGE(F120:F121)-AVERAGE(F118:F119)</f>
        <v>184</v>
      </c>
      <c r="G122" s="27">
        <f t="shared" si="32"/>
        <v>225.5</v>
      </c>
      <c r="H122" s="27">
        <f t="shared" si="32"/>
        <v>489</v>
      </c>
      <c r="I122" s="27">
        <f t="shared" si="32"/>
        <v>475</v>
      </c>
      <c r="J122" s="27">
        <f t="shared" si="32"/>
        <v>362</v>
      </c>
    </row>
    <row r="124" spans="1:13" x14ac:dyDescent="0.2">
      <c r="A124" s="1" t="s">
        <v>39</v>
      </c>
    </row>
    <row r="125" spans="1:13" x14ac:dyDescent="0.2">
      <c r="A125" s="1"/>
      <c r="B125" s="19" t="s">
        <v>29</v>
      </c>
      <c r="C125" s="19"/>
      <c r="D125" s="19"/>
      <c r="E125" s="19"/>
      <c r="F125" s="19"/>
      <c r="G125" s="19"/>
      <c r="H125" s="19"/>
      <c r="I125" s="19"/>
      <c r="J125" s="19"/>
    </row>
    <row r="126" spans="1:13" x14ac:dyDescent="0.2">
      <c r="A126" s="20"/>
      <c r="B126" s="21" t="s">
        <v>30</v>
      </c>
      <c r="C126" s="21"/>
      <c r="D126" s="21"/>
      <c r="E126" s="21" t="s">
        <v>6</v>
      </c>
      <c r="F126" s="21"/>
      <c r="G126" s="21"/>
      <c r="H126" s="21" t="s">
        <v>18</v>
      </c>
      <c r="I126" s="21"/>
      <c r="J126" s="21"/>
    </row>
    <row r="127" spans="1:13" ht="34" x14ac:dyDescent="0.2">
      <c r="A127" s="25" t="s">
        <v>31</v>
      </c>
      <c r="B127" s="34">
        <v>2</v>
      </c>
      <c r="C127" s="34">
        <v>7</v>
      </c>
      <c r="D127" s="34">
        <v>2</v>
      </c>
      <c r="E127" s="34">
        <v>0</v>
      </c>
      <c r="F127" s="34">
        <v>0</v>
      </c>
      <c r="G127" s="34">
        <v>0</v>
      </c>
      <c r="H127" s="34">
        <v>5</v>
      </c>
      <c r="I127" s="34">
        <v>11</v>
      </c>
      <c r="J127" s="34">
        <v>2</v>
      </c>
    </row>
    <row r="128" spans="1:13" ht="34" x14ac:dyDescent="0.2">
      <c r="A128" s="25" t="s">
        <v>31</v>
      </c>
      <c r="B128" s="34">
        <v>5</v>
      </c>
      <c r="C128" s="34">
        <v>4</v>
      </c>
      <c r="D128" s="34">
        <v>7</v>
      </c>
      <c r="E128">
        <v>0</v>
      </c>
      <c r="F128">
        <v>2</v>
      </c>
      <c r="G128">
        <v>1</v>
      </c>
      <c r="H128">
        <v>11</v>
      </c>
      <c r="I128">
        <v>20</v>
      </c>
      <c r="J128">
        <v>7</v>
      </c>
    </row>
    <row r="129" spans="1:13" ht="17" x14ac:dyDescent="0.2">
      <c r="A129" s="25" t="s">
        <v>32</v>
      </c>
      <c r="B129">
        <v>28</v>
      </c>
      <c r="C129">
        <v>69</v>
      </c>
      <c r="D129">
        <v>609</v>
      </c>
      <c r="E129">
        <v>2</v>
      </c>
      <c r="F129">
        <v>131</v>
      </c>
      <c r="G129">
        <v>374</v>
      </c>
      <c r="H129">
        <v>78</v>
      </c>
      <c r="I129">
        <v>54</v>
      </c>
      <c r="J129">
        <v>111</v>
      </c>
      <c r="K129" s="18"/>
      <c r="L129" s="18"/>
      <c r="M129" s="18"/>
    </row>
    <row r="130" spans="1:13" x14ac:dyDescent="0.2">
      <c r="A130" s="30" t="s">
        <v>33</v>
      </c>
      <c r="B130">
        <v>39</v>
      </c>
      <c r="C130">
        <v>52</v>
      </c>
      <c r="D130">
        <v>601</v>
      </c>
      <c r="E130">
        <v>1</v>
      </c>
      <c r="F130">
        <v>147</v>
      </c>
      <c r="G130">
        <v>359</v>
      </c>
      <c r="H130">
        <v>86</v>
      </c>
      <c r="I130">
        <v>47</v>
      </c>
      <c r="J130">
        <v>106</v>
      </c>
    </row>
    <row r="131" spans="1:13" x14ac:dyDescent="0.2">
      <c r="A131" s="31" t="s">
        <v>34</v>
      </c>
      <c r="B131" s="27">
        <f t="shared" ref="B131:J131" si="33">AVERAGE(B129:B130)-AVERAGE(B127:B128)</f>
        <v>30</v>
      </c>
      <c r="C131" s="27">
        <f t="shared" si="33"/>
        <v>55</v>
      </c>
      <c r="D131" s="27">
        <f t="shared" si="33"/>
        <v>600.5</v>
      </c>
      <c r="E131" s="27">
        <f t="shared" si="33"/>
        <v>1.5</v>
      </c>
      <c r="F131" s="27">
        <f t="shared" si="33"/>
        <v>138</v>
      </c>
      <c r="G131" s="27">
        <f t="shared" si="33"/>
        <v>366</v>
      </c>
      <c r="H131" s="27">
        <f t="shared" si="33"/>
        <v>74</v>
      </c>
      <c r="I131" s="27">
        <f t="shared" si="33"/>
        <v>35</v>
      </c>
      <c r="J131" s="27">
        <f t="shared" si="33"/>
        <v>104</v>
      </c>
    </row>
    <row r="132" spans="1:13" x14ac:dyDescent="0.2">
      <c r="A132" s="31"/>
      <c r="B132" s="20"/>
      <c r="C132" s="20"/>
      <c r="D132" s="28"/>
      <c r="E132" s="28"/>
      <c r="F132" s="28"/>
      <c r="G132" s="28"/>
    </row>
    <row r="133" spans="1:13" x14ac:dyDescent="0.2">
      <c r="A133" s="32"/>
      <c r="B133" s="29" t="s">
        <v>35</v>
      </c>
      <c r="C133" s="29"/>
      <c r="D133" s="29"/>
      <c r="E133" s="29"/>
      <c r="F133" s="29"/>
      <c r="G133" s="29"/>
      <c r="H133" s="29"/>
      <c r="I133" s="29"/>
      <c r="J133" s="29"/>
    </row>
    <row r="134" spans="1:13" x14ac:dyDescent="0.2">
      <c r="A134" s="31"/>
      <c r="B134" s="21" t="s">
        <v>30</v>
      </c>
      <c r="C134" s="21"/>
      <c r="D134" s="21"/>
      <c r="E134" s="21" t="s">
        <v>6</v>
      </c>
      <c r="F134" s="21"/>
      <c r="G134" s="21"/>
      <c r="H134" s="21" t="s">
        <v>18</v>
      </c>
      <c r="I134" s="21"/>
      <c r="J134" s="21"/>
    </row>
    <row r="135" spans="1:13" ht="34" x14ac:dyDescent="0.2">
      <c r="A135" s="25" t="s">
        <v>31</v>
      </c>
      <c r="B135" s="34">
        <v>0</v>
      </c>
      <c r="C135" s="34">
        <v>2</v>
      </c>
      <c r="D135" s="34">
        <v>20</v>
      </c>
      <c r="E135" s="34">
        <v>1</v>
      </c>
      <c r="F135" s="34">
        <v>1</v>
      </c>
      <c r="G135" s="34">
        <v>14</v>
      </c>
      <c r="H135" s="34">
        <v>4</v>
      </c>
      <c r="I135" s="34">
        <v>9</v>
      </c>
      <c r="J135" s="34">
        <v>7</v>
      </c>
    </row>
    <row r="136" spans="1:13" ht="34" x14ac:dyDescent="0.2">
      <c r="A136" s="25" t="s">
        <v>31</v>
      </c>
      <c r="B136" s="34">
        <v>0</v>
      </c>
      <c r="C136" s="34">
        <v>1</v>
      </c>
      <c r="D136" s="34">
        <v>14</v>
      </c>
      <c r="E136">
        <v>6</v>
      </c>
      <c r="F136">
        <v>0</v>
      </c>
      <c r="G136">
        <v>27</v>
      </c>
      <c r="H136">
        <v>6</v>
      </c>
      <c r="I136">
        <v>1</v>
      </c>
      <c r="J136">
        <v>1</v>
      </c>
    </row>
    <row r="137" spans="1:13" ht="17" x14ac:dyDescent="0.2">
      <c r="A137" s="25" t="s">
        <v>32</v>
      </c>
      <c r="B137">
        <v>566</v>
      </c>
      <c r="C137">
        <v>513</v>
      </c>
      <c r="D137">
        <v>528</v>
      </c>
      <c r="E137">
        <v>374</v>
      </c>
      <c r="F137">
        <v>167</v>
      </c>
      <c r="G137">
        <v>428</v>
      </c>
      <c r="H137">
        <v>544</v>
      </c>
      <c r="I137">
        <v>642</v>
      </c>
      <c r="J137">
        <v>293</v>
      </c>
    </row>
    <row r="138" spans="1:13" x14ac:dyDescent="0.2">
      <c r="A138" s="30" t="s">
        <v>33</v>
      </c>
      <c r="B138">
        <v>562</v>
      </c>
      <c r="C138">
        <v>518</v>
      </c>
      <c r="D138">
        <v>502</v>
      </c>
      <c r="E138">
        <v>373</v>
      </c>
      <c r="F138">
        <v>204</v>
      </c>
      <c r="G138">
        <v>392</v>
      </c>
      <c r="H138">
        <v>532</v>
      </c>
      <c r="I138">
        <v>642</v>
      </c>
      <c r="J138">
        <v>374</v>
      </c>
    </row>
    <row r="139" spans="1:13" x14ac:dyDescent="0.2">
      <c r="A139" s="31" t="s">
        <v>34</v>
      </c>
      <c r="B139" s="27">
        <f t="shared" ref="B139:D139" si="34">AVERAGE(B137:B138)-AVERAGE(B135:B136)</f>
        <v>564</v>
      </c>
      <c r="C139" s="27">
        <f t="shared" si="34"/>
        <v>514</v>
      </c>
      <c r="D139" s="27">
        <f t="shared" si="34"/>
        <v>498</v>
      </c>
      <c r="E139" s="27">
        <f>AVERAGE(E137:E138)-AVERAGE(E135:E136)</f>
        <v>370</v>
      </c>
      <c r="F139" s="27">
        <f t="shared" ref="F139:J139" si="35">AVERAGE(F137:F138)-AVERAGE(F135:F136)</f>
        <v>185</v>
      </c>
      <c r="G139" s="27">
        <f t="shared" si="35"/>
        <v>389.5</v>
      </c>
      <c r="H139" s="27">
        <f t="shared" si="35"/>
        <v>533</v>
      </c>
      <c r="I139" s="27">
        <f t="shared" si="35"/>
        <v>637</v>
      </c>
      <c r="J139" s="27">
        <f t="shared" si="35"/>
        <v>329.5</v>
      </c>
    </row>
    <row r="141" spans="1:13" x14ac:dyDescent="0.2">
      <c r="A141" s="32"/>
      <c r="B141" s="33" t="s">
        <v>37</v>
      </c>
      <c r="C141" s="33"/>
      <c r="D141" s="33"/>
      <c r="E141" s="33"/>
      <c r="F141" s="33"/>
      <c r="G141" s="33"/>
      <c r="H141" s="33"/>
      <c r="I141" s="33"/>
      <c r="J141" s="33"/>
    </row>
    <row r="142" spans="1:13" x14ac:dyDescent="0.2">
      <c r="A142" s="31"/>
      <c r="B142" s="21" t="s">
        <v>30</v>
      </c>
      <c r="C142" s="21"/>
      <c r="D142" s="21"/>
      <c r="E142" s="21" t="s">
        <v>6</v>
      </c>
      <c r="F142" s="21"/>
      <c r="G142" s="21"/>
      <c r="H142" s="21" t="s">
        <v>18</v>
      </c>
      <c r="I142" s="21"/>
      <c r="J142" s="21"/>
    </row>
    <row r="143" spans="1:13" ht="34" x14ac:dyDescent="0.2">
      <c r="A143" s="25" t="s">
        <v>31</v>
      </c>
      <c r="B143" s="34">
        <v>4</v>
      </c>
      <c r="C143" s="34">
        <v>11</v>
      </c>
      <c r="D143" s="34">
        <v>8</v>
      </c>
      <c r="E143" s="34">
        <v>1</v>
      </c>
      <c r="F143" s="34">
        <v>0</v>
      </c>
      <c r="G143" s="34">
        <v>4</v>
      </c>
      <c r="H143" s="34">
        <v>2</v>
      </c>
      <c r="I143" s="34">
        <v>5</v>
      </c>
      <c r="J143" s="34">
        <v>5</v>
      </c>
    </row>
    <row r="144" spans="1:13" ht="34" x14ac:dyDescent="0.2">
      <c r="A144" s="25" t="s">
        <v>31</v>
      </c>
      <c r="B144" s="34">
        <v>2</v>
      </c>
      <c r="C144" s="34">
        <v>9</v>
      </c>
      <c r="D144" s="34">
        <v>11</v>
      </c>
      <c r="E144">
        <v>1</v>
      </c>
      <c r="F144">
        <v>0</v>
      </c>
      <c r="G144">
        <v>0</v>
      </c>
      <c r="H144">
        <v>27</v>
      </c>
      <c r="I144">
        <v>21</v>
      </c>
      <c r="J144">
        <v>32</v>
      </c>
    </row>
    <row r="145" spans="1:13" ht="17" x14ac:dyDescent="0.2">
      <c r="A145" s="25" t="s">
        <v>32</v>
      </c>
      <c r="B145">
        <v>371</v>
      </c>
      <c r="C145">
        <v>291</v>
      </c>
      <c r="D145">
        <v>93</v>
      </c>
      <c r="E145">
        <v>366</v>
      </c>
      <c r="F145">
        <v>112</v>
      </c>
      <c r="G145">
        <v>164</v>
      </c>
      <c r="H145">
        <v>427</v>
      </c>
      <c r="I145">
        <v>439</v>
      </c>
      <c r="J145">
        <v>482</v>
      </c>
    </row>
    <row r="146" spans="1:13" x14ac:dyDescent="0.2">
      <c r="A146" s="30" t="s">
        <v>33</v>
      </c>
      <c r="B146">
        <v>291</v>
      </c>
      <c r="C146">
        <v>275</v>
      </c>
      <c r="D146">
        <v>88</v>
      </c>
      <c r="E146">
        <v>418</v>
      </c>
      <c r="F146">
        <v>95</v>
      </c>
      <c r="G146">
        <v>202</v>
      </c>
      <c r="H146">
        <v>444</v>
      </c>
      <c r="I146">
        <v>432</v>
      </c>
      <c r="J146">
        <v>479</v>
      </c>
    </row>
    <row r="147" spans="1:13" x14ac:dyDescent="0.2">
      <c r="A147" s="31" t="s">
        <v>34</v>
      </c>
      <c r="B147" s="27">
        <f t="shared" ref="B147:D147" si="36">AVERAGE(B145:B146)-AVERAGE(B143:B144)</f>
        <v>328</v>
      </c>
      <c r="C147" s="27">
        <f t="shared" si="36"/>
        <v>273</v>
      </c>
      <c r="D147" s="27">
        <f t="shared" si="36"/>
        <v>81</v>
      </c>
      <c r="E147" s="27">
        <f>AVERAGE(E145:E146)-AVERAGE(E143:E144)</f>
        <v>391</v>
      </c>
      <c r="F147" s="27">
        <f t="shared" ref="F147:J147" si="37">AVERAGE(F145:F146)-AVERAGE(F143:F144)</f>
        <v>103.5</v>
      </c>
      <c r="G147" s="27">
        <f t="shared" si="37"/>
        <v>181</v>
      </c>
      <c r="H147" s="27">
        <f t="shared" si="37"/>
        <v>421</v>
      </c>
      <c r="I147" s="27">
        <f t="shared" si="37"/>
        <v>422.5</v>
      </c>
      <c r="J147" s="27">
        <f t="shared" si="37"/>
        <v>462</v>
      </c>
    </row>
    <row r="148" spans="1:13" x14ac:dyDescent="0.2">
      <c r="C148" s="20"/>
    </row>
    <row r="149" spans="1:13" x14ac:dyDescent="0.2">
      <c r="A149" s="1" t="s">
        <v>40</v>
      </c>
    </row>
    <row r="150" spans="1:13" x14ac:dyDescent="0.2">
      <c r="A150" s="1"/>
      <c r="B150" s="19" t="s">
        <v>29</v>
      </c>
      <c r="C150" s="19"/>
      <c r="D150" s="19"/>
      <c r="E150" s="19"/>
      <c r="F150" s="19"/>
      <c r="G150" s="19"/>
      <c r="H150" s="19"/>
      <c r="I150" s="19"/>
      <c r="J150" s="19"/>
    </row>
    <row r="151" spans="1:13" x14ac:dyDescent="0.2">
      <c r="A151" s="20"/>
      <c r="B151" s="21" t="s">
        <v>30</v>
      </c>
      <c r="C151" s="21"/>
      <c r="D151" s="21"/>
      <c r="E151" s="21" t="s">
        <v>6</v>
      </c>
      <c r="F151" s="21"/>
      <c r="G151" s="21"/>
      <c r="H151" s="21" t="s">
        <v>18</v>
      </c>
      <c r="I151" s="21"/>
      <c r="J151" s="21"/>
    </row>
    <row r="152" spans="1:13" ht="34" x14ac:dyDescent="0.2">
      <c r="A152" s="25" t="s">
        <v>31</v>
      </c>
      <c r="B152" s="34">
        <v>3</v>
      </c>
      <c r="C152" s="34">
        <v>0</v>
      </c>
      <c r="D152" s="34">
        <v>1</v>
      </c>
      <c r="E152" s="34">
        <v>0</v>
      </c>
      <c r="F152" s="34">
        <v>0</v>
      </c>
      <c r="G152" s="34">
        <v>6</v>
      </c>
      <c r="H152" s="34">
        <v>6</v>
      </c>
      <c r="I152" s="34">
        <v>0</v>
      </c>
      <c r="J152" s="34">
        <v>2</v>
      </c>
    </row>
    <row r="153" spans="1:13" ht="34" x14ac:dyDescent="0.2">
      <c r="A153" s="25" t="s">
        <v>31</v>
      </c>
      <c r="B153" s="34">
        <v>3</v>
      </c>
      <c r="C153" s="34">
        <v>2</v>
      </c>
      <c r="D153" s="34">
        <v>2</v>
      </c>
      <c r="E153">
        <v>0</v>
      </c>
      <c r="F153">
        <v>2</v>
      </c>
      <c r="G153">
        <v>12</v>
      </c>
      <c r="H153">
        <v>4</v>
      </c>
      <c r="I153">
        <v>4</v>
      </c>
      <c r="J153">
        <v>0</v>
      </c>
    </row>
    <row r="154" spans="1:13" ht="17" x14ac:dyDescent="0.2">
      <c r="A154" s="25" t="s">
        <v>32</v>
      </c>
      <c r="B154">
        <v>494</v>
      </c>
      <c r="C154">
        <v>461</v>
      </c>
      <c r="D154">
        <v>234</v>
      </c>
      <c r="E154">
        <v>240</v>
      </c>
      <c r="F154">
        <v>277</v>
      </c>
      <c r="G154">
        <v>360</v>
      </c>
      <c r="H154">
        <v>741</v>
      </c>
      <c r="I154">
        <v>480</v>
      </c>
      <c r="J154">
        <v>696</v>
      </c>
      <c r="K154" s="30"/>
      <c r="L154" s="30"/>
    </row>
    <row r="155" spans="1:13" x14ac:dyDescent="0.2">
      <c r="A155" s="30" t="s">
        <v>33</v>
      </c>
      <c r="B155">
        <v>483</v>
      </c>
      <c r="C155">
        <v>433</v>
      </c>
      <c r="D155">
        <v>242</v>
      </c>
      <c r="E155">
        <v>213</v>
      </c>
      <c r="F155">
        <v>297</v>
      </c>
      <c r="G155">
        <v>393</v>
      </c>
      <c r="H155">
        <v>777</v>
      </c>
      <c r="I155">
        <v>463</v>
      </c>
      <c r="J155">
        <v>687</v>
      </c>
      <c r="K155" s="20"/>
      <c r="L155" s="20"/>
      <c r="M155" s="20"/>
    </row>
    <row r="156" spans="1:13" x14ac:dyDescent="0.2">
      <c r="A156" s="31" t="s">
        <v>34</v>
      </c>
      <c r="B156" s="27">
        <f t="shared" ref="B156:J156" si="38">AVERAGE(B154:B155)-AVERAGE(B152:B153)</f>
        <v>485.5</v>
      </c>
      <c r="C156" s="27">
        <f t="shared" si="38"/>
        <v>446</v>
      </c>
      <c r="D156" s="27">
        <f t="shared" si="38"/>
        <v>236.5</v>
      </c>
      <c r="E156" s="27">
        <f t="shared" si="38"/>
        <v>226.5</v>
      </c>
      <c r="F156" s="27">
        <f t="shared" si="38"/>
        <v>286</v>
      </c>
      <c r="G156" s="27">
        <f t="shared" si="38"/>
        <v>367.5</v>
      </c>
      <c r="H156" s="27">
        <f t="shared" si="38"/>
        <v>754</v>
      </c>
      <c r="I156" s="27">
        <f t="shared" si="38"/>
        <v>469.5</v>
      </c>
      <c r="J156" s="27">
        <f t="shared" si="38"/>
        <v>690.5</v>
      </c>
    </row>
    <row r="157" spans="1:13" x14ac:dyDescent="0.2">
      <c r="A157" s="31"/>
      <c r="B157" s="20"/>
      <c r="C157" s="20"/>
      <c r="D157" s="28"/>
      <c r="E157" s="28"/>
      <c r="F157" s="28"/>
      <c r="G157" s="28"/>
    </row>
    <row r="158" spans="1:13" x14ac:dyDescent="0.2">
      <c r="A158" s="32"/>
      <c r="B158" s="29" t="s">
        <v>35</v>
      </c>
      <c r="C158" s="29"/>
      <c r="D158" s="29"/>
      <c r="E158" s="29"/>
      <c r="F158" s="29"/>
      <c r="G158" s="29"/>
      <c r="H158" s="29"/>
      <c r="I158" s="29"/>
      <c r="J158" s="29"/>
    </row>
    <row r="159" spans="1:13" x14ac:dyDescent="0.2">
      <c r="A159" s="31"/>
      <c r="B159" s="21" t="s">
        <v>30</v>
      </c>
      <c r="C159" s="21"/>
      <c r="D159" s="21"/>
      <c r="E159" s="21" t="s">
        <v>6</v>
      </c>
      <c r="F159" s="21"/>
      <c r="G159" s="21"/>
      <c r="H159" s="21" t="s">
        <v>18</v>
      </c>
      <c r="I159" s="21"/>
      <c r="J159" s="21"/>
    </row>
    <row r="160" spans="1:13" ht="34" x14ac:dyDescent="0.2">
      <c r="A160" s="25" t="s">
        <v>31</v>
      </c>
      <c r="B160" s="34">
        <v>3</v>
      </c>
      <c r="C160" s="34">
        <v>21</v>
      </c>
      <c r="D160" s="34">
        <v>3</v>
      </c>
      <c r="E160" s="34">
        <v>0</v>
      </c>
      <c r="F160" s="34">
        <v>3</v>
      </c>
      <c r="G160" s="34">
        <v>0</v>
      </c>
      <c r="H160" s="34">
        <v>4</v>
      </c>
      <c r="I160" s="34">
        <v>20</v>
      </c>
      <c r="J160" s="34">
        <v>3</v>
      </c>
    </row>
    <row r="161" spans="1:13" ht="34" x14ac:dyDescent="0.2">
      <c r="A161" s="25" t="s">
        <v>31</v>
      </c>
      <c r="B161" s="34">
        <v>0</v>
      </c>
      <c r="C161" s="34">
        <v>18</v>
      </c>
      <c r="D161" s="34">
        <v>13</v>
      </c>
      <c r="E161">
        <v>1</v>
      </c>
      <c r="F161">
        <v>9</v>
      </c>
      <c r="G161">
        <v>1</v>
      </c>
      <c r="H161">
        <v>3</v>
      </c>
      <c r="I161">
        <v>27</v>
      </c>
      <c r="J161">
        <v>2</v>
      </c>
    </row>
    <row r="162" spans="1:13" ht="17" x14ac:dyDescent="0.2">
      <c r="A162" s="25" t="s">
        <v>32</v>
      </c>
      <c r="B162">
        <v>489</v>
      </c>
      <c r="C162">
        <v>256</v>
      </c>
      <c r="D162">
        <v>590</v>
      </c>
      <c r="E162">
        <v>7</v>
      </c>
      <c r="F162">
        <v>334</v>
      </c>
      <c r="G162">
        <v>144</v>
      </c>
      <c r="H162">
        <v>813</v>
      </c>
      <c r="I162">
        <v>646</v>
      </c>
      <c r="J162">
        <v>648</v>
      </c>
    </row>
    <row r="163" spans="1:13" x14ac:dyDescent="0.2">
      <c r="A163" s="30" t="s">
        <v>33</v>
      </c>
      <c r="B163">
        <v>401</v>
      </c>
      <c r="C163">
        <v>177</v>
      </c>
      <c r="D163">
        <v>519</v>
      </c>
      <c r="E163">
        <v>9</v>
      </c>
      <c r="F163">
        <v>386</v>
      </c>
      <c r="G163">
        <v>156</v>
      </c>
      <c r="H163">
        <v>769</v>
      </c>
      <c r="I163">
        <v>640</v>
      </c>
      <c r="J163">
        <v>610</v>
      </c>
    </row>
    <row r="164" spans="1:13" x14ac:dyDescent="0.2">
      <c r="A164" s="31" t="s">
        <v>34</v>
      </c>
      <c r="B164" s="27">
        <f t="shared" ref="B164:D164" si="39">AVERAGE(B162:B163)-AVERAGE(B160:B161)</f>
        <v>443.5</v>
      </c>
      <c r="C164" s="27">
        <f t="shared" si="39"/>
        <v>197</v>
      </c>
      <c r="D164" s="27">
        <f t="shared" si="39"/>
        <v>546.5</v>
      </c>
      <c r="E164" s="27">
        <f>AVERAGE(E162:E163)-AVERAGE(E160:E161)</f>
        <v>7.5</v>
      </c>
      <c r="F164" s="27">
        <f t="shared" ref="F164:J164" si="40">AVERAGE(F162:F163)-AVERAGE(F160:F161)</f>
        <v>354</v>
      </c>
      <c r="G164" s="27">
        <f t="shared" si="40"/>
        <v>149.5</v>
      </c>
      <c r="H164" s="27">
        <f t="shared" si="40"/>
        <v>787.5</v>
      </c>
      <c r="I164" s="27">
        <f t="shared" si="40"/>
        <v>619.5</v>
      </c>
      <c r="J164" s="27">
        <f t="shared" si="40"/>
        <v>626.5</v>
      </c>
    </row>
    <row r="166" spans="1:13" x14ac:dyDescent="0.2">
      <c r="A166" s="32"/>
      <c r="B166" s="33" t="s">
        <v>37</v>
      </c>
      <c r="C166" s="33"/>
      <c r="D166" s="33"/>
      <c r="E166" s="33"/>
      <c r="F166" s="33"/>
      <c r="G166" s="33"/>
      <c r="H166" s="33"/>
      <c r="I166" s="33"/>
      <c r="J166" s="33"/>
    </row>
    <row r="167" spans="1:13" x14ac:dyDescent="0.2">
      <c r="A167" s="31"/>
      <c r="B167" s="21" t="s">
        <v>30</v>
      </c>
      <c r="C167" s="21"/>
      <c r="D167" s="21"/>
      <c r="E167" s="21" t="s">
        <v>6</v>
      </c>
      <c r="F167" s="21"/>
      <c r="G167" s="21"/>
      <c r="H167" s="21" t="s">
        <v>18</v>
      </c>
      <c r="I167" s="21"/>
      <c r="J167" s="21"/>
      <c r="K167" s="30"/>
      <c r="L167" s="30"/>
    </row>
    <row r="168" spans="1:13" ht="34" x14ac:dyDescent="0.2">
      <c r="A168" s="25" t="s">
        <v>31</v>
      </c>
      <c r="B168" s="34">
        <v>3</v>
      </c>
      <c r="C168" s="34">
        <v>2</v>
      </c>
      <c r="D168" s="34">
        <v>4</v>
      </c>
      <c r="E168" s="34">
        <v>0</v>
      </c>
      <c r="F168" s="34">
        <v>10</v>
      </c>
      <c r="G168" s="34">
        <v>1</v>
      </c>
      <c r="H168" s="34">
        <v>0</v>
      </c>
      <c r="I168" s="34">
        <v>4</v>
      </c>
      <c r="J168" s="34">
        <v>3</v>
      </c>
      <c r="K168" s="20"/>
      <c r="L168" s="20"/>
      <c r="M168" s="20"/>
    </row>
    <row r="169" spans="1:13" ht="34" x14ac:dyDescent="0.2">
      <c r="A169" s="25" t="s">
        <v>31</v>
      </c>
      <c r="B169" s="34">
        <v>3</v>
      </c>
      <c r="C169" s="34">
        <v>1</v>
      </c>
      <c r="D169" s="34">
        <v>9</v>
      </c>
      <c r="E169">
        <v>4</v>
      </c>
      <c r="F169">
        <v>6</v>
      </c>
      <c r="G169">
        <v>2</v>
      </c>
      <c r="H169" s="34">
        <v>0</v>
      </c>
      <c r="I169" s="34">
        <v>14</v>
      </c>
      <c r="J169" s="34">
        <v>3</v>
      </c>
    </row>
    <row r="170" spans="1:13" ht="17" x14ac:dyDescent="0.2">
      <c r="A170" s="25" t="s">
        <v>32</v>
      </c>
      <c r="B170">
        <v>221</v>
      </c>
      <c r="C170">
        <v>250</v>
      </c>
      <c r="D170">
        <v>181</v>
      </c>
      <c r="E170">
        <v>130</v>
      </c>
      <c r="F170">
        <v>284</v>
      </c>
      <c r="G170">
        <v>454</v>
      </c>
      <c r="H170">
        <v>61</v>
      </c>
      <c r="I170">
        <v>138</v>
      </c>
      <c r="J170">
        <v>656</v>
      </c>
    </row>
    <row r="171" spans="1:13" x14ac:dyDescent="0.2">
      <c r="A171" s="30" t="s">
        <v>33</v>
      </c>
      <c r="B171">
        <v>159</v>
      </c>
      <c r="C171">
        <v>168</v>
      </c>
      <c r="D171">
        <v>139</v>
      </c>
      <c r="E171">
        <v>144</v>
      </c>
      <c r="F171">
        <v>274</v>
      </c>
      <c r="G171">
        <v>462</v>
      </c>
      <c r="H171">
        <v>49</v>
      </c>
      <c r="I171">
        <v>114</v>
      </c>
      <c r="J171">
        <v>488</v>
      </c>
    </row>
    <row r="172" spans="1:13" x14ac:dyDescent="0.2">
      <c r="A172" s="31" t="s">
        <v>34</v>
      </c>
      <c r="B172" s="27">
        <f t="shared" ref="B172:D172" si="41">AVERAGE(B170:B171)-AVERAGE(B168:B169)</f>
        <v>187</v>
      </c>
      <c r="C172" s="27">
        <f t="shared" si="41"/>
        <v>207.5</v>
      </c>
      <c r="D172" s="27">
        <f t="shared" si="41"/>
        <v>153.5</v>
      </c>
      <c r="E172" s="27">
        <f>AVERAGE(E170:E171)-AVERAGE(E168:E169)</f>
        <v>135</v>
      </c>
      <c r="F172" s="27">
        <f t="shared" ref="F172:J172" si="42">AVERAGE(F170:F171)-AVERAGE(F168:F169)</f>
        <v>271</v>
      </c>
      <c r="G172" s="27">
        <f t="shared" si="42"/>
        <v>456.5</v>
      </c>
      <c r="H172" s="27">
        <f t="shared" si="42"/>
        <v>55</v>
      </c>
      <c r="I172" s="27">
        <f t="shared" si="42"/>
        <v>117</v>
      </c>
      <c r="J172" s="27">
        <f t="shared" si="42"/>
        <v>569</v>
      </c>
    </row>
    <row r="173" spans="1:13" x14ac:dyDescent="0.2">
      <c r="A173" s="18"/>
    </row>
    <row r="174" spans="1:13" x14ac:dyDescent="0.2">
      <c r="A174" s="36" t="s">
        <v>41</v>
      </c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</row>
    <row r="175" spans="1:13" x14ac:dyDescent="0.2">
      <c r="A175" s="1"/>
      <c r="B175" s="38" t="s">
        <v>29</v>
      </c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</row>
    <row r="176" spans="1:13" x14ac:dyDescent="0.2">
      <c r="A176" s="20"/>
      <c r="B176" s="39" t="s">
        <v>30</v>
      </c>
      <c r="C176" s="39"/>
      <c r="D176" s="39"/>
      <c r="E176" s="39"/>
      <c r="F176" s="39" t="s">
        <v>6</v>
      </c>
      <c r="G176" s="39"/>
      <c r="H176" s="39"/>
      <c r="I176" s="39"/>
      <c r="J176" s="39" t="s">
        <v>18</v>
      </c>
      <c r="K176" s="39"/>
      <c r="L176" s="39"/>
      <c r="M176" s="39"/>
    </row>
    <row r="177" spans="1:13" ht="34" x14ac:dyDescent="0.2">
      <c r="A177" s="25" t="s">
        <v>31</v>
      </c>
      <c r="B177" s="40">
        <v>12</v>
      </c>
      <c r="C177" s="41">
        <v>13</v>
      </c>
      <c r="D177" s="41">
        <v>54</v>
      </c>
      <c r="E177" s="41">
        <v>42</v>
      </c>
      <c r="F177" s="41">
        <v>1</v>
      </c>
      <c r="G177" s="41">
        <v>6</v>
      </c>
      <c r="H177" s="41">
        <v>8</v>
      </c>
      <c r="I177" s="41">
        <v>17</v>
      </c>
      <c r="J177" s="41">
        <v>35</v>
      </c>
      <c r="K177" s="42">
        <v>3</v>
      </c>
      <c r="L177" s="41">
        <v>2</v>
      </c>
      <c r="M177" s="43">
        <v>5</v>
      </c>
    </row>
    <row r="178" spans="1:13" ht="35" thickBot="1" x14ac:dyDescent="0.25">
      <c r="A178" s="25" t="s">
        <v>31</v>
      </c>
      <c r="B178" s="44">
        <v>14</v>
      </c>
      <c r="C178" s="42">
        <v>6</v>
      </c>
      <c r="D178" s="42">
        <v>59</v>
      </c>
      <c r="E178" s="42">
        <v>7</v>
      </c>
      <c r="F178" s="42">
        <v>2</v>
      </c>
      <c r="G178" s="41">
        <v>7</v>
      </c>
      <c r="H178" s="42">
        <v>23</v>
      </c>
      <c r="I178" s="42">
        <v>21</v>
      </c>
      <c r="J178" s="41">
        <v>41</v>
      </c>
      <c r="K178" s="42">
        <v>3</v>
      </c>
      <c r="L178" s="41">
        <v>9</v>
      </c>
      <c r="M178" s="45">
        <v>13</v>
      </c>
    </row>
    <row r="179" spans="1:13" ht="17" x14ac:dyDescent="0.2">
      <c r="A179" s="25" t="s">
        <v>32</v>
      </c>
      <c r="B179" s="46">
        <v>380</v>
      </c>
      <c r="C179" s="47">
        <v>473</v>
      </c>
      <c r="D179" s="47">
        <v>379</v>
      </c>
      <c r="E179" s="47">
        <v>233</v>
      </c>
      <c r="F179" s="47">
        <v>27</v>
      </c>
      <c r="G179" s="47">
        <v>193</v>
      </c>
      <c r="H179" s="47">
        <v>180</v>
      </c>
      <c r="I179" s="47">
        <v>141</v>
      </c>
      <c r="J179" s="47">
        <v>463</v>
      </c>
      <c r="K179" s="48">
        <v>397</v>
      </c>
      <c r="L179" s="48">
        <v>233</v>
      </c>
      <c r="M179" s="49">
        <v>92</v>
      </c>
    </row>
    <row r="180" spans="1:13" x14ac:dyDescent="0.2">
      <c r="A180" s="30" t="s">
        <v>33</v>
      </c>
      <c r="B180" s="44">
        <v>402</v>
      </c>
      <c r="C180" s="42">
        <v>529</v>
      </c>
      <c r="D180" s="42">
        <v>385</v>
      </c>
      <c r="E180" s="42">
        <v>214</v>
      </c>
      <c r="F180" s="42">
        <v>17</v>
      </c>
      <c r="G180" s="42">
        <v>203</v>
      </c>
      <c r="H180" s="42">
        <v>204</v>
      </c>
      <c r="I180" s="42">
        <v>141</v>
      </c>
      <c r="J180" s="41">
        <v>452</v>
      </c>
      <c r="K180" s="42">
        <v>491</v>
      </c>
      <c r="L180" s="42">
        <v>259</v>
      </c>
      <c r="M180" s="45">
        <v>114</v>
      </c>
    </row>
    <row r="181" spans="1:13" x14ac:dyDescent="0.2">
      <c r="A181" s="31" t="s">
        <v>34</v>
      </c>
      <c r="B181" s="27">
        <f t="shared" ref="B181:D181" si="43">AVERAGE(B179:B180)-AVERAGE(B177:B178)</f>
        <v>378</v>
      </c>
      <c r="C181" s="27">
        <f t="shared" si="43"/>
        <v>491.5</v>
      </c>
      <c r="D181" s="27">
        <f t="shared" si="43"/>
        <v>325.5</v>
      </c>
      <c r="E181" s="27">
        <f>AVERAGE(E179:E180)-AVERAGE(E177:E178)</f>
        <v>199</v>
      </c>
      <c r="F181" s="27">
        <f t="shared" ref="F181:M181" si="44">AVERAGE(F179:F180)-AVERAGE(F177:F178)</f>
        <v>20.5</v>
      </c>
      <c r="G181" s="27">
        <f t="shared" si="44"/>
        <v>191.5</v>
      </c>
      <c r="H181" s="27">
        <f t="shared" si="44"/>
        <v>176.5</v>
      </c>
      <c r="I181" s="27">
        <f t="shared" si="44"/>
        <v>122</v>
      </c>
      <c r="J181" s="27">
        <f t="shared" si="44"/>
        <v>419.5</v>
      </c>
      <c r="K181" s="27">
        <f t="shared" si="44"/>
        <v>441</v>
      </c>
      <c r="L181" s="27">
        <f t="shared" si="44"/>
        <v>240.5</v>
      </c>
      <c r="M181" s="27">
        <f t="shared" si="44"/>
        <v>94</v>
      </c>
    </row>
    <row r="184" spans="1:13" x14ac:dyDescent="0.2">
      <c r="A184" s="1" t="s">
        <v>42</v>
      </c>
    </row>
    <row r="185" spans="1:13" x14ac:dyDescent="0.2">
      <c r="A185" t="s">
        <v>43</v>
      </c>
    </row>
    <row r="186" spans="1:13" x14ac:dyDescent="0.2">
      <c r="A186" s="1" t="s">
        <v>28</v>
      </c>
    </row>
    <row r="187" spans="1:13" x14ac:dyDescent="0.2">
      <c r="A187" s="1"/>
      <c r="B187" s="19" t="s">
        <v>29</v>
      </c>
      <c r="C187" s="19"/>
      <c r="D187" s="19"/>
      <c r="E187" s="19"/>
      <c r="F187" s="19"/>
      <c r="G187" s="19"/>
      <c r="H187" s="19"/>
      <c r="I187" s="19"/>
      <c r="J187" s="19"/>
    </row>
    <row r="188" spans="1:13" x14ac:dyDescent="0.2">
      <c r="A188" s="20"/>
      <c r="B188" s="21" t="s">
        <v>44</v>
      </c>
      <c r="C188" s="21"/>
      <c r="D188" s="21"/>
      <c r="E188" s="21" t="s">
        <v>6</v>
      </c>
      <c r="F188" s="21"/>
      <c r="G188" s="21"/>
      <c r="H188" s="21" t="s">
        <v>18</v>
      </c>
      <c r="I188" s="21"/>
      <c r="J188" s="21"/>
    </row>
    <row r="189" spans="1:13" ht="34" x14ac:dyDescent="0.2">
      <c r="A189" s="25" t="s">
        <v>31</v>
      </c>
      <c r="B189" s="23"/>
      <c r="C189" s="23"/>
      <c r="D189" s="24"/>
      <c r="E189">
        <v>0</v>
      </c>
      <c r="F189">
        <v>7</v>
      </c>
      <c r="G189">
        <v>0</v>
      </c>
      <c r="H189">
        <v>5</v>
      </c>
      <c r="I189">
        <v>6</v>
      </c>
      <c r="J189">
        <v>2</v>
      </c>
    </row>
    <row r="190" spans="1:13" ht="34" x14ac:dyDescent="0.2">
      <c r="A190" s="25" t="s">
        <v>31</v>
      </c>
      <c r="B190" s="23"/>
      <c r="C190" s="23"/>
      <c r="D190" s="24"/>
      <c r="E190">
        <v>0</v>
      </c>
      <c r="F190">
        <v>1</v>
      </c>
      <c r="G190">
        <v>0</v>
      </c>
      <c r="H190">
        <v>32</v>
      </c>
      <c r="I190">
        <v>8</v>
      </c>
      <c r="J190">
        <v>0</v>
      </c>
    </row>
    <row r="191" spans="1:13" ht="17" x14ac:dyDescent="0.2">
      <c r="A191" s="25" t="s">
        <v>32</v>
      </c>
      <c r="B191" s="23"/>
      <c r="C191" s="23"/>
      <c r="D191" s="24"/>
      <c r="E191">
        <v>0</v>
      </c>
      <c r="F191">
        <v>0</v>
      </c>
      <c r="G191">
        <v>15</v>
      </c>
      <c r="H191">
        <v>51</v>
      </c>
      <c r="I191">
        <v>20</v>
      </c>
      <c r="J191">
        <v>112</v>
      </c>
    </row>
    <row r="192" spans="1:13" x14ac:dyDescent="0.2">
      <c r="A192" s="30" t="s">
        <v>33</v>
      </c>
      <c r="B192" s="23"/>
      <c r="C192" s="23"/>
      <c r="D192" s="24"/>
      <c r="E192">
        <v>0</v>
      </c>
      <c r="F192">
        <v>2</v>
      </c>
      <c r="G192">
        <v>12</v>
      </c>
      <c r="H192">
        <v>28</v>
      </c>
      <c r="I192">
        <v>53</v>
      </c>
      <c r="J192">
        <v>85</v>
      </c>
    </row>
    <row r="193" spans="1:10" x14ac:dyDescent="0.2">
      <c r="A193" s="31" t="s">
        <v>34</v>
      </c>
      <c r="B193" s="26" t="e">
        <f t="shared" ref="B193:J193" si="45">AVERAGE(B191:B192)-AVERAGE(B189:B190)</f>
        <v>#DIV/0!</v>
      </c>
      <c r="C193" s="26" t="e">
        <f t="shared" si="45"/>
        <v>#DIV/0!</v>
      </c>
      <c r="D193" s="26" t="e">
        <f t="shared" si="45"/>
        <v>#DIV/0!</v>
      </c>
      <c r="E193" s="27">
        <f t="shared" si="45"/>
        <v>0</v>
      </c>
      <c r="F193" s="27">
        <f t="shared" si="45"/>
        <v>-3</v>
      </c>
      <c r="G193" s="27">
        <f t="shared" si="45"/>
        <v>13.5</v>
      </c>
      <c r="H193" s="27">
        <f t="shared" si="45"/>
        <v>21</v>
      </c>
      <c r="I193" s="27">
        <f t="shared" si="45"/>
        <v>29.5</v>
      </c>
      <c r="J193" s="27">
        <f t="shared" si="45"/>
        <v>97.5</v>
      </c>
    </row>
    <row r="194" spans="1:10" x14ac:dyDescent="0.2">
      <c r="A194" s="31"/>
      <c r="B194" s="20"/>
      <c r="C194" s="20"/>
      <c r="D194" s="28"/>
      <c r="E194" s="28"/>
      <c r="F194" s="28"/>
      <c r="G194" s="28"/>
    </row>
    <row r="195" spans="1:10" x14ac:dyDescent="0.2">
      <c r="A195" s="32"/>
      <c r="B195" s="29" t="s">
        <v>35</v>
      </c>
      <c r="C195" s="29"/>
      <c r="D195" s="29"/>
      <c r="E195" s="29"/>
      <c r="F195" s="29"/>
      <c r="G195" s="29"/>
      <c r="H195" s="29"/>
      <c r="I195" s="29"/>
      <c r="J195" s="29"/>
    </row>
    <row r="196" spans="1:10" x14ac:dyDescent="0.2">
      <c r="A196" s="31"/>
      <c r="B196" s="21" t="s">
        <v>44</v>
      </c>
      <c r="C196" s="21"/>
      <c r="D196" s="21"/>
      <c r="E196" s="21" t="s">
        <v>6</v>
      </c>
      <c r="F196" s="21"/>
      <c r="G196" s="21"/>
      <c r="H196" s="21" t="s">
        <v>18</v>
      </c>
      <c r="I196" s="21"/>
      <c r="J196" s="21"/>
    </row>
    <row r="197" spans="1:10" ht="34" x14ac:dyDescent="0.2">
      <c r="A197" s="25" t="s">
        <v>31</v>
      </c>
      <c r="B197" s="23"/>
      <c r="C197" s="23"/>
      <c r="D197" s="24"/>
      <c r="E197">
        <v>2</v>
      </c>
      <c r="F197">
        <v>0</v>
      </c>
      <c r="G197">
        <v>2</v>
      </c>
      <c r="H197">
        <v>9</v>
      </c>
      <c r="I197">
        <v>4</v>
      </c>
      <c r="J197">
        <v>9</v>
      </c>
    </row>
    <row r="198" spans="1:10" ht="34" x14ac:dyDescent="0.2">
      <c r="A198" s="25" t="s">
        <v>31</v>
      </c>
      <c r="B198" s="23"/>
      <c r="C198" s="23"/>
      <c r="D198" s="24"/>
      <c r="E198">
        <v>8</v>
      </c>
      <c r="F198">
        <v>1</v>
      </c>
      <c r="G198">
        <v>2</v>
      </c>
      <c r="H198">
        <v>5</v>
      </c>
      <c r="I198">
        <v>1</v>
      </c>
      <c r="J198">
        <v>7</v>
      </c>
    </row>
    <row r="199" spans="1:10" ht="17" x14ac:dyDescent="0.2">
      <c r="A199" s="25" t="s">
        <v>32</v>
      </c>
      <c r="B199" s="23"/>
      <c r="C199" s="23"/>
      <c r="D199" s="24"/>
      <c r="E199">
        <v>4</v>
      </c>
      <c r="F199">
        <v>2</v>
      </c>
      <c r="G199">
        <v>189</v>
      </c>
      <c r="H199">
        <v>252</v>
      </c>
      <c r="I199">
        <v>811</v>
      </c>
      <c r="J199">
        <v>356</v>
      </c>
    </row>
    <row r="200" spans="1:10" x14ac:dyDescent="0.2">
      <c r="A200" s="30" t="s">
        <v>33</v>
      </c>
      <c r="B200" s="23"/>
      <c r="C200" s="23"/>
      <c r="D200" s="24"/>
      <c r="E200">
        <v>1</v>
      </c>
      <c r="F200">
        <v>2</v>
      </c>
      <c r="G200">
        <v>184</v>
      </c>
      <c r="H200">
        <v>224</v>
      </c>
      <c r="I200">
        <v>781</v>
      </c>
      <c r="J200">
        <v>264</v>
      </c>
    </row>
    <row r="201" spans="1:10" x14ac:dyDescent="0.2">
      <c r="A201" s="31" t="s">
        <v>34</v>
      </c>
      <c r="B201" s="26" t="e">
        <f t="shared" ref="B201:D201" si="46">AVERAGE(B199:B200)-AVERAGE(B197:B198)</f>
        <v>#DIV/0!</v>
      </c>
      <c r="C201" s="26" t="e">
        <f t="shared" si="46"/>
        <v>#DIV/0!</v>
      </c>
      <c r="D201" s="26" t="e">
        <f t="shared" si="46"/>
        <v>#DIV/0!</v>
      </c>
      <c r="E201" s="27">
        <f>AVERAGE(E199:E200)-AVERAGE(E197:E198)</f>
        <v>-2.5</v>
      </c>
      <c r="F201" s="27">
        <f t="shared" ref="F201:J201" si="47">AVERAGE(F199:F200)-AVERAGE(F197:F198)</f>
        <v>1.5</v>
      </c>
      <c r="G201" s="27">
        <f t="shared" si="47"/>
        <v>184.5</v>
      </c>
      <c r="H201" s="27">
        <f t="shared" si="47"/>
        <v>231</v>
      </c>
      <c r="I201" s="27">
        <f t="shared" si="47"/>
        <v>793.5</v>
      </c>
      <c r="J201" s="27">
        <f t="shared" si="47"/>
        <v>302</v>
      </c>
    </row>
    <row r="203" spans="1:10" x14ac:dyDescent="0.2">
      <c r="A203" s="1" t="s">
        <v>36</v>
      </c>
    </row>
    <row r="204" spans="1:10" x14ac:dyDescent="0.2">
      <c r="A204" s="1"/>
      <c r="B204" s="19" t="s">
        <v>29</v>
      </c>
      <c r="C204" s="19"/>
      <c r="D204" s="19"/>
      <c r="E204" s="19"/>
      <c r="F204" s="19"/>
      <c r="G204" s="19"/>
      <c r="H204" s="19"/>
      <c r="I204" s="19"/>
      <c r="J204" s="19"/>
    </row>
    <row r="205" spans="1:10" x14ac:dyDescent="0.2">
      <c r="A205" s="20"/>
      <c r="B205" s="21" t="s">
        <v>44</v>
      </c>
      <c r="C205" s="21"/>
      <c r="D205" s="21"/>
      <c r="E205" s="21" t="s">
        <v>6</v>
      </c>
      <c r="F205" s="21"/>
      <c r="G205" s="21"/>
      <c r="H205" s="21" t="s">
        <v>18</v>
      </c>
      <c r="I205" s="21"/>
      <c r="J205" s="21"/>
    </row>
    <row r="206" spans="1:10" ht="34" x14ac:dyDescent="0.2">
      <c r="A206" s="25" t="s">
        <v>31</v>
      </c>
      <c r="B206">
        <v>0</v>
      </c>
      <c r="C206">
        <v>2</v>
      </c>
      <c r="D206">
        <v>8</v>
      </c>
      <c r="E206">
        <v>0</v>
      </c>
      <c r="F206">
        <v>1</v>
      </c>
      <c r="G206">
        <v>27</v>
      </c>
      <c r="H206">
        <v>4</v>
      </c>
      <c r="I206">
        <v>0</v>
      </c>
      <c r="J206">
        <v>2</v>
      </c>
    </row>
    <row r="207" spans="1:10" ht="34" x14ac:dyDescent="0.2">
      <c r="A207" s="25" t="s">
        <v>31</v>
      </c>
      <c r="B207" s="20"/>
      <c r="C207" s="20"/>
      <c r="D207" s="28"/>
    </row>
    <row r="208" spans="1:10" ht="17" x14ac:dyDescent="0.2">
      <c r="A208" s="25" t="s">
        <v>32</v>
      </c>
      <c r="B208">
        <v>0</v>
      </c>
      <c r="C208">
        <v>0</v>
      </c>
      <c r="D208">
        <v>0</v>
      </c>
      <c r="E208">
        <v>0</v>
      </c>
      <c r="F208">
        <v>29</v>
      </c>
      <c r="G208">
        <v>5</v>
      </c>
      <c r="H208">
        <v>46</v>
      </c>
      <c r="I208">
        <v>67</v>
      </c>
      <c r="J208">
        <v>287</v>
      </c>
    </row>
    <row r="209" spans="1:10" x14ac:dyDescent="0.2">
      <c r="A209" s="30" t="s">
        <v>33</v>
      </c>
      <c r="B209">
        <v>5</v>
      </c>
      <c r="C209">
        <v>2</v>
      </c>
      <c r="D209">
        <v>4</v>
      </c>
      <c r="E209">
        <v>0</v>
      </c>
      <c r="F209">
        <v>35</v>
      </c>
      <c r="G209">
        <v>1</v>
      </c>
      <c r="H209">
        <v>58</v>
      </c>
      <c r="I209">
        <v>54</v>
      </c>
      <c r="J209">
        <v>320</v>
      </c>
    </row>
    <row r="210" spans="1:10" x14ac:dyDescent="0.2">
      <c r="A210" s="31" t="s">
        <v>34</v>
      </c>
      <c r="B210" s="27">
        <f t="shared" ref="B210:J210" si="48">AVERAGE(B208:B209)-AVERAGE(B206:B207)</f>
        <v>2.5</v>
      </c>
      <c r="C210" s="27">
        <f t="shared" si="48"/>
        <v>-1</v>
      </c>
      <c r="D210" s="27">
        <f t="shared" si="48"/>
        <v>-6</v>
      </c>
      <c r="E210" s="27">
        <f t="shared" si="48"/>
        <v>0</v>
      </c>
      <c r="F210" s="27">
        <f t="shared" si="48"/>
        <v>31</v>
      </c>
      <c r="G210" s="27">
        <f t="shared" si="48"/>
        <v>-24</v>
      </c>
      <c r="H210" s="27">
        <f t="shared" si="48"/>
        <v>48</v>
      </c>
      <c r="I210" s="27">
        <f t="shared" si="48"/>
        <v>60.5</v>
      </c>
      <c r="J210" s="27">
        <f t="shared" si="48"/>
        <v>301.5</v>
      </c>
    </row>
    <row r="211" spans="1:10" x14ac:dyDescent="0.2">
      <c r="A211" s="31"/>
      <c r="B211" s="20"/>
      <c r="C211" s="20"/>
      <c r="D211" s="28"/>
      <c r="E211" s="28"/>
      <c r="F211" s="28"/>
      <c r="G211" s="28"/>
    </row>
    <row r="212" spans="1:10" x14ac:dyDescent="0.2">
      <c r="A212" s="32"/>
      <c r="B212" s="29" t="s">
        <v>35</v>
      </c>
      <c r="C212" s="29"/>
      <c r="D212" s="29"/>
      <c r="E212" s="29"/>
      <c r="F212" s="29"/>
      <c r="G212" s="29"/>
      <c r="H212" s="29"/>
      <c r="I212" s="29"/>
      <c r="J212" s="29"/>
    </row>
    <row r="213" spans="1:10" x14ac:dyDescent="0.2">
      <c r="A213" s="31"/>
      <c r="B213" s="21" t="s">
        <v>44</v>
      </c>
      <c r="C213" s="21"/>
      <c r="D213" s="21"/>
      <c r="E213" s="21" t="s">
        <v>6</v>
      </c>
      <c r="F213" s="21"/>
      <c r="G213" s="21"/>
      <c r="H213" s="21" t="s">
        <v>18</v>
      </c>
      <c r="I213" s="21"/>
      <c r="J213" s="21"/>
    </row>
    <row r="214" spans="1:10" ht="34" x14ac:dyDescent="0.2">
      <c r="A214" s="25" t="s">
        <v>31</v>
      </c>
      <c r="B214">
        <v>42</v>
      </c>
      <c r="C214">
        <v>22</v>
      </c>
      <c r="D214">
        <v>5</v>
      </c>
      <c r="E214">
        <v>1</v>
      </c>
      <c r="F214">
        <v>16</v>
      </c>
      <c r="G214">
        <v>33</v>
      </c>
      <c r="H214">
        <v>6</v>
      </c>
      <c r="I214">
        <v>7</v>
      </c>
      <c r="J214">
        <v>26</v>
      </c>
    </row>
    <row r="215" spans="1:10" ht="34" x14ac:dyDescent="0.2">
      <c r="A215" s="25" t="s">
        <v>31</v>
      </c>
      <c r="B215" s="20"/>
      <c r="C215" s="20"/>
      <c r="D215" s="28"/>
    </row>
    <row r="216" spans="1:10" ht="17" x14ac:dyDescent="0.2">
      <c r="A216" s="25" t="s">
        <v>32</v>
      </c>
      <c r="B216">
        <v>65</v>
      </c>
      <c r="C216">
        <v>25</v>
      </c>
      <c r="D216">
        <v>18</v>
      </c>
      <c r="E216">
        <v>34</v>
      </c>
      <c r="F216">
        <v>18</v>
      </c>
      <c r="G216">
        <v>112</v>
      </c>
      <c r="H216">
        <v>28</v>
      </c>
      <c r="I216">
        <v>279</v>
      </c>
      <c r="J216">
        <v>122</v>
      </c>
    </row>
    <row r="217" spans="1:10" x14ac:dyDescent="0.2">
      <c r="A217" s="30" t="s">
        <v>33</v>
      </c>
      <c r="B217">
        <v>56</v>
      </c>
      <c r="C217">
        <v>21</v>
      </c>
      <c r="D217">
        <v>12</v>
      </c>
      <c r="E217">
        <v>22</v>
      </c>
      <c r="F217">
        <v>20</v>
      </c>
      <c r="G217">
        <v>134</v>
      </c>
      <c r="H217">
        <v>47</v>
      </c>
      <c r="I217">
        <v>282</v>
      </c>
      <c r="J217">
        <v>131</v>
      </c>
    </row>
    <row r="218" spans="1:10" x14ac:dyDescent="0.2">
      <c r="A218" s="31" t="s">
        <v>34</v>
      </c>
      <c r="B218" s="27">
        <f t="shared" ref="B218:D218" si="49">AVERAGE(B216:B217)-AVERAGE(B214:B215)</f>
        <v>18.5</v>
      </c>
      <c r="C218" s="27">
        <f t="shared" si="49"/>
        <v>1</v>
      </c>
      <c r="D218" s="27">
        <f t="shared" si="49"/>
        <v>10</v>
      </c>
      <c r="E218" s="27">
        <f>AVERAGE(E216:E217)-AVERAGE(E214:E215)</f>
        <v>27</v>
      </c>
      <c r="F218" s="27">
        <f t="shared" ref="F218:J218" si="50">AVERAGE(F216:F217)-AVERAGE(F214:F215)</f>
        <v>3</v>
      </c>
      <c r="G218" s="27">
        <f t="shared" si="50"/>
        <v>90</v>
      </c>
      <c r="H218" s="27">
        <f t="shared" si="50"/>
        <v>31.5</v>
      </c>
      <c r="I218" s="27">
        <f t="shared" si="50"/>
        <v>273.5</v>
      </c>
      <c r="J218" s="27">
        <f t="shared" si="50"/>
        <v>100.5</v>
      </c>
    </row>
    <row r="220" spans="1:10" x14ac:dyDescent="0.2">
      <c r="A220" s="32"/>
      <c r="B220" s="33" t="s">
        <v>37</v>
      </c>
      <c r="C220" s="33"/>
      <c r="D220" s="33"/>
      <c r="E220" s="33"/>
      <c r="F220" s="33"/>
      <c r="G220" s="33"/>
      <c r="H220" s="33"/>
      <c r="I220" s="33"/>
      <c r="J220" s="33"/>
    </row>
    <row r="221" spans="1:10" x14ac:dyDescent="0.2">
      <c r="A221" s="31"/>
      <c r="B221" s="21" t="s">
        <v>44</v>
      </c>
      <c r="C221" s="21"/>
      <c r="D221" s="21"/>
      <c r="E221" s="21" t="s">
        <v>6</v>
      </c>
      <c r="F221" s="21"/>
      <c r="G221" s="21"/>
      <c r="H221" s="21" t="s">
        <v>18</v>
      </c>
      <c r="I221" s="21"/>
      <c r="J221" s="21"/>
    </row>
    <row r="222" spans="1:10" ht="34" x14ac:dyDescent="0.2">
      <c r="A222" s="25" t="s">
        <v>31</v>
      </c>
      <c r="B222">
        <v>1</v>
      </c>
      <c r="C222">
        <v>0</v>
      </c>
      <c r="D222">
        <v>5</v>
      </c>
      <c r="E222">
        <v>2</v>
      </c>
      <c r="F222">
        <v>1</v>
      </c>
      <c r="G222">
        <v>5</v>
      </c>
      <c r="H222">
        <v>0</v>
      </c>
      <c r="I222">
        <v>5</v>
      </c>
      <c r="J222">
        <v>1</v>
      </c>
    </row>
    <row r="223" spans="1:10" ht="34" x14ac:dyDescent="0.2">
      <c r="A223" s="25" t="s">
        <v>31</v>
      </c>
      <c r="B223" s="20"/>
      <c r="C223" s="20"/>
      <c r="D223" s="28"/>
    </row>
    <row r="224" spans="1:10" ht="17" x14ac:dyDescent="0.2">
      <c r="A224" s="25" t="s">
        <v>32</v>
      </c>
      <c r="B224">
        <v>8</v>
      </c>
      <c r="C224">
        <v>115</v>
      </c>
      <c r="D224">
        <v>38</v>
      </c>
      <c r="E224">
        <v>6</v>
      </c>
      <c r="F224">
        <v>209</v>
      </c>
      <c r="G224">
        <v>33</v>
      </c>
      <c r="H224">
        <v>231</v>
      </c>
      <c r="I224">
        <v>33</v>
      </c>
      <c r="J224">
        <v>71</v>
      </c>
    </row>
    <row r="225" spans="1:10" x14ac:dyDescent="0.2">
      <c r="A225" s="30" t="s">
        <v>33</v>
      </c>
      <c r="B225">
        <v>28</v>
      </c>
      <c r="C225">
        <v>168</v>
      </c>
      <c r="D225">
        <v>32</v>
      </c>
      <c r="E225">
        <v>8</v>
      </c>
      <c r="F225">
        <v>211</v>
      </c>
      <c r="G225">
        <v>32</v>
      </c>
      <c r="H225">
        <v>195</v>
      </c>
      <c r="I225">
        <v>39</v>
      </c>
      <c r="J225">
        <v>93</v>
      </c>
    </row>
    <row r="226" spans="1:10" x14ac:dyDescent="0.2">
      <c r="A226" s="31" t="s">
        <v>34</v>
      </c>
      <c r="B226" s="27">
        <f t="shared" ref="B226:D226" si="51">AVERAGE(B224:B225)-AVERAGE(B222:B223)</f>
        <v>17</v>
      </c>
      <c r="C226" s="27">
        <f t="shared" si="51"/>
        <v>141.5</v>
      </c>
      <c r="D226" s="27">
        <f t="shared" si="51"/>
        <v>30</v>
      </c>
      <c r="E226" s="27">
        <f>AVERAGE(E224:E225)-AVERAGE(E222:E223)</f>
        <v>5</v>
      </c>
      <c r="F226" s="27">
        <f t="shared" ref="F226:J226" si="52">AVERAGE(F224:F225)-AVERAGE(F222:F223)</f>
        <v>209</v>
      </c>
      <c r="G226" s="27">
        <f t="shared" si="52"/>
        <v>27.5</v>
      </c>
      <c r="H226" s="27">
        <f t="shared" si="52"/>
        <v>213</v>
      </c>
      <c r="I226" s="27">
        <f t="shared" si="52"/>
        <v>31</v>
      </c>
      <c r="J226" s="27">
        <f t="shared" si="52"/>
        <v>81</v>
      </c>
    </row>
    <row r="228" spans="1:10" x14ac:dyDescent="0.2">
      <c r="A228" s="1" t="s">
        <v>38</v>
      </c>
    </row>
    <row r="229" spans="1:10" x14ac:dyDescent="0.2">
      <c r="A229" s="1"/>
      <c r="B229" s="19" t="s">
        <v>29</v>
      </c>
      <c r="C229" s="19"/>
      <c r="D229" s="19"/>
      <c r="E229" s="19"/>
      <c r="F229" s="19"/>
      <c r="G229" s="19"/>
      <c r="H229" s="19"/>
      <c r="I229" s="19"/>
      <c r="J229" s="19"/>
    </row>
    <row r="230" spans="1:10" x14ac:dyDescent="0.2">
      <c r="A230" s="20"/>
      <c r="B230" s="21" t="s">
        <v>44</v>
      </c>
      <c r="C230" s="21"/>
      <c r="D230" s="21"/>
      <c r="E230" s="21" t="s">
        <v>6</v>
      </c>
      <c r="F230" s="21"/>
      <c r="G230" s="21"/>
      <c r="H230" s="21" t="s">
        <v>18</v>
      </c>
      <c r="I230" s="21"/>
      <c r="J230" s="21"/>
    </row>
    <row r="231" spans="1:10" ht="34" x14ac:dyDescent="0.2">
      <c r="A231" s="25" t="s">
        <v>31</v>
      </c>
      <c r="B231" s="34">
        <v>0</v>
      </c>
      <c r="C231" s="34">
        <v>2</v>
      </c>
      <c r="D231" s="34">
        <v>0</v>
      </c>
      <c r="E231" s="34">
        <v>7</v>
      </c>
      <c r="F231" s="34">
        <v>0</v>
      </c>
      <c r="G231" s="34">
        <v>2</v>
      </c>
      <c r="H231" s="34">
        <v>8</v>
      </c>
      <c r="I231" s="34">
        <v>2</v>
      </c>
      <c r="J231" s="34">
        <v>11</v>
      </c>
    </row>
    <row r="232" spans="1:10" ht="34" x14ac:dyDescent="0.2">
      <c r="A232" s="25" t="s">
        <v>31</v>
      </c>
      <c r="B232" s="35">
        <v>2</v>
      </c>
      <c r="C232" s="35">
        <v>1</v>
      </c>
      <c r="D232" s="35">
        <v>1</v>
      </c>
      <c r="E232" s="34">
        <v>1</v>
      </c>
      <c r="F232" s="34">
        <v>4</v>
      </c>
      <c r="G232" s="34">
        <v>0</v>
      </c>
      <c r="H232" s="34">
        <v>9</v>
      </c>
      <c r="I232" s="34">
        <v>5</v>
      </c>
      <c r="J232" s="34">
        <v>16</v>
      </c>
    </row>
    <row r="233" spans="1:10" ht="17" x14ac:dyDescent="0.2">
      <c r="A233" s="25" t="s">
        <v>32</v>
      </c>
      <c r="B233">
        <v>0</v>
      </c>
      <c r="C233">
        <v>12</v>
      </c>
      <c r="D233">
        <v>31</v>
      </c>
      <c r="E233">
        <v>11</v>
      </c>
      <c r="F233">
        <v>0</v>
      </c>
      <c r="G233">
        <v>4</v>
      </c>
      <c r="H233">
        <v>8</v>
      </c>
      <c r="I233">
        <v>15</v>
      </c>
      <c r="J233">
        <v>112</v>
      </c>
    </row>
    <row r="234" spans="1:10" x14ac:dyDescent="0.2">
      <c r="A234" s="30" t="s">
        <v>33</v>
      </c>
      <c r="B234">
        <v>0</v>
      </c>
      <c r="C234">
        <v>19</v>
      </c>
      <c r="D234">
        <v>27</v>
      </c>
      <c r="E234">
        <v>9</v>
      </c>
      <c r="F234">
        <v>0</v>
      </c>
      <c r="G234">
        <v>2</v>
      </c>
      <c r="H234">
        <v>12</v>
      </c>
      <c r="I234">
        <v>6</v>
      </c>
      <c r="J234">
        <v>84</v>
      </c>
    </row>
    <row r="235" spans="1:10" x14ac:dyDescent="0.2">
      <c r="A235" s="31" t="s">
        <v>34</v>
      </c>
      <c r="B235" s="27">
        <f t="shared" ref="B235:J235" si="53">AVERAGE(B233:B234)-AVERAGE(B231:B232)</f>
        <v>-1</v>
      </c>
      <c r="C235" s="27">
        <f t="shared" si="53"/>
        <v>14</v>
      </c>
      <c r="D235" s="27">
        <f t="shared" si="53"/>
        <v>28.5</v>
      </c>
      <c r="E235" s="27">
        <f t="shared" si="53"/>
        <v>6</v>
      </c>
      <c r="F235" s="27">
        <f t="shared" si="53"/>
        <v>-2</v>
      </c>
      <c r="G235" s="27">
        <f t="shared" si="53"/>
        <v>2</v>
      </c>
      <c r="H235" s="27">
        <f t="shared" si="53"/>
        <v>1.5</v>
      </c>
      <c r="I235" s="27">
        <f t="shared" si="53"/>
        <v>7</v>
      </c>
      <c r="J235" s="27">
        <f t="shared" si="53"/>
        <v>84.5</v>
      </c>
    </row>
    <row r="236" spans="1:10" x14ac:dyDescent="0.2">
      <c r="A236" s="31"/>
      <c r="B236" s="20"/>
      <c r="C236" s="20"/>
      <c r="D236" s="28"/>
      <c r="E236" s="28"/>
      <c r="F236" s="28"/>
      <c r="G236" s="28"/>
    </row>
    <row r="237" spans="1:10" x14ac:dyDescent="0.2">
      <c r="A237" s="32"/>
      <c r="B237" s="29" t="s">
        <v>35</v>
      </c>
      <c r="C237" s="29"/>
      <c r="D237" s="29"/>
      <c r="E237" s="29"/>
      <c r="F237" s="29"/>
      <c r="G237" s="29"/>
      <c r="H237" s="29"/>
      <c r="I237" s="29"/>
      <c r="J237" s="29"/>
    </row>
    <row r="238" spans="1:10" x14ac:dyDescent="0.2">
      <c r="A238" s="31"/>
      <c r="B238" s="21" t="s">
        <v>44</v>
      </c>
      <c r="C238" s="21"/>
      <c r="D238" s="21"/>
      <c r="E238" s="21" t="s">
        <v>6</v>
      </c>
      <c r="F238" s="21"/>
      <c r="G238" s="21"/>
      <c r="H238" s="21" t="s">
        <v>18</v>
      </c>
      <c r="I238" s="21"/>
      <c r="J238" s="21"/>
    </row>
    <row r="239" spans="1:10" ht="34" x14ac:dyDescent="0.2">
      <c r="A239" s="25" t="s">
        <v>31</v>
      </c>
      <c r="B239" s="34">
        <v>1</v>
      </c>
      <c r="C239" s="34">
        <v>1</v>
      </c>
      <c r="D239" s="34">
        <v>0</v>
      </c>
      <c r="E239" s="34">
        <v>1</v>
      </c>
      <c r="F239" s="34">
        <v>11</v>
      </c>
      <c r="G239" s="34">
        <v>0</v>
      </c>
      <c r="H239" s="34">
        <v>20</v>
      </c>
      <c r="I239" s="34">
        <v>6</v>
      </c>
      <c r="J239" s="34">
        <v>0</v>
      </c>
    </row>
    <row r="240" spans="1:10" ht="34" x14ac:dyDescent="0.2">
      <c r="A240" s="25" t="s">
        <v>31</v>
      </c>
      <c r="B240" s="35">
        <v>0</v>
      </c>
      <c r="C240" s="35">
        <v>1</v>
      </c>
      <c r="D240" s="35">
        <v>0</v>
      </c>
      <c r="E240" s="35">
        <v>26</v>
      </c>
      <c r="F240" s="35">
        <v>1</v>
      </c>
      <c r="G240" s="35">
        <v>5</v>
      </c>
      <c r="H240" s="35">
        <v>2</v>
      </c>
      <c r="I240" s="35">
        <v>1</v>
      </c>
      <c r="J240" s="35">
        <v>2</v>
      </c>
    </row>
    <row r="241" spans="1:10" ht="17" x14ac:dyDescent="0.2">
      <c r="A241" s="25" t="s">
        <v>32</v>
      </c>
      <c r="B241">
        <v>1</v>
      </c>
      <c r="C241">
        <v>4</v>
      </c>
      <c r="D241">
        <v>2</v>
      </c>
      <c r="E241">
        <v>4</v>
      </c>
      <c r="F241">
        <v>4</v>
      </c>
      <c r="G241">
        <v>11</v>
      </c>
      <c r="H241">
        <v>85</v>
      </c>
      <c r="I241">
        <v>68</v>
      </c>
      <c r="J241">
        <v>51</v>
      </c>
    </row>
    <row r="242" spans="1:10" x14ac:dyDescent="0.2">
      <c r="A242" s="30" t="s">
        <v>33</v>
      </c>
      <c r="B242">
        <v>4</v>
      </c>
      <c r="C242">
        <v>4</v>
      </c>
      <c r="D242">
        <v>1</v>
      </c>
      <c r="E242">
        <v>4</v>
      </c>
      <c r="F242">
        <v>5</v>
      </c>
      <c r="G242">
        <v>7</v>
      </c>
      <c r="H242">
        <v>82</v>
      </c>
      <c r="I242">
        <v>53</v>
      </c>
      <c r="J242">
        <v>59</v>
      </c>
    </row>
    <row r="243" spans="1:10" x14ac:dyDescent="0.2">
      <c r="A243" s="31" t="s">
        <v>34</v>
      </c>
      <c r="B243" s="27">
        <f t="shared" ref="B243:D243" si="54">AVERAGE(B241:B242)-AVERAGE(B239:B240)</f>
        <v>2</v>
      </c>
      <c r="C243" s="27">
        <f t="shared" si="54"/>
        <v>3</v>
      </c>
      <c r="D243" s="27">
        <f t="shared" si="54"/>
        <v>1.5</v>
      </c>
      <c r="E243" s="27">
        <f>AVERAGE(E241:E242)-AVERAGE(E239:E240)</f>
        <v>-9.5</v>
      </c>
      <c r="F243" s="27">
        <f t="shared" ref="F243:J243" si="55">AVERAGE(F241:F242)-AVERAGE(F239:F240)</f>
        <v>-1.5</v>
      </c>
      <c r="G243" s="27">
        <f t="shared" si="55"/>
        <v>6.5</v>
      </c>
      <c r="H243" s="27">
        <f t="shared" si="55"/>
        <v>72.5</v>
      </c>
      <c r="I243" s="27">
        <f t="shared" si="55"/>
        <v>57</v>
      </c>
      <c r="J243" s="27">
        <f t="shared" si="55"/>
        <v>54</v>
      </c>
    </row>
    <row r="245" spans="1:10" x14ac:dyDescent="0.2">
      <c r="A245" s="1" t="s">
        <v>39</v>
      </c>
    </row>
    <row r="246" spans="1:10" x14ac:dyDescent="0.2">
      <c r="A246" s="1"/>
      <c r="B246" s="19" t="s">
        <v>29</v>
      </c>
      <c r="C246" s="19"/>
      <c r="D246" s="19"/>
      <c r="E246" s="19"/>
      <c r="F246" s="19"/>
      <c r="G246" s="19"/>
      <c r="H246" s="19"/>
      <c r="I246" s="19"/>
      <c r="J246" s="19"/>
    </row>
    <row r="247" spans="1:10" x14ac:dyDescent="0.2">
      <c r="A247" s="20"/>
      <c r="B247" s="21" t="s">
        <v>44</v>
      </c>
      <c r="C247" s="21"/>
      <c r="D247" s="21"/>
      <c r="E247" s="21" t="s">
        <v>6</v>
      </c>
      <c r="F247" s="21"/>
      <c r="G247" s="21"/>
      <c r="H247" s="21" t="s">
        <v>18</v>
      </c>
      <c r="I247" s="21"/>
      <c r="J247" s="21"/>
    </row>
    <row r="248" spans="1:10" ht="34" x14ac:dyDescent="0.2">
      <c r="A248" s="25" t="s">
        <v>31</v>
      </c>
      <c r="B248" s="34">
        <v>0</v>
      </c>
      <c r="C248" s="34">
        <v>0</v>
      </c>
      <c r="D248" s="34">
        <v>13</v>
      </c>
      <c r="E248" s="34">
        <v>0</v>
      </c>
      <c r="F248" s="34">
        <v>0</v>
      </c>
      <c r="G248" s="34">
        <v>0</v>
      </c>
      <c r="H248" s="34">
        <v>5</v>
      </c>
      <c r="I248" s="34">
        <v>11</v>
      </c>
      <c r="J248" s="34">
        <v>2</v>
      </c>
    </row>
    <row r="249" spans="1:10" ht="34" x14ac:dyDescent="0.2">
      <c r="A249" s="25" t="s">
        <v>31</v>
      </c>
      <c r="B249">
        <v>6</v>
      </c>
      <c r="C249">
        <v>13</v>
      </c>
      <c r="D249">
        <v>0</v>
      </c>
      <c r="E249">
        <v>0</v>
      </c>
      <c r="F249">
        <v>2</v>
      </c>
      <c r="G249">
        <v>1</v>
      </c>
      <c r="H249">
        <v>11</v>
      </c>
      <c r="I249">
        <v>20</v>
      </c>
      <c r="J249">
        <v>7</v>
      </c>
    </row>
    <row r="250" spans="1:10" ht="17" x14ac:dyDescent="0.2">
      <c r="A250" s="25" t="s">
        <v>32</v>
      </c>
      <c r="B250">
        <v>112</v>
      </c>
      <c r="C250">
        <v>4</v>
      </c>
      <c r="D250">
        <v>6</v>
      </c>
      <c r="E250">
        <v>1</v>
      </c>
      <c r="F250">
        <v>0</v>
      </c>
      <c r="G250">
        <v>9</v>
      </c>
      <c r="H250">
        <v>8</v>
      </c>
      <c r="I250">
        <v>24</v>
      </c>
      <c r="J250">
        <v>26</v>
      </c>
    </row>
    <row r="251" spans="1:10" x14ac:dyDescent="0.2">
      <c r="A251" s="30" t="s">
        <v>33</v>
      </c>
      <c r="B251">
        <v>136</v>
      </c>
      <c r="C251">
        <v>4</v>
      </c>
      <c r="D251">
        <v>13</v>
      </c>
      <c r="E251">
        <v>1</v>
      </c>
      <c r="F251">
        <v>1</v>
      </c>
      <c r="G251">
        <v>16</v>
      </c>
      <c r="H251">
        <v>14</v>
      </c>
      <c r="I251">
        <v>18</v>
      </c>
      <c r="J251">
        <v>32</v>
      </c>
    </row>
    <row r="252" spans="1:10" x14ac:dyDescent="0.2">
      <c r="A252" s="31" t="s">
        <v>34</v>
      </c>
      <c r="B252" s="27">
        <f t="shared" ref="B252:J252" si="56">AVERAGE(B250:B251)-AVERAGE(B248:B249)</f>
        <v>121</v>
      </c>
      <c r="C252" s="27">
        <f t="shared" si="56"/>
        <v>-2.5</v>
      </c>
      <c r="D252" s="27">
        <f t="shared" si="56"/>
        <v>3</v>
      </c>
      <c r="E252" s="27">
        <f t="shared" si="56"/>
        <v>1</v>
      </c>
      <c r="F252" s="27">
        <f t="shared" si="56"/>
        <v>-0.5</v>
      </c>
      <c r="G252" s="27">
        <f t="shared" si="56"/>
        <v>12</v>
      </c>
      <c r="H252" s="27">
        <f t="shared" si="56"/>
        <v>3</v>
      </c>
      <c r="I252" s="27">
        <f t="shared" si="56"/>
        <v>5.5</v>
      </c>
      <c r="J252" s="27">
        <f t="shared" si="56"/>
        <v>24.5</v>
      </c>
    </row>
    <row r="253" spans="1:10" x14ac:dyDescent="0.2">
      <c r="A253" s="31"/>
      <c r="B253" s="20"/>
      <c r="C253" s="20"/>
      <c r="D253" s="28"/>
      <c r="E253" s="28"/>
      <c r="F253" s="28"/>
      <c r="G253" s="28"/>
    </row>
    <row r="254" spans="1:10" x14ac:dyDescent="0.2">
      <c r="A254" s="32"/>
      <c r="B254" s="29" t="s">
        <v>35</v>
      </c>
      <c r="C254" s="29"/>
      <c r="D254" s="29"/>
      <c r="E254" s="29"/>
      <c r="F254" s="29"/>
      <c r="G254" s="29"/>
      <c r="H254" s="29"/>
      <c r="I254" s="29"/>
      <c r="J254" s="29"/>
    </row>
    <row r="255" spans="1:10" x14ac:dyDescent="0.2">
      <c r="A255" s="31"/>
      <c r="B255" s="21" t="s">
        <v>44</v>
      </c>
      <c r="C255" s="21"/>
      <c r="D255" s="21"/>
      <c r="E255" s="21" t="s">
        <v>6</v>
      </c>
      <c r="F255" s="21"/>
      <c r="G255" s="21"/>
      <c r="H255" s="21" t="s">
        <v>18</v>
      </c>
      <c r="I255" s="21"/>
      <c r="J255" s="21"/>
    </row>
    <row r="256" spans="1:10" ht="34" x14ac:dyDescent="0.2">
      <c r="A256" s="25" t="s">
        <v>31</v>
      </c>
      <c r="B256" s="34">
        <v>4</v>
      </c>
      <c r="C256" s="34">
        <v>15</v>
      </c>
      <c r="D256" s="34">
        <v>9</v>
      </c>
      <c r="E256" s="34">
        <v>1</v>
      </c>
      <c r="F256" s="34">
        <v>1</v>
      </c>
      <c r="G256" s="34">
        <v>14</v>
      </c>
      <c r="H256" s="34">
        <v>4</v>
      </c>
      <c r="I256" s="34">
        <v>9</v>
      </c>
      <c r="J256" s="34">
        <v>7</v>
      </c>
    </row>
    <row r="257" spans="1:10" ht="34" x14ac:dyDescent="0.2">
      <c r="A257" s="25" t="s">
        <v>31</v>
      </c>
      <c r="B257">
        <v>7</v>
      </c>
      <c r="C257">
        <v>6</v>
      </c>
      <c r="D257">
        <v>28</v>
      </c>
      <c r="E257">
        <v>6</v>
      </c>
      <c r="F257">
        <v>0</v>
      </c>
      <c r="G257">
        <v>27</v>
      </c>
      <c r="H257">
        <v>6</v>
      </c>
      <c r="I257">
        <v>1</v>
      </c>
      <c r="J257">
        <v>1</v>
      </c>
    </row>
    <row r="258" spans="1:10" ht="17" x14ac:dyDescent="0.2">
      <c r="A258" s="25" t="s">
        <v>32</v>
      </c>
      <c r="B258">
        <v>169</v>
      </c>
      <c r="C258">
        <v>12</v>
      </c>
      <c r="D258">
        <v>7</v>
      </c>
      <c r="E258">
        <v>2</v>
      </c>
      <c r="F258">
        <v>4</v>
      </c>
      <c r="G258">
        <v>21</v>
      </c>
      <c r="H258">
        <v>48</v>
      </c>
      <c r="I258">
        <v>71</v>
      </c>
      <c r="J258">
        <v>347</v>
      </c>
    </row>
    <row r="259" spans="1:10" x14ac:dyDescent="0.2">
      <c r="A259" s="30" t="s">
        <v>33</v>
      </c>
      <c r="B259">
        <v>182</v>
      </c>
      <c r="C259">
        <v>27</v>
      </c>
      <c r="D259">
        <v>9</v>
      </c>
      <c r="E259">
        <v>1</v>
      </c>
      <c r="F259">
        <v>6</v>
      </c>
      <c r="G259">
        <v>28</v>
      </c>
      <c r="H259">
        <v>28</v>
      </c>
      <c r="I259">
        <v>68</v>
      </c>
      <c r="J259">
        <v>348</v>
      </c>
    </row>
    <row r="260" spans="1:10" x14ac:dyDescent="0.2">
      <c r="A260" s="31" t="s">
        <v>34</v>
      </c>
      <c r="B260" s="27">
        <f t="shared" ref="B260:D260" si="57">AVERAGE(B258:B259)-AVERAGE(B256:B257)</f>
        <v>170</v>
      </c>
      <c r="C260" s="27">
        <f t="shared" si="57"/>
        <v>9</v>
      </c>
      <c r="D260" s="27">
        <f t="shared" si="57"/>
        <v>-10.5</v>
      </c>
      <c r="E260" s="27">
        <f>AVERAGE(E258:E259)-AVERAGE(E256:E257)</f>
        <v>-2</v>
      </c>
      <c r="F260" s="27">
        <f t="shared" ref="F260:J260" si="58">AVERAGE(F258:F259)-AVERAGE(F256:F257)</f>
        <v>4.5</v>
      </c>
      <c r="G260" s="27">
        <f t="shared" si="58"/>
        <v>4</v>
      </c>
      <c r="H260" s="27">
        <f t="shared" si="58"/>
        <v>33</v>
      </c>
      <c r="I260" s="27">
        <f t="shared" si="58"/>
        <v>64.5</v>
      </c>
      <c r="J260" s="27">
        <f t="shared" si="58"/>
        <v>343.5</v>
      </c>
    </row>
    <row r="262" spans="1:10" x14ac:dyDescent="0.2">
      <c r="A262" s="32"/>
      <c r="B262" s="33" t="s">
        <v>37</v>
      </c>
      <c r="C262" s="33"/>
      <c r="D262" s="33"/>
      <c r="E262" s="33"/>
      <c r="F262" s="33"/>
      <c r="G262" s="33"/>
      <c r="H262" s="33"/>
      <c r="I262" s="33"/>
      <c r="J262" s="33"/>
    </row>
    <row r="263" spans="1:10" x14ac:dyDescent="0.2">
      <c r="A263" s="31"/>
      <c r="B263" s="21" t="s">
        <v>44</v>
      </c>
      <c r="C263" s="21"/>
      <c r="D263" s="21"/>
      <c r="E263" s="21" t="s">
        <v>6</v>
      </c>
      <c r="F263" s="21"/>
      <c r="G263" s="21"/>
      <c r="H263" s="21" t="s">
        <v>18</v>
      </c>
      <c r="I263" s="21"/>
      <c r="J263" s="21"/>
    </row>
    <row r="264" spans="1:10" ht="34" x14ac:dyDescent="0.2">
      <c r="A264" s="25" t="s">
        <v>31</v>
      </c>
      <c r="B264" s="34">
        <v>33</v>
      </c>
      <c r="C264" s="34">
        <v>2</v>
      </c>
      <c r="D264" s="34">
        <v>4</v>
      </c>
      <c r="E264" s="34">
        <v>1</v>
      </c>
      <c r="F264" s="34">
        <v>0</v>
      </c>
      <c r="G264" s="34">
        <v>4</v>
      </c>
      <c r="H264" s="34">
        <v>2</v>
      </c>
      <c r="I264" s="34">
        <v>5</v>
      </c>
      <c r="J264" s="34">
        <v>5</v>
      </c>
    </row>
    <row r="265" spans="1:10" ht="34" x14ac:dyDescent="0.2">
      <c r="A265" s="25" t="s">
        <v>31</v>
      </c>
      <c r="B265" s="34">
        <v>12</v>
      </c>
      <c r="C265" s="34">
        <v>2</v>
      </c>
      <c r="D265" s="34">
        <v>11</v>
      </c>
      <c r="E265">
        <v>1</v>
      </c>
      <c r="F265">
        <v>0</v>
      </c>
      <c r="G265">
        <v>0</v>
      </c>
      <c r="H265">
        <v>27</v>
      </c>
      <c r="I265">
        <v>21</v>
      </c>
      <c r="J265">
        <v>32</v>
      </c>
    </row>
    <row r="266" spans="1:10" ht="17" x14ac:dyDescent="0.2">
      <c r="A266" s="25" t="s">
        <v>32</v>
      </c>
      <c r="B266">
        <v>35</v>
      </c>
      <c r="C266">
        <v>1</v>
      </c>
      <c r="D266">
        <v>81</v>
      </c>
      <c r="E266">
        <v>28</v>
      </c>
      <c r="F266">
        <v>1</v>
      </c>
      <c r="G266">
        <v>11</v>
      </c>
      <c r="H266">
        <v>25</v>
      </c>
      <c r="I266">
        <v>95</v>
      </c>
      <c r="J266">
        <v>120</v>
      </c>
    </row>
    <row r="267" spans="1:10" x14ac:dyDescent="0.2">
      <c r="A267" s="30" t="s">
        <v>33</v>
      </c>
      <c r="B267">
        <v>53</v>
      </c>
      <c r="C267">
        <v>11</v>
      </c>
      <c r="D267">
        <v>41</v>
      </c>
      <c r="E267">
        <v>25</v>
      </c>
      <c r="F267">
        <v>2</v>
      </c>
      <c r="G267">
        <v>7</v>
      </c>
      <c r="H267">
        <v>21</v>
      </c>
      <c r="I267">
        <v>131</v>
      </c>
      <c r="J267">
        <v>109</v>
      </c>
    </row>
    <row r="268" spans="1:10" x14ac:dyDescent="0.2">
      <c r="A268" s="31" t="s">
        <v>34</v>
      </c>
      <c r="B268" s="27">
        <f t="shared" ref="B268:D268" si="59">AVERAGE(B266:B267)-AVERAGE(B264:B265)</f>
        <v>21.5</v>
      </c>
      <c r="C268" s="27">
        <f t="shared" si="59"/>
        <v>4</v>
      </c>
      <c r="D268" s="27">
        <f t="shared" si="59"/>
        <v>53.5</v>
      </c>
      <c r="E268" s="27">
        <f>AVERAGE(E266:E267)-AVERAGE(E264:E265)</f>
        <v>25.5</v>
      </c>
      <c r="F268" s="27">
        <f t="shared" ref="F268:J268" si="60">AVERAGE(F266:F267)-AVERAGE(F264:F265)</f>
        <v>1.5</v>
      </c>
      <c r="G268" s="27">
        <f t="shared" si="60"/>
        <v>7</v>
      </c>
      <c r="H268" s="27">
        <f t="shared" si="60"/>
        <v>8.5</v>
      </c>
      <c r="I268" s="27">
        <f t="shared" si="60"/>
        <v>100</v>
      </c>
      <c r="J268" s="27">
        <f t="shared" si="60"/>
        <v>96</v>
      </c>
    </row>
    <row r="270" spans="1:10" x14ac:dyDescent="0.2">
      <c r="A270" s="1" t="s">
        <v>40</v>
      </c>
    </row>
    <row r="271" spans="1:10" x14ac:dyDescent="0.2">
      <c r="A271" s="1"/>
      <c r="B271" s="19" t="s">
        <v>29</v>
      </c>
      <c r="C271" s="19"/>
      <c r="D271" s="19"/>
      <c r="E271" s="19"/>
      <c r="F271" s="19"/>
      <c r="G271" s="19"/>
      <c r="H271" s="19"/>
      <c r="I271" s="19"/>
      <c r="J271" s="19"/>
    </row>
    <row r="272" spans="1:10" x14ac:dyDescent="0.2">
      <c r="A272" s="20"/>
      <c r="B272" s="21" t="s">
        <v>44</v>
      </c>
      <c r="C272" s="21"/>
      <c r="D272" s="21"/>
      <c r="E272" s="21" t="s">
        <v>6</v>
      </c>
      <c r="F272" s="21"/>
      <c r="G272" s="21"/>
      <c r="H272" s="21" t="s">
        <v>18</v>
      </c>
      <c r="I272" s="21"/>
      <c r="J272" s="21"/>
    </row>
    <row r="273" spans="1:10" ht="34" x14ac:dyDescent="0.2">
      <c r="A273" s="25" t="s">
        <v>31</v>
      </c>
      <c r="B273" s="34">
        <v>0</v>
      </c>
      <c r="C273" s="34">
        <v>6</v>
      </c>
      <c r="D273" s="34">
        <v>1</v>
      </c>
      <c r="E273" s="34">
        <v>0</v>
      </c>
      <c r="F273" s="34">
        <v>0</v>
      </c>
      <c r="G273" s="34">
        <v>6</v>
      </c>
      <c r="H273" s="34">
        <v>6</v>
      </c>
      <c r="I273" s="34">
        <v>0</v>
      </c>
      <c r="J273" s="34">
        <v>2</v>
      </c>
    </row>
    <row r="274" spans="1:10" ht="34" x14ac:dyDescent="0.2">
      <c r="A274" s="25" t="s">
        <v>31</v>
      </c>
      <c r="B274">
        <v>0</v>
      </c>
      <c r="C274">
        <v>12</v>
      </c>
      <c r="D274">
        <v>1</v>
      </c>
      <c r="E274">
        <v>0</v>
      </c>
      <c r="F274">
        <v>2</v>
      </c>
      <c r="G274">
        <v>12</v>
      </c>
      <c r="H274">
        <v>4</v>
      </c>
      <c r="I274">
        <v>4</v>
      </c>
      <c r="J274">
        <v>0</v>
      </c>
    </row>
    <row r="275" spans="1:10" ht="17" x14ac:dyDescent="0.2">
      <c r="A275" s="25" t="s">
        <v>32</v>
      </c>
      <c r="B275">
        <v>20</v>
      </c>
      <c r="C275">
        <v>16</v>
      </c>
      <c r="D275">
        <v>3</v>
      </c>
      <c r="E275">
        <v>1</v>
      </c>
      <c r="F275">
        <v>1</v>
      </c>
      <c r="G275">
        <v>11</v>
      </c>
      <c r="H275">
        <v>337</v>
      </c>
      <c r="I275">
        <v>18</v>
      </c>
      <c r="J275">
        <v>80</v>
      </c>
    </row>
    <row r="276" spans="1:10" x14ac:dyDescent="0.2">
      <c r="A276" s="30" t="s">
        <v>33</v>
      </c>
      <c r="B276">
        <v>21</v>
      </c>
      <c r="C276">
        <v>17</v>
      </c>
      <c r="D276">
        <v>3</v>
      </c>
      <c r="E276">
        <v>1</v>
      </c>
      <c r="F276">
        <v>4</v>
      </c>
      <c r="G276">
        <v>14</v>
      </c>
      <c r="H276">
        <v>334</v>
      </c>
      <c r="I276">
        <v>16</v>
      </c>
      <c r="J276">
        <v>64</v>
      </c>
    </row>
    <row r="277" spans="1:10" x14ac:dyDescent="0.2">
      <c r="A277" s="31" t="s">
        <v>34</v>
      </c>
      <c r="B277" s="27">
        <f t="shared" ref="B277:J277" si="61">AVERAGE(B275:B276)-AVERAGE(B273:B274)</f>
        <v>20.5</v>
      </c>
      <c r="C277" s="27">
        <f t="shared" si="61"/>
        <v>7.5</v>
      </c>
      <c r="D277" s="27">
        <f t="shared" si="61"/>
        <v>2</v>
      </c>
      <c r="E277" s="27">
        <f t="shared" si="61"/>
        <v>1</v>
      </c>
      <c r="F277" s="27">
        <f t="shared" si="61"/>
        <v>1.5</v>
      </c>
      <c r="G277" s="27">
        <f t="shared" si="61"/>
        <v>3.5</v>
      </c>
      <c r="H277" s="27">
        <f t="shared" si="61"/>
        <v>330.5</v>
      </c>
      <c r="I277" s="27">
        <f t="shared" si="61"/>
        <v>15</v>
      </c>
      <c r="J277" s="27">
        <f t="shared" si="61"/>
        <v>71</v>
      </c>
    </row>
    <row r="278" spans="1:10" x14ac:dyDescent="0.2">
      <c r="A278" s="31"/>
      <c r="B278" s="20"/>
      <c r="C278" s="20"/>
      <c r="D278" s="28"/>
      <c r="E278" s="28"/>
      <c r="F278" s="28"/>
      <c r="G278" s="28"/>
    </row>
    <row r="279" spans="1:10" x14ac:dyDescent="0.2">
      <c r="A279" s="32"/>
      <c r="B279" s="29" t="s">
        <v>35</v>
      </c>
      <c r="C279" s="29"/>
      <c r="D279" s="29"/>
      <c r="E279" s="29"/>
      <c r="F279" s="29"/>
      <c r="G279" s="29"/>
      <c r="H279" s="29"/>
      <c r="I279" s="29"/>
      <c r="J279" s="29"/>
    </row>
    <row r="280" spans="1:10" x14ac:dyDescent="0.2">
      <c r="A280" s="31"/>
      <c r="B280" s="21" t="s">
        <v>44</v>
      </c>
      <c r="C280" s="21"/>
      <c r="D280" s="21"/>
      <c r="E280" s="21" t="s">
        <v>6</v>
      </c>
      <c r="F280" s="21"/>
      <c r="G280" s="21"/>
      <c r="H280" s="21" t="s">
        <v>18</v>
      </c>
      <c r="I280" s="21"/>
      <c r="J280" s="21"/>
    </row>
    <row r="281" spans="1:10" ht="34" x14ac:dyDescent="0.2">
      <c r="A281" s="25" t="s">
        <v>31</v>
      </c>
      <c r="B281" s="34">
        <v>1</v>
      </c>
      <c r="C281" s="34">
        <v>50</v>
      </c>
      <c r="D281" s="34">
        <v>9</v>
      </c>
      <c r="E281" s="34">
        <v>0</v>
      </c>
      <c r="F281" s="34">
        <v>3</v>
      </c>
      <c r="G281" s="34">
        <v>0</v>
      </c>
      <c r="H281" s="34">
        <v>4</v>
      </c>
      <c r="I281" s="34">
        <v>20</v>
      </c>
      <c r="J281" s="34">
        <v>3</v>
      </c>
    </row>
    <row r="282" spans="1:10" ht="34" x14ac:dyDescent="0.2">
      <c r="A282" s="25" t="s">
        <v>31</v>
      </c>
      <c r="B282">
        <v>0</v>
      </c>
      <c r="C282">
        <v>46</v>
      </c>
      <c r="D282">
        <v>3</v>
      </c>
      <c r="E282">
        <v>1</v>
      </c>
      <c r="F282">
        <v>9</v>
      </c>
      <c r="G282">
        <v>1</v>
      </c>
      <c r="H282">
        <v>3</v>
      </c>
      <c r="I282">
        <v>27</v>
      </c>
      <c r="J282">
        <v>2</v>
      </c>
    </row>
    <row r="283" spans="1:10" ht="17" x14ac:dyDescent="0.2">
      <c r="A283" s="25" t="s">
        <v>32</v>
      </c>
      <c r="B283">
        <v>6</v>
      </c>
      <c r="C283">
        <v>44</v>
      </c>
      <c r="D283">
        <v>37</v>
      </c>
      <c r="E283">
        <v>1</v>
      </c>
      <c r="F283">
        <v>2</v>
      </c>
      <c r="G283">
        <v>1</v>
      </c>
      <c r="H283">
        <v>31</v>
      </c>
      <c r="I283">
        <v>111</v>
      </c>
      <c r="J283">
        <v>51</v>
      </c>
    </row>
    <row r="284" spans="1:10" x14ac:dyDescent="0.2">
      <c r="A284" s="30" t="s">
        <v>33</v>
      </c>
      <c r="B284">
        <v>1</v>
      </c>
      <c r="C284">
        <v>34</v>
      </c>
      <c r="D284">
        <v>23</v>
      </c>
      <c r="E284">
        <v>1</v>
      </c>
      <c r="F284">
        <v>7</v>
      </c>
      <c r="G284">
        <v>3</v>
      </c>
      <c r="H284">
        <v>33</v>
      </c>
      <c r="I284">
        <v>96</v>
      </c>
      <c r="J284">
        <v>39</v>
      </c>
    </row>
    <row r="285" spans="1:10" x14ac:dyDescent="0.2">
      <c r="A285" s="31" t="s">
        <v>34</v>
      </c>
      <c r="B285" s="27">
        <f t="shared" ref="B285:D285" si="62">AVERAGE(B283:B284)-AVERAGE(B281:B282)</f>
        <v>3</v>
      </c>
      <c r="C285" s="27">
        <f t="shared" si="62"/>
        <v>-9</v>
      </c>
      <c r="D285" s="27">
        <f t="shared" si="62"/>
        <v>24</v>
      </c>
      <c r="E285" s="27">
        <f>AVERAGE(E283:E284)-AVERAGE(E281:E282)</f>
        <v>0.5</v>
      </c>
      <c r="F285" s="27">
        <f t="shared" ref="F285:J285" si="63">AVERAGE(F283:F284)-AVERAGE(F281:F282)</f>
        <v>-1.5</v>
      </c>
      <c r="G285" s="27">
        <f t="shared" si="63"/>
        <v>1.5</v>
      </c>
      <c r="H285" s="27">
        <f t="shared" si="63"/>
        <v>28.5</v>
      </c>
      <c r="I285" s="27">
        <f t="shared" si="63"/>
        <v>80</v>
      </c>
      <c r="J285" s="27">
        <f t="shared" si="63"/>
        <v>42.5</v>
      </c>
    </row>
    <row r="287" spans="1:10" x14ac:dyDescent="0.2">
      <c r="A287" s="32"/>
      <c r="B287" s="33" t="s">
        <v>37</v>
      </c>
      <c r="C287" s="33"/>
      <c r="D287" s="33"/>
      <c r="E287" s="33"/>
      <c r="F287" s="33"/>
      <c r="G287" s="33"/>
      <c r="H287" s="33"/>
      <c r="I287" s="33"/>
      <c r="J287" s="33"/>
    </row>
    <row r="288" spans="1:10" x14ac:dyDescent="0.2">
      <c r="A288" s="31"/>
      <c r="B288" s="21" t="s">
        <v>44</v>
      </c>
      <c r="C288" s="21"/>
      <c r="D288" s="21"/>
      <c r="E288" s="21" t="s">
        <v>6</v>
      </c>
      <c r="F288" s="21"/>
      <c r="G288" s="21"/>
      <c r="H288" s="21" t="s">
        <v>18</v>
      </c>
      <c r="I288" s="21"/>
      <c r="J288" s="21"/>
    </row>
    <row r="289" spans="1:13" ht="34" x14ac:dyDescent="0.2">
      <c r="A289" s="25" t="s">
        <v>31</v>
      </c>
      <c r="B289" s="34">
        <v>0</v>
      </c>
      <c r="C289" s="34">
        <v>4</v>
      </c>
      <c r="D289" s="34">
        <v>0</v>
      </c>
      <c r="E289" s="34">
        <v>0</v>
      </c>
      <c r="F289" s="34">
        <v>10</v>
      </c>
      <c r="G289" s="34">
        <v>1</v>
      </c>
      <c r="H289" s="34">
        <v>0</v>
      </c>
      <c r="I289" s="34">
        <v>4</v>
      </c>
      <c r="J289" s="34">
        <v>3</v>
      </c>
    </row>
    <row r="290" spans="1:13" ht="34" x14ac:dyDescent="0.2">
      <c r="A290" s="25" t="s">
        <v>31</v>
      </c>
      <c r="B290">
        <v>1</v>
      </c>
      <c r="C290">
        <v>8</v>
      </c>
      <c r="D290">
        <v>0</v>
      </c>
      <c r="E290">
        <v>4</v>
      </c>
      <c r="F290">
        <v>6</v>
      </c>
      <c r="G290">
        <v>2</v>
      </c>
      <c r="H290" s="34">
        <v>0</v>
      </c>
      <c r="I290" s="34">
        <v>14</v>
      </c>
      <c r="J290" s="34">
        <v>3</v>
      </c>
    </row>
    <row r="291" spans="1:13" ht="17" x14ac:dyDescent="0.2">
      <c r="A291" s="25" t="s">
        <v>32</v>
      </c>
      <c r="B291">
        <v>184</v>
      </c>
      <c r="C291">
        <v>607</v>
      </c>
      <c r="D291">
        <v>80</v>
      </c>
      <c r="E291">
        <v>101</v>
      </c>
      <c r="F291">
        <v>183</v>
      </c>
      <c r="G291">
        <v>118</v>
      </c>
      <c r="H291">
        <v>2</v>
      </c>
      <c r="I291">
        <v>39</v>
      </c>
      <c r="J291">
        <v>12</v>
      </c>
    </row>
    <row r="292" spans="1:13" x14ac:dyDescent="0.2">
      <c r="A292" s="30" t="s">
        <v>33</v>
      </c>
      <c r="B292">
        <v>300</v>
      </c>
      <c r="C292">
        <v>609</v>
      </c>
      <c r="D292">
        <v>100</v>
      </c>
      <c r="E292">
        <v>100</v>
      </c>
      <c r="F292">
        <v>149</v>
      </c>
      <c r="G292">
        <v>127</v>
      </c>
      <c r="H292">
        <v>0</v>
      </c>
      <c r="I292">
        <v>37</v>
      </c>
      <c r="J292">
        <v>4</v>
      </c>
    </row>
    <row r="293" spans="1:13" x14ac:dyDescent="0.2">
      <c r="A293" s="31" t="s">
        <v>34</v>
      </c>
      <c r="B293" s="27">
        <f t="shared" ref="B293:D293" si="64">AVERAGE(B291:B292)-AVERAGE(B289:B290)</f>
        <v>241.5</v>
      </c>
      <c r="C293" s="27">
        <f t="shared" si="64"/>
        <v>602</v>
      </c>
      <c r="D293" s="27">
        <f t="shared" si="64"/>
        <v>90</v>
      </c>
      <c r="E293" s="27">
        <f>AVERAGE(E291:E292)-AVERAGE(E289:E290)</f>
        <v>98.5</v>
      </c>
      <c r="F293" s="27">
        <f t="shared" ref="F293:J293" si="65">AVERAGE(F291:F292)-AVERAGE(F289:F290)</f>
        <v>158</v>
      </c>
      <c r="G293" s="27">
        <f t="shared" si="65"/>
        <v>121</v>
      </c>
      <c r="H293" s="27">
        <f t="shared" si="65"/>
        <v>1</v>
      </c>
      <c r="I293" s="27">
        <f t="shared" si="65"/>
        <v>29</v>
      </c>
      <c r="J293" s="27">
        <f t="shared" si="65"/>
        <v>5</v>
      </c>
    </row>
    <row r="295" spans="1:13" x14ac:dyDescent="0.2">
      <c r="A295" s="36" t="s">
        <v>45</v>
      </c>
      <c r="B295" s="37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</row>
    <row r="296" spans="1:13" x14ac:dyDescent="0.2">
      <c r="A296" s="1"/>
      <c r="B296" s="38" t="s">
        <v>29</v>
      </c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</row>
    <row r="297" spans="1:13" x14ac:dyDescent="0.2">
      <c r="A297" s="20"/>
      <c r="B297" s="39" t="s">
        <v>44</v>
      </c>
      <c r="C297" s="39"/>
      <c r="D297" s="39"/>
      <c r="E297" s="39"/>
      <c r="F297" s="39" t="s">
        <v>6</v>
      </c>
      <c r="G297" s="39"/>
      <c r="H297" s="39"/>
      <c r="I297" s="39"/>
      <c r="J297" s="39" t="s">
        <v>18</v>
      </c>
      <c r="K297" s="39"/>
      <c r="L297" s="39"/>
      <c r="M297" s="39"/>
    </row>
    <row r="298" spans="1:13" ht="34" x14ac:dyDescent="0.2">
      <c r="A298" s="25" t="s">
        <v>31</v>
      </c>
      <c r="B298" s="40">
        <v>4</v>
      </c>
      <c r="C298" s="41">
        <v>4</v>
      </c>
      <c r="D298" s="41">
        <v>19</v>
      </c>
      <c r="E298" s="41">
        <v>7</v>
      </c>
      <c r="F298" s="41">
        <v>1</v>
      </c>
      <c r="G298" s="41">
        <v>6</v>
      </c>
      <c r="H298" s="41">
        <v>8</v>
      </c>
      <c r="I298" s="41">
        <v>17</v>
      </c>
      <c r="J298" s="41">
        <v>35</v>
      </c>
      <c r="K298" s="42">
        <v>3</v>
      </c>
      <c r="L298" s="41">
        <v>2</v>
      </c>
      <c r="M298" s="43">
        <v>5</v>
      </c>
    </row>
    <row r="299" spans="1:13" ht="35" thickBot="1" x14ac:dyDescent="0.25">
      <c r="A299" s="25" t="s">
        <v>31</v>
      </c>
      <c r="B299" s="44">
        <v>17</v>
      </c>
      <c r="C299" s="42">
        <v>25</v>
      </c>
      <c r="D299" s="42">
        <v>13</v>
      </c>
      <c r="E299" s="42">
        <v>8</v>
      </c>
      <c r="F299" s="42">
        <v>2</v>
      </c>
      <c r="G299" s="41">
        <v>7</v>
      </c>
      <c r="H299" s="42">
        <v>23</v>
      </c>
      <c r="I299" s="42">
        <v>21</v>
      </c>
      <c r="J299" s="41">
        <v>41</v>
      </c>
      <c r="K299" s="42">
        <v>3</v>
      </c>
      <c r="L299" s="41">
        <v>9</v>
      </c>
      <c r="M299" s="45">
        <v>13</v>
      </c>
    </row>
    <row r="300" spans="1:13" ht="17" x14ac:dyDescent="0.2">
      <c r="A300" s="25" t="s">
        <v>32</v>
      </c>
      <c r="B300" s="46">
        <v>103</v>
      </c>
      <c r="C300" s="47">
        <v>16</v>
      </c>
      <c r="D300" s="47">
        <v>14</v>
      </c>
      <c r="E300" s="47">
        <v>20</v>
      </c>
      <c r="F300" s="41">
        <v>68</v>
      </c>
      <c r="G300" s="41">
        <v>58</v>
      </c>
      <c r="H300" s="41">
        <v>36</v>
      </c>
      <c r="I300" s="41">
        <v>14</v>
      </c>
      <c r="J300" s="41">
        <v>382</v>
      </c>
      <c r="K300" s="41">
        <v>417</v>
      </c>
      <c r="L300" s="41">
        <v>104</v>
      </c>
      <c r="M300" s="45">
        <v>179</v>
      </c>
    </row>
    <row r="301" spans="1:13" x14ac:dyDescent="0.2">
      <c r="A301" s="30" t="s">
        <v>33</v>
      </c>
      <c r="B301" s="44">
        <v>102</v>
      </c>
      <c r="C301" s="42">
        <v>16</v>
      </c>
      <c r="D301" s="42">
        <v>17</v>
      </c>
      <c r="E301" s="42">
        <v>15</v>
      </c>
      <c r="F301" s="42">
        <v>58</v>
      </c>
      <c r="G301" s="42">
        <v>64</v>
      </c>
      <c r="H301" s="42">
        <v>21</v>
      </c>
      <c r="I301" s="41">
        <v>9</v>
      </c>
      <c r="J301" s="41">
        <v>385</v>
      </c>
      <c r="K301" s="42">
        <v>405</v>
      </c>
      <c r="L301" s="41">
        <v>92</v>
      </c>
      <c r="M301" s="45">
        <v>188</v>
      </c>
    </row>
    <row r="302" spans="1:13" x14ac:dyDescent="0.2">
      <c r="A302" s="31" t="s">
        <v>34</v>
      </c>
      <c r="B302" s="27">
        <f>AVERAGE(B300:B301)-AVERAGE(B298:B299)</f>
        <v>92</v>
      </c>
      <c r="C302" s="27">
        <f>AVERAGE(C300:C301)-AVERAGE(C298:C299)</f>
        <v>1.5</v>
      </c>
      <c r="D302" s="27">
        <f>AVERAGE(D300:D301)-AVERAGE(D298:D299)</f>
        <v>-0.5</v>
      </c>
      <c r="E302" s="27">
        <f>AVERAGE(E300:E301)-AVERAGE(E298:E299)</f>
        <v>10</v>
      </c>
      <c r="F302" s="27">
        <f t="shared" ref="F302:M302" si="66">AVERAGE(F300:F301)-AVERAGE(F298:F299)</f>
        <v>61.5</v>
      </c>
      <c r="G302" s="27">
        <f t="shared" si="66"/>
        <v>54.5</v>
      </c>
      <c r="H302" s="27">
        <f t="shared" si="66"/>
        <v>13</v>
      </c>
      <c r="I302" s="27">
        <f t="shared" si="66"/>
        <v>-7.5</v>
      </c>
      <c r="J302" s="27">
        <f t="shared" si="66"/>
        <v>345.5</v>
      </c>
      <c r="K302" s="27">
        <f t="shared" si="66"/>
        <v>408</v>
      </c>
      <c r="L302" s="27">
        <f t="shared" si="66"/>
        <v>92.5</v>
      </c>
      <c r="M302" s="27">
        <f t="shared" si="66"/>
        <v>174.5</v>
      </c>
    </row>
    <row r="305" spans="1:13" ht="17" thickBot="1" x14ac:dyDescent="0.25">
      <c r="A305" s="1" t="s">
        <v>62</v>
      </c>
    </row>
    <row r="306" spans="1:13" x14ac:dyDescent="0.2">
      <c r="A306" t="s">
        <v>46</v>
      </c>
      <c r="B306" s="50" t="s">
        <v>47</v>
      </c>
      <c r="C306" s="51"/>
      <c r="D306" s="51" t="s">
        <v>48</v>
      </c>
      <c r="E306" s="52"/>
      <c r="F306" s="52"/>
      <c r="G306" s="52"/>
      <c r="H306" s="52"/>
      <c r="I306" s="52"/>
      <c r="J306" s="52"/>
      <c r="K306" s="52"/>
      <c r="L306" s="52"/>
      <c r="M306" s="53"/>
    </row>
    <row r="307" spans="1:13" x14ac:dyDescent="0.2">
      <c r="B307" s="54"/>
      <c r="C307" s="55"/>
      <c r="D307" s="55"/>
      <c r="E307" s="56">
        <v>4</v>
      </c>
      <c r="F307" s="56">
        <v>6</v>
      </c>
      <c r="G307" s="56">
        <v>8</v>
      </c>
      <c r="H307" s="56">
        <v>10</v>
      </c>
      <c r="I307" s="56">
        <v>12</v>
      </c>
      <c r="J307" s="56">
        <v>14</v>
      </c>
      <c r="K307" s="56">
        <v>16</v>
      </c>
      <c r="L307" s="56">
        <v>18</v>
      </c>
      <c r="M307" s="57">
        <v>21</v>
      </c>
    </row>
    <row r="308" spans="1:13" ht="17" thickBot="1" x14ac:dyDescent="0.25">
      <c r="B308" s="58" t="s">
        <v>49</v>
      </c>
      <c r="C308" s="59" t="s">
        <v>50</v>
      </c>
      <c r="D308" s="60"/>
      <c r="E308" s="61">
        <v>45065</v>
      </c>
      <c r="F308" s="61">
        <v>45067</v>
      </c>
      <c r="G308" s="61">
        <v>45069</v>
      </c>
      <c r="H308" s="61">
        <v>45071</v>
      </c>
      <c r="I308" s="61">
        <v>45073</v>
      </c>
      <c r="J308" s="61">
        <v>45075</v>
      </c>
      <c r="K308" s="61">
        <v>45077</v>
      </c>
      <c r="L308" s="61">
        <v>45079</v>
      </c>
      <c r="M308" s="62">
        <v>45082</v>
      </c>
    </row>
    <row r="309" spans="1:13" x14ac:dyDescent="0.2">
      <c r="B309" s="63" t="s">
        <v>51</v>
      </c>
      <c r="C309" s="64" t="s">
        <v>52</v>
      </c>
      <c r="D309" s="65">
        <v>806</v>
      </c>
      <c r="E309" s="66">
        <v>8.16</v>
      </c>
      <c r="F309" s="66">
        <v>20.010000000000002</v>
      </c>
      <c r="G309" s="66">
        <v>22.32</v>
      </c>
      <c r="H309" s="66">
        <v>29.64</v>
      </c>
      <c r="I309" s="66">
        <v>37.130000000000003</v>
      </c>
      <c r="J309" s="66">
        <v>46.11</v>
      </c>
      <c r="K309" s="66">
        <v>62.04</v>
      </c>
      <c r="L309" s="66">
        <v>69.3</v>
      </c>
      <c r="M309" s="67">
        <v>84.7</v>
      </c>
    </row>
    <row r="310" spans="1:13" x14ac:dyDescent="0.2">
      <c r="B310" s="68"/>
      <c r="C310" s="69"/>
      <c r="D310" s="70">
        <v>807</v>
      </c>
      <c r="E310" s="71">
        <v>9.1</v>
      </c>
      <c r="F310" s="71">
        <v>22.1</v>
      </c>
      <c r="G310" s="71">
        <v>25.2</v>
      </c>
      <c r="H310" s="71">
        <v>30.8</v>
      </c>
      <c r="I310" s="71">
        <v>33.54</v>
      </c>
      <c r="J310" s="71">
        <v>40</v>
      </c>
      <c r="K310" s="71">
        <v>47.6</v>
      </c>
      <c r="L310" s="71">
        <v>53.94</v>
      </c>
      <c r="M310" s="72">
        <v>74.48</v>
      </c>
    </row>
    <row r="311" spans="1:13" x14ac:dyDescent="0.2">
      <c r="B311" s="68"/>
      <c r="C311" s="69"/>
      <c r="D311" s="70">
        <v>942</v>
      </c>
      <c r="E311" s="71">
        <v>12.22</v>
      </c>
      <c r="F311" s="71">
        <v>18.149999999999999</v>
      </c>
      <c r="G311" s="71">
        <v>27.2</v>
      </c>
      <c r="H311" s="71">
        <v>30.1</v>
      </c>
      <c r="I311" s="71">
        <v>34.5</v>
      </c>
      <c r="J311" s="71">
        <v>46.64</v>
      </c>
      <c r="K311" s="71">
        <v>53.2</v>
      </c>
      <c r="L311" s="71">
        <v>59.52</v>
      </c>
      <c r="M311" s="72">
        <v>70.81</v>
      </c>
    </row>
    <row r="312" spans="1:13" ht="17" thickBot="1" x14ac:dyDescent="0.25">
      <c r="B312" s="68"/>
      <c r="C312" s="73"/>
      <c r="D312" s="74">
        <v>943</v>
      </c>
      <c r="E312" s="75">
        <v>11.16</v>
      </c>
      <c r="F312" s="75">
        <v>14.82</v>
      </c>
      <c r="G312" s="75">
        <v>21.32</v>
      </c>
      <c r="H312" s="75">
        <v>22.95</v>
      </c>
      <c r="I312" s="75">
        <v>27.44</v>
      </c>
      <c r="J312" s="75">
        <v>32</v>
      </c>
      <c r="K312" s="75">
        <v>38.08</v>
      </c>
      <c r="L312" s="75">
        <v>47.4</v>
      </c>
      <c r="M312" s="76">
        <v>59.5</v>
      </c>
    </row>
    <row r="313" spans="1:13" x14ac:dyDescent="0.2">
      <c r="B313" s="68"/>
      <c r="C313" s="77" t="s">
        <v>53</v>
      </c>
      <c r="D313" s="70">
        <v>806</v>
      </c>
      <c r="E313" s="71">
        <v>12.6</v>
      </c>
      <c r="F313" s="71">
        <v>19.43</v>
      </c>
      <c r="G313" s="71">
        <v>30.4</v>
      </c>
      <c r="H313" s="71">
        <v>37.6</v>
      </c>
      <c r="I313" s="71">
        <v>40.5</v>
      </c>
      <c r="J313" s="71">
        <v>47.2</v>
      </c>
      <c r="K313" s="71">
        <v>52.29</v>
      </c>
      <c r="L313" s="71">
        <v>59.5</v>
      </c>
      <c r="M313" s="72">
        <v>72</v>
      </c>
    </row>
    <row r="314" spans="1:13" x14ac:dyDescent="0.2">
      <c r="B314" s="68"/>
      <c r="C314" s="69"/>
      <c r="D314" s="70">
        <v>807</v>
      </c>
      <c r="E314" s="71">
        <v>13.5</v>
      </c>
      <c r="F314" s="71">
        <v>24.14</v>
      </c>
      <c r="G314" s="71">
        <v>27.01</v>
      </c>
      <c r="H314" s="71">
        <v>34.4</v>
      </c>
      <c r="I314" s="71">
        <v>39.36</v>
      </c>
      <c r="J314" s="71">
        <v>42.5</v>
      </c>
      <c r="K314" s="71">
        <v>49.3</v>
      </c>
      <c r="L314" s="71">
        <v>56.07</v>
      </c>
      <c r="M314" s="72">
        <v>70</v>
      </c>
    </row>
    <row r="315" spans="1:13" x14ac:dyDescent="0.2">
      <c r="B315" s="68"/>
      <c r="C315" s="69"/>
      <c r="D315" s="70">
        <v>942</v>
      </c>
      <c r="E315" s="71">
        <v>16.5</v>
      </c>
      <c r="F315" s="71">
        <v>25.83</v>
      </c>
      <c r="G315" s="71">
        <v>27.88</v>
      </c>
      <c r="H315" s="71">
        <v>31.5</v>
      </c>
      <c r="I315" s="71">
        <v>39</v>
      </c>
      <c r="J315" s="71">
        <v>41.65</v>
      </c>
      <c r="K315" s="71">
        <v>51.62</v>
      </c>
      <c r="L315" s="71">
        <v>58.88</v>
      </c>
      <c r="M315" s="72">
        <v>70.3</v>
      </c>
    </row>
    <row r="316" spans="1:13" ht="17" thickBot="1" x14ac:dyDescent="0.25">
      <c r="B316" s="78"/>
      <c r="C316" s="73"/>
      <c r="D316" s="74">
        <v>943</v>
      </c>
      <c r="E316" s="75">
        <v>15.08</v>
      </c>
      <c r="F316" s="75">
        <v>21.78</v>
      </c>
      <c r="G316" s="75">
        <v>33.97</v>
      </c>
      <c r="H316" s="75">
        <v>39.01</v>
      </c>
      <c r="I316" s="75">
        <v>42.5</v>
      </c>
      <c r="J316" s="75">
        <v>47.17</v>
      </c>
      <c r="K316" s="75">
        <v>56.07</v>
      </c>
      <c r="L316" s="75">
        <v>62.1</v>
      </c>
      <c r="M316" s="76">
        <v>72.959999999999994</v>
      </c>
    </row>
    <row r="317" spans="1:13" x14ac:dyDescent="0.2">
      <c r="B317" s="79" t="s">
        <v>54</v>
      </c>
      <c r="C317" s="79" t="s">
        <v>52</v>
      </c>
      <c r="D317" s="70">
        <v>805</v>
      </c>
      <c r="E317" s="71">
        <v>11.89</v>
      </c>
      <c r="F317" s="71">
        <v>17.25</v>
      </c>
      <c r="G317" s="71">
        <v>26.07</v>
      </c>
      <c r="H317" s="71">
        <v>38.64</v>
      </c>
      <c r="I317" s="71">
        <v>36.520000000000003</v>
      </c>
      <c r="J317" s="71">
        <v>51.15</v>
      </c>
      <c r="K317" s="71">
        <v>58.9</v>
      </c>
      <c r="L317" s="71">
        <v>66.5</v>
      </c>
      <c r="M317" s="72">
        <v>82.84</v>
      </c>
    </row>
    <row r="318" spans="1:13" x14ac:dyDescent="0.2">
      <c r="B318" s="80"/>
      <c r="C318" s="80"/>
      <c r="D318" s="70">
        <v>940</v>
      </c>
      <c r="E318" s="71">
        <v>13.92</v>
      </c>
      <c r="F318" s="71">
        <v>15.18</v>
      </c>
      <c r="G318" s="71">
        <v>19.440000000000001</v>
      </c>
      <c r="H318" s="71">
        <v>23.1</v>
      </c>
      <c r="I318" s="71">
        <v>26.64</v>
      </c>
      <c r="J318" s="71">
        <v>34.86</v>
      </c>
      <c r="K318" s="71">
        <v>40</v>
      </c>
      <c r="L318" s="71">
        <v>49.6</v>
      </c>
      <c r="M318" s="72">
        <v>61.41</v>
      </c>
    </row>
    <row r="319" spans="1:13" x14ac:dyDescent="0.2">
      <c r="B319" s="80"/>
      <c r="C319" s="80"/>
      <c r="D319" s="70">
        <v>941</v>
      </c>
      <c r="E319" s="71">
        <v>9.69</v>
      </c>
      <c r="F319" s="71">
        <v>12.76</v>
      </c>
      <c r="G319" s="71">
        <v>16.32</v>
      </c>
      <c r="H319" s="71">
        <v>21.6</v>
      </c>
      <c r="I319" s="71">
        <v>25.9</v>
      </c>
      <c r="J319" s="71">
        <v>34.4</v>
      </c>
      <c r="K319" s="71">
        <v>42.14</v>
      </c>
      <c r="L319" s="71">
        <v>48.4</v>
      </c>
      <c r="M319" s="72">
        <v>62.83</v>
      </c>
    </row>
    <row r="320" spans="1:13" ht="17" thickBot="1" x14ac:dyDescent="0.25">
      <c r="B320" s="80"/>
      <c r="C320" s="81"/>
      <c r="D320" s="74">
        <v>803</v>
      </c>
      <c r="E320" s="75">
        <v>11.18</v>
      </c>
      <c r="F320" s="75">
        <v>19.2</v>
      </c>
      <c r="G320" s="75">
        <v>22.32</v>
      </c>
      <c r="H320" s="75">
        <v>31.5</v>
      </c>
      <c r="I320" s="75">
        <v>34.78</v>
      </c>
      <c r="J320" s="75">
        <v>37.24</v>
      </c>
      <c r="K320" s="75">
        <v>44.28</v>
      </c>
      <c r="L320" s="75">
        <v>52.2</v>
      </c>
      <c r="M320" s="76">
        <v>64.599999999999994</v>
      </c>
    </row>
    <row r="321" spans="2:13" x14ac:dyDescent="0.2">
      <c r="B321" s="80"/>
      <c r="C321" s="79" t="s">
        <v>53</v>
      </c>
      <c r="D321" s="70">
        <v>805</v>
      </c>
      <c r="E321" s="71">
        <v>10.53</v>
      </c>
      <c r="F321" s="71">
        <v>17.05</v>
      </c>
      <c r="G321" s="71">
        <v>28.08</v>
      </c>
      <c r="H321" s="71">
        <v>39.1</v>
      </c>
      <c r="I321" s="71">
        <v>38.4</v>
      </c>
      <c r="J321" s="71">
        <v>43.46</v>
      </c>
      <c r="K321" s="71">
        <v>50.74</v>
      </c>
      <c r="L321" s="71">
        <v>55.68</v>
      </c>
      <c r="M321" s="72">
        <v>72.099999999999994</v>
      </c>
    </row>
    <row r="322" spans="2:13" x14ac:dyDescent="0.2">
      <c r="B322" s="80"/>
      <c r="C322" s="80"/>
      <c r="D322" s="70">
        <v>940</v>
      </c>
      <c r="E322" s="71">
        <v>15.66</v>
      </c>
      <c r="F322" s="71">
        <v>23.04</v>
      </c>
      <c r="G322" s="71">
        <v>25.74</v>
      </c>
      <c r="H322" s="71">
        <v>29.67</v>
      </c>
      <c r="I322" s="71">
        <v>35.42</v>
      </c>
      <c r="J322" s="71">
        <v>41.87</v>
      </c>
      <c r="K322" s="71">
        <v>46.2</v>
      </c>
      <c r="L322" s="71">
        <v>52.2</v>
      </c>
      <c r="M322" s="72">
        <v>61.38</v>
      </c>
    </row>
    <row r="323" spans="2:13" x14ac:dyDescent="0.2">
      <c r="B323" s="80"/>
      <c r="C323" s="80"/>
      <c r="D323" s="70">
        <v>941</v>
      </c>
      <c r="E323" s="71">
        <v>15.75</v>
      </c>
      <c r="F323" s="71">
        <v>17.100000000000001</v>
      </c>
      <c r="G323" s="71">
        <v>25.16</v>
      </c>
      <c r="H323" s="71">
        <v>34.04</v>
      </c>
      <c r="I323" s="71">
        <v>36.479999999999997</v>
      </c>
      <c r="J323" s="71">
        <v>41.04</v>
      </c>
      <c r="K323" s="71">
        <v>39</v>
      </c>
      <c r="L323" s="71">
        <v>51.84</v>
      </c>
      <c r="M323" s="72">
        <v>60.72</v>
      </c>
    </row>
    <row r="324" spans="2:13" ht="17" thickBot="1" x14ac:dyDescent="0.25">
      <c r="B324" s="81"/>
      <c r="C324" s="81"/>
      <c r="D324" s="74">
        <v>803</v>
      </c>
      <c r="E324" s="75">
        <v>16.170000000000002</v>
      </c>
      <c r="F324" s="75">
        <v>18.809999999999999</v>
      </c>
      <c r="G324" s="75">
        <v>28.38</v>
      </c>
      <c r="H324" s="75">
        <v>33.6</v>
      </c>
      <c r="I324" s="75">
        <v>34.32</v>
      </c>
      <c r="J324" s="75">
        <v>42.35</v>
      </c>
      <c r="K324" s="75">
        <v>48.14</v>
      </c>
      <c r="L324" s="75">
        <v>58.29</v>
      </c>
      <c r="M324" s="76">
        <v>66.599999999999994</v>
      </c>
    </row>
    <row r="325" spans="2:13" x14ac:dyDescent="0.2">
      <c r="B325" s="82" t="s">
        <v>55</v>
      </c>
      <c r="C325" s="82" t="s">
        <v>52</v>
      </c>
      <c r="D325" s="70">
        <v>804</v>
      </c>
      <c r="E325" s="71">
        <v>8.84</v>
      </c>
      <c r="F325" s="71">
        <v>16.53</v>
      </c>
      <c r="G325" s="71">
        <v>23.04</v>
      </c>
      <c r="H325" s="71">
        <v>28.6</v>
      </c>
      <c r="I325" s="71">
        <v>33.119999999999997</v>
      </c>
      <c r="J325" s="71">
        <v>38.25</v>
      </c>
      <c r="K325" s="71">
        <v>45.03</v>
      </c>
      <c r="L325" s="71">
        <v>48.98</v>
      </c>
      <c r="M325" s="72">
        <v>54.4</v>
      </c>
    </row>
    <row r="326" spans="2:13" x14ac:dyDescent="0.2">
      <c r="B326" s="83"/>
      <c r="C326" s="83"/>
      <c r="D326" s="70">
        <v>800</v>
      </c>
      <c r="E326" s="71">
        <v>8.2799999999999994</v>
      </c>
      <c r="F326" s="71">
        <v>12.75</v>
      </c>
      <c r="G326" s="71">
        <v>14.85</v>
      </c>
      <c r="H326" s="71">
        <v>35.770000000000003</v>
      </c>
      <c r="I326" s="71">
        <v>34.299999999999997</v>
      </c>
      <c r="J326" s="71">
        <v>28</v>
      </c>
      <c r="K326" s="71">
        <v>34.5</v>
      </c>
      <c r="L326" s="71">
        <v>42.18</v>
      </c>
      <c r="M326" s="72">
        <v>51.87</v>
      </c>
    </row>
    <row r="327" spans="2:13" x14ac:dyDescent="0.2">
      <c r="B327" s="83"/>
      <c r="C327" s="83"/>
      <c r="D327" s="70">
        <v>801</v>
      </c>
      <c r="E327" s="71">
        <v>12.71</v>
      </c>
      <c r="F327" s="71">
        <v>13.33</v>
      </c>
      <c r="G327" s="71">
        <v>15.3</v>
      </c>
      <c r="H327" s="71">
        <v>19.8</v>
      </c>
      <c r="I327" s="71">
        <v>20.65</v>
      </c>
      <c r="J327" s="71">
        <v>30</v>
      </c>
      <c r="K327" s="71">
        <v>32.76</v>
      </c>
      <c r="L327" s="71">
        <v>43.86</v>
      </c>
      <c r="M327" s="72">
        <v>55.8</v>
      </c>
    </row>
    <row r="328" spans="2:13" ht="17" thickBot="1" x14ac:dyDescent="0.25">
      <c r="B328" s="83"/>
      <c r="C328" s="84"/>
      <c r="D328" s="74">
        <v>802</v>
      </c>
      <c r="E328" s="75">
        <v>9.24</v>
      </c>
      <c r="F328" s="75">
        <v>15.66</v>
      </c>
      <c r="G328" s="75">
        <v>16</v>
      </c>
      <c r="H328" s="75">
        <v>19.47</v>
      </c>
      <c r="I328" s="75">
        <v>23.32</v>
      </c>
      <c r="J328" s="75">
        <v>40.32</v>
      </c>
      <c r="K328" s="75">
        <v>38.479999999999997</v>
      </c>
      <c r="L328" s="75">
        <v>51.35</v>
      </c>
      <c r="M328" s="76">
        <v>65.959999999999994</v>
      </c>
    </row>
    <row r="329" spans="2:13" x14ac:dyDescent="0.2">
      <c r="B329" s="83"/>
      <c r="C329" s="82" t="s">
        <v>53</v>
      </c>
      <c r="D329" s="70">
        <v>804</v>
      </c>
      <c r="E329" s="71">
        <v>15</v>
      </c>
      <c r="F329" s="71">
        <v>16.8</v>
      </c>
      <c r="G329" s="71">
        <v>21.83</v>
      </c>
      <c r="H329" s="71">
        <v>26.88</v>
      </c>
      <c r="I329" s="71">
        <v>30.1</v>
      </c>
      <c r="J329" s="71">
        <v>35</v>
      </c>
      <c r="K329" s="71">
        <v>38.19</v>
      </c>
      <c r="L329" s="71">
        <v>43.31</v>
      </c>
      <c r="M329" s="72">
        <v>54.18</v>
      </c>
    </row>
    <row r="330" spans="2:13" x14ac:dyDescent="0.2">
      <c r="B330" s="83"/>
      <c r="C330" s="83"/>
      <c r="D330" s="70">
        <v>800</v>
      </c>
      <c r="E330" s="71">
        <v>13.92</v>
      </c>
      <c r="F330" s="71">
        <v>20</v>
      </c>
      <c r="G330" s="71">
        <v>20.399999999999999</v>
      </c>
      <c r="H330" s="71">
        <v>26.4</v>
      </c>
      <c r="I330" s="71">
        <v>26.46</v>
      </c>
      <c r="J330" s="71">
        <v>29.25</v>
      </c>
      <c r="K330" s="71">
        <v>34.32</v>
      </c>
      <c r="L330" s="71">
        <v>39.33</v>
      </c>
      <c r="M330" s="72">
        <v>48.75</v>
      </c>
    </row>
    <row r="331" spans="2:13" x14ac:dyDescent="0.2">
      <c r="B331" s="83"/>
      <c r="C331" s="83"/>
      <c r="D331" s="70">
        <v>801</v>
      </c>
      <c r="E331" s="71">
        <v>15.81</v>
      </c>
      <c r="F331" s="71">
        <v>21.66</v>
      </c>
      <c r="G331" s="71">
        <v>30.09</v>
      </c>
      <c r="H331" s="71">
        <v>25.44</v>
      </c>
      <c r="I331" s="71">
        <v>27.03</v>
      </c>
      <c r="J331" s="71">
        <v>31.62</v>
      </c>
      <c r="K331" s="71">
        <v>37.1</v>
      </c>
      <c r="L331" s="71">
        <v>45.5</v>
      </c>
      <c r="M331" s="72">
        <v>50.05</v>
      </c>
    </row>
    <row r="332" spans="2:13" ht="17" thickBot="1" x14ac:dyDescent="0.25">
      <c r="B332" s="84"/>
      <c r="C332" s="84"/>
      <c r="D332" s="74">
        <v>802</v>
      </c>
      <c r="E332" s="75">
        <v>16.45</v>
      </c>
      <c r="F332" s="75">
        <v>25.16</v>
      </c>
      <c r="G332" s="75">
        <v>27.06</v>
      </c>
      <c r="H332" s="75">
        <v>31.68</v>
      </c>
      <c r="I332" s="75">
        <v>33.119999999999997</v>
      </c>
      <c r="J332" s="75">
        <v>38.25</v>
      </c>
      <c r="K332" s="75">
        <v>41.34</v>
      </c>
      <c r="L332" s="75">
        <v>48.6</v>
      </c>
      <c r="M332" s="76">
        <v>61.2</v>
      </c>
    </row>
    <row r="333" spans="2:13" ht="17" thickBot="1" x14ac:dyDescent="0.25">
      <c r="B333" s="3"/>
      <c r="C333" s="3"/>
      <c r="D333" s="3"/>
      <c r="E333" s="85"/>
      <c r="F333" s="85"/>
      <c r="G333" s="85"/>
      <c r="H333" s="85"/>
      <c r="I333" s="85"/>
      <c r="J333" s="85"/>
      <c r="K333" s="85"/>
      <c r="L333" s="85"/>
      <c r="M333" s="85"/>
    </row>
    <row r="334" spans="2:13" x14ac:dyDescent="0.2">
      <c r="B334" s="3"/>
      <c r="C334" s="86" t="s">
        <v>56</v>
      </c>
      <c r="D334" s="87" t="s">
        <v>57</v>
      </c>
      <c r="E334" s="88">
        <v>10.199999999999999</v>
      </c>
      <c r="F334" s="88">
        <v>18.8</v>
      </c>
      <c r="G334" s="88">
        <v>24</v>
      </c>
      <c r="H334" s="88">
        <v>28.4</v>
      </c>
      <c r="I334" s="88">
        <v>33.200000000000003</v>
      </c>
      <c r="J334" s="88">
        <v>41.2</v>
      </c>
      <c r="K334" s="88">
        <v>50.2</v>
      </c>
      <c r="L334" s="88">
        <v>57.5</v>
      </c>
      <c r="M334" s="89">
        <v>72.400000000000006</v>
      </c>
    </row>
    <row r="335" spans="2:13" x14ac:dyDescent="0.2">
      <c r="B335" s="3"/>
      <c r="C335" s="90"/>
      <c r="D335" s="91" t="s">
        <v>58</v>
      </c>
      <c r="E335" s="92">
        <v>11.7</v>
      </c>
      <c r="F335" s="93">
        <v>16.100000000000001</v>
      </c>
      <c r="G335" s="93">
        <v>21</v>
      </c>
      <c r="H335" s="93">
        <v>28.7</v>
      </c>
      <c r="I335" s="93">
        <v>31</v>
      </c>
      <c r="J335" s="93">
        <v>39.4</v>
      </c>
      <c r="K335" s="93">
        <v>46.3</v>
      </c>
      <c r="L335" s="93">
        <v>54.2</v>
      </c>
      <c r="M335" s="94">
        <v>67.900000000000006</v>
      </c>
    </row>
    <row r="336" spans="2:13" ht="17" thickBot="1" x14ac:dyDescent="0.25">
      <c r="B336" s="3"/>
      <c r="C336" s="95"/>
      <c r="D336" s="96" t="s">
        <v>59</v>
      </c>
      <c r="E336" s="97">
        <v>9.8000000000000007</v>
      </c>
      <c r="F336" s="97">
        <v>14.6</v>
      </c>
      <c r="G336" s="97">
        <v>17.3</v>
      </c>
      <c r="H336" s="97">
        <v>25.9</v>
      </c>
      <c r="I336" s="97">
        <v>27.8</v>
      </c>
      <c r="J336" s="97">
        <v>34.1</v>
      </c>
      <c r="K336" s="97">
        <v>37.700000000000003</v>
      </c>
      <c r="L336" s="97">
        <v>46.6</v>
      </c>
      <c r="M336" s="98">
        <v>57</v>
      </c>
    </row>
    <row r="337" spans="1:15" x14ac:dyDescent="0.2">
      <c r="B337" s="3"/>
      <c r="C337" s="99" t="s">
        <v>60</v>
      </c>
      <c r="D337" s="91" t="s">
        <v>57</v>
      </c>
      <c r="E337" s="92">
        <v>14.4</v>
      </c>
      <c r="F337" s="93">
        <v>22.8</v>
      </c>
      <c r="G337" s="93">
        <v>29.8</v>
      </c>
      <c r="H337" s="93">
        <v>35.6</v>
      </c>
      <c r="I337" s="93">
        <v>40.299999999999997</v>
      </c>
      <c r="J337" s="93">
        <v>44.6</v>
      </c>
      <c r="K337" s="93">
        <v>52.3</v>
      </c>
      <c r="L337" s="93">
        <v>59.1</v>
      </c>
      <c r="M337" s="94">
        <v>71.3</v>
      </c>
    </row>
    <row r="338" spans="1:15" x14ac:dyDescent="0.2">
      <c r="B338" s="3"/>
      <c r="C338" s="90"/>
      <c r="D338" s="91" t="s">
        <v>58</v>
      </c>
      <c r="E338" s="92">
        <v>14.5</v>
      </c>
      <c r="F338" s="93">
        <v>19</v>
      </c>
      <c r="G338" s="93">
        <v>26.8</v>
      </c>
      <c r="H338" s="93">
        <v>34.1</v>
      </c>
      <c r="I338" s="93">
        <v>36.200000000000003</v>
      </c>
      <c r="J338" s="93">
        <v>42.2</v>
      </c>
      <c r="K338" s="93">
        <v>46</v>
      </c>
      <c r="L338" s="93">
        <v>54.5</v>
      </c>
      <c r="M338" s="94">
        <v>65.2</v>
      </c>
    </row>
    <row r="339" spans="1:15" ht="17" thickBot="1" x14ac:dyDescent="0.25">
      <c r="B339" s="3"/>
      <c r="C339" s="95"/>
      <c r="D339" s="96" t="s">
        <v>59</v>
      </c>
      <c r="E339" s="97">
        <v>15.3</v>
      </c>
      <c r="F339" s="97">
        <v>20.9</v>
      </c>
      <c r="G339" s="97">
        <v>24.8</v>
      </c>
      <c r="H339" s="97">
        <v>27.6</v>
      </c>
      <c r="I339" s="97">
        <v>29.2</v>
      </c>
      <c r="J339" s="97">
        <v>33.5</v>
      </c>
      <c r="K339" s="97">
        <v>37.700000000000003</v>
      </c>
      <c r="L339" s="97">
        <v>44.2</v>
      </c>
      <c r="M339" s="98">
        <v>53.5</v>
      </c>
    </row>
    <row r="341" spans="1:15" ht="17" thickBot="1" x14ac:dyDescent="0.25">
      <c r="A341" t="s">
        <v>61</v>
      </c>
    </row>
    <row r="342" spans="1:15" x14ac:dyDescent="0.2">
      <c r="B342" s="100" t="s">
        <v>47</v>
      </c>
      <c r="C342" s="101"/>
      <c r="D342" s="102" t="s">
        <v>48</v>
      </c>
      <c r="E342" s="103"/>
      <c r="F342" s="103"/>
      <c r="G342" s="103"/>
      <c r="H342" s="103"/>
      <c r="I342" s="103"/>
      <c r="J342" s="103"/>
      <c r="K342" s="103"/>
      <c r="L342" s="103"/>
      <c r="M342" s="103"/>
      <c r="N342" s="103"/>
      <c r="O342" s="104"/>
    </row>
    <row r="343" spans="1:15" x14ac:dyDescent="0.2">
      <c r="B343" s="105"/>
      <c r="C343" s="39"/>
      <c r="D343" s="106"/>
      <c r="E343" s="107">
        <v>4</v>
      </c>
      <c r="F343" s="107">
        <v>6</v>
      </c>
      <c r="G343" s="107">
        <v>8</v>
      </c>
      <c r="H343" s="107">
        <v>10</v>
      </c>
      <c r="I343" s="107">
        <v>12</v>
      </c>
      <c r="J343" s="107">
        <f>I343+2</f>
        <v>14</v>
      </c>
      <c r="K343" s="107">
        <f t="shared" ref="K343:N344" si="67">J343+2</f>
        <v>16</v>
      </c>
      <c r="L343" s="107">
        <f t="shared" si="67"/>
        <v>18</v>
      </c>
      <c r="M343" s="107">
        <f t="shared" si="67"/>
        <v>20</v>
      </c>
      <c r="N343" s="107">
        <f t="shared" si="67"/>
        <v>22</v>
      </c>
      <c r="O343" s="108">
        <v>25</v>
      </c>
    </row>
    <row r="344" spans="1:15" ht="17" thickBot="1" x14ac:dyDescent="0.25">
      <c r="B344" s="109" t="s">
        <v>49</v>
      </c>
      <c r="C344" s="110" t="s">
        <v>50</v>
      </c>
      <c r="D344" s="39"/>
      <c r="E344" s="111">
        <v>44675</v>
      </c>
      <c r="F344" s="111">
        <f>E344+2</f>
        <v>44677</v>
      </c>
      <c r="G344" s="111">
        <f t="shared" ref="G344:H344" si="68">F344+2</f>
        <v>44679</v>
      </c>
      <c r="H344" s="111">
        <f t="shared" si="68"/>
        <v>44681</v>
      </c>
      <c r="I344" s="111">
        <f>H344+2</f>
        <v>44683</v>
      </c>
      <c r="J344" s="111">
        <f>I344+2</f>
        <v>44685</v>
      </c>
      <c r="K344" s="111">
        <f t="shared" si="67"/>
        <v>44687</v>
      </c>
      <c r="L344" s="111">
        <f t="shared" si="67"/>
        <v>44689</v>
      </c>
      <c r="M344" s="111">
        <f t="shared" si="67"/>
        <v>44691</v>
      </c>
      <c r="N344" s="111">
        <f t="shared" si="67"/>
        <v>44693</v>
      </c>
      <c r="O344" s="112">
        <f>N344+3</f>
        <v>44696</v>
      </c>
    </row>
    <row r="345" spans="1:15" x14ac:dyDescent="0.2">
      <c r="B345" s="113" t="s">
        <v>51</v>
      </c>
      <c r="C345" s="114" t="s">
        <v>52</v>
      </c>
      <c r="D345" s="115">
        <v>345</v>
      </c>
      <c r="E345" s="116">
        <f>4.3*2.5</f>
        <v>10.75</v>
      </c>
      <c r="F345" s="116">
        <f>6.1*2.8</f>
        <v>17.079999999999998</v>
      </c>
      <c r="G345" s="116">
        <f>7*3.1</f>
        <v>21.7</v>
      </c>
      <c r="H345" s="116">
        <f>8*4.3</f>
        <v>34.4</v>
      </c>
      <c r="I345" s="116">
        <f>8.2*5.3</f>
        <v>43.459999999999994</v>
      </c>
      <c r="J345" s="116">
        <f>9.1*5.5</f>
        <v>50.05</v>
      </c>
      <c r="K345" s="116">
        <f>9.8*5.7</f>
        <v>55.860000000000007</v>
      </c>
      <c r="L345" s="116">
        <f>9.9*6.3</f>
        <v>62.37</v>
      </c>
      <c r="M345" s="116">
        <f>11.5*7.2</f>
        <v>82.8</v>
      </c>
      <c r="N345" s="116">
        <f>12*8.3</f>
        <v>99.600000000000009</v>
      </c>
      <c r="O345" s="117">
        <f>12.9*9</f>
        <v>116.10000000000001</v>
      </c>
    </row>
    <row r="346" spans="1:15" x14ac:dyDescent="0.2">
      <c r="B346" s="118"/>
      <c r="C346" s="119"/>
      <c r="D346" s="120">
        <v>346</v>
      </c>
      <c r="E346" s="121">
        <f>3.9*2.5</f>
        <v>9.75</v>
      </c>
      <c r="F346" s="121">
        <f>5.1*2.6</f>
        <v>13.26</v>
      </c>
      <c r="G346" s="121">
        <f>5.9*3.2</f>
        <v>18.880000000000003</v>
      </c>
      <c r="H346" s="121">
        <f>8.4*3.7</f>
        <v>31.080000000000002</v>
      </c>
      <c r="I346" s="121">
        <f>8.3*4.4</f>
        <v>36.520000000000003</v>
      </c>
      <c r="J346" s="121">
        <f>9.1*4.7</f>
        <v>42.77</v>
      </c>
      <c r="K346" s="121">
        <f>9.4*5.2</f>
        <v>48.88</v>
      </c>
      <c r="L346" s="121">
        <f>9.9*5.5</f>
        <v>54.45</v>
      </c>
      <c r="M346" s="121">
        <f>10.3*6.6</f>
        <v>67.98</v>
      </c>
      <c r="N346" s="121">
        <f>11.9*6.8</f>
        <v>80.92</v>
      </c>
      <c r="O346" s="122">
        <f>12.4*7.9</f>
        <v>97.960000000000008</v>
      </c>
    </row>
    <row r="347" spans="1:15" x14ac:dyDescent="0.2">
      <c r="B347" s="118"/>
      <c r="C347" s="119"/>
      <c r="D347" s="120">
        <v>650</v>
      </c>
      <c r="E347" s="121">
        <f>3.1*3.6</f>
        <v>11.16</v>
      </c>
      <c r="F347" s="121">
        <f>4.2*5.5</f>
        <v>23.1</v>
      </c>
      <c r="G347" s="121">
        <f>5.3*6.2</f>
        <v>32.86</v>
      </c>
      <c r="H347" s="121">
        <f>6.7*5</f>
        <v>33.5</v>
      </c>
      <c r="I347" s="121">
        <f>6.9*5</f>
        <v>34.5</v>
      </c>
      <c r="J347" s="121">
        <f>7.2*5.2</f>
        <v>37.440000000000005</v>
      </c>
      <c r="K347" s="121">
        <f>8.6*5.4</f>
        <v>46.44</v>
      </c>
      <c r="L347" s="121">
        <f>8.8*5.7</f>
        <v>50.160000000000004</v>
      </c>
      <c r="M347" s="121">
        <f>9.5*6.3</f>
        <v>59.85</v>
      </c>
      <c r="N347" s="121">
        <f>9.6*7.3</f>
        <v>70.08</v>
      </c>
      <c r="O347" s="122">
        <f>11.1*8</f>
        <v>88.8</v>
      </c>
    </row>
    <row r="348" spans="1:15" ht="17" thickBot="1" x14ac:dyDescent="0.25">
      <c r="B348" s="118"/>
      <c r="C348" s="123"/>
      <c r="D348" s="124">
        <v>651</v>
      </c>
      <c r="E348" s="125">
        <f>4.7*2.7</f>
        <v>12.690000000000001</v>
      </c>
      <c r="F348" s="125">
        <f>6.1*3</f>
        <v>18.299999999999997</v>
      </c>
      <c r="G348" s="125">
        <f>6.7*3.6</f>
        <v>24.12</v>
      </c>
      <c r="H348" s="125">
        <f>7.4*3.7</f>
        <v>27.380000000000003</v>
      </c>
      <c r="I348" s="125">
        <f>7.4*4.7</f>
        <v>34.78</v>
      </c>
      <c r="J348" s="125">
        <f>9.1*5</f>
        <v>45.5</v>
      </c>
      <c r="K348" s="125">
        <f>9.1*5.7</f>
        <v>51.87</v>
      </c>
      <c r="L348" s="125">
        <f>9.5*6.3</f>
        <v>59.85</v>
      </c>
      <c r="M348" s="125">
        <f>10.4*7</f>
        <v>72.8</v>
      </c>
      <c r="N348" s="125">
        <f>11.2*7.6</f>
        <v>85.11999999999999</v>
      </c>
      <c r="O348" s="126">
        <f>12.2*8.6</f>
        <v>104.91999999999999</v>
      </c>
    </row>
    <row r="349" spans="1:15" x14ac:dyDescent="0.2">
      <c r="B349" s="127"/>
      <c r="C349" s="114" t="s">
        <v>53</v>
      </c>
      <c r="D349" s="115">
        <v>345</v>
      </c>
      <c r="E349" s="116">
        <f>4.4*3.2</f>
        <v>14.080000000000002</v>
      </c>
      <c r="F349" s="116">
        <f>6*3.1</f>
        <v>18.600000000000001</v>
      </c>
      <c r="G349" s="116">
        <f>7.7*3.5</f>
        <v>26.95</v>
      </c>
      <c r="H349" s="116">
        <f>7.8*4.1</f>
        <v>31.979999999999997</v>
      </c>
      <c r="I349" s="116">
        <f>8.5*4.4</f>
        <v>37.400000000000006</v>
      </c>
      <c r="J349" s="116">
        <f>8.5*5.2</f>
        <v>44.2</v>
      </c>
      <c r="K349" s="116">
        <f>8.5*5.6</f>
        <v>47.599999999999994</v>
      </c>
      <c r="L349" s="116">
        <f>9*5.7</f>
        <v>51.300000000000004</v>
      </c>
      <c r="M349" s="116">
        <f>9.5*5.9</f>
        <v>56.050000000000004</v>
      </c>
      <c r="N349" s="116">
        <f>10*6.2</f>
        <v>62</v>
      </c>
      <c r="O349" s="117">
        <f>11*7.2</f>
        <v>79.2</v>
      </c>
    </row>
    <row r="350" spans="1:15" x14ac:dyDescent="0.2">
      <c r="B350" s="127"/>
      <c r="C350" s="119"/>
      <c r="D350" s="120">
        <v>346</v>
      </c>
      <c r="E350" s="121">
        <f>4.4*3.1</f>
        <v>13.640000000000002</v>
      </c>
      <c r="F350" s="121">
        <f>5.7*3.2</f>
        <v>18.240000000000002</v>
      </c>
      <c r="G350" s="121">
        <f>6.3*3.5</f>
        <v>22.05</v>
      </c>
      <c r="H350" s="121">
        <f>6.4*3.7</f>
        <v>23.680000000000003</v>
      </c>
      <c r="I350" s="121">
        <f>7.1*4.7</f>
        <v>33.369999999999997</v>
      </c>
      <c r="J350" s="121">
        <f>8.2*4.8</f>
        <v>39.359999999999992</v>
      </c>
      <c r="K350" s="121">
        <f>8.4*5.4</f>
        <v>45.360000000000007</v>
      </c>
      <c r="L350" s="121">
        <f>9*5.9</f>
        <v>53.1</v>
      </c>
      <c r="M350" s="121">
        <f>9.2*7.1</f>
        <v>65.319999999999993</v>
      </c>
      <c r="N350" s="121">
        <f>10.3*7.7</f>
        <v>79.31</v>
      </c>
      <c r="O350" s="122">
        <f>11.7*8.5</f>
        <v>99.449999999999989</v>
      </c>
    </row>
    <row r="351" spans="1:15" x14ac:dyDescent="0.2">
      <c r="B351" s="127"/>
      <c r="C351" s="119"/>
      <c r="D351" s="120">
        <v>650</v>
      </c>
      <c r="E351" s="121">
        <f>4.8*4.2</f>
        <v>20.16</v>
      </c>
      <c r="F351" s="121">
        <f>5.1*4.6</f>
        <v>23.459999999999997</v>
      </c>
      <c r="G351" s="121">
        <f>5.6*5.6</f>
        <v>31.359999999999996</v>
      </c>
      <c r="H351" s="121">
        <f>6.4*5.9</f>
        <v>37.760000000000005</v>
      </c>
      <c r="I351" s="121">
        <f>7.2*6</f>
        <v>43.2</v>
      </c>
      <c r="J351" s="121">
        <f>7.4*7.2</f>
        <v>53.28</v>
      </c>
      <c r="K351" s="121">
        <f>8.6*7.3</f>
        <v>62.779999999999994</v>
      </c>
      <c r="L351" s="121">
        <f>9.5*8.3</f>
        <v>78.850000000000009</v>
      </c>
      <c r="M351" s="121">
        <f>10.8*8.6</f>
        <v>92.88</v>
      </c>
      <c r="N351" s="121">
        <f>11.6*9</f>
        <v>104.39999999999999</v>
      </c>
      <c r="O351" s="122">
        <f>12.1*9.3</f>
        <v>112.53</v>
      </c>
    </row>
    <row r="352" spans="1:15" ht="17" thickBot="1" x14ac:dyDescent="0.25">
      <c r="B352" s="128"/>
      <c r="C352" s="123"/>
      <c r="D352" s="124">
        <v>651</v>
      </c>
      <c r="E352" s="125">
        <f>4.7*3.5</f>
        <v>16.45</v>
      </c>
      <c r="F352" s="125">
        <f>4.8*4</f>
        <v>19.2</v>
      </c>
      <c r="G352" s="125">
        <f>5*4.7</f>
        <v>23.5</v>
      </c>
      <c r="H352" s="125">
        <f>6.3*5.4</f>
        <v>34.020000000000003</v>
      </c>
      <c r="I352" s="125">
        <f>7.1*5.6</f>
        <v>39.76</v>
      </c>
      <c r="J352" s="125">
        <f>7.4*5.9</f>
        <v>43.660000000000004</v>
      </c>
      <c r="K352" s="125">
        <f>7.5*6</f>
        <v>45</v>
      </c>
      <c r="L352" s="125">
        <f>7*6.5</f>
        <v>45.5</v>
      </c>
      <c r="M352" s="125">
        <f>7.3*6.9</f>
        <v>50.370000000000005</v>
      </c>
      <c r="N352" s="125">
        <f>7.9*7.9</f>
        <v>62.410000000000004</v>
      </c>
      <c r="O352" s="126">
        <f>8.4*8.6</f>
        <v>72.239999999999995</v>
      </c>
    </row>
    <row r="353" spans="2:15" x14ac:dyDescent="0.2">
      <c r="B353" s="129" t="s">
        <v>54</v>
      </c>
      <c r="C353" s="129" t="s">
        <v>52</v>
      </c>
      <c r="D353" s="115">
        <v>337</v>
      </c>
      <c r="E353" s="116">
        <f>4.4*2.9</f>
        <v>12.76</v>
      </c>
      <c r="F353" s="116">
        <f>6.4*2.5</f>
        <v>16</v>
      </c>
      <c r="G353" s="116">
        <f>6.6*3.3</f>
        <v>21.779999999999998</v>
      </c>
      <c r="H353" s="116">
        <f>7.7*4.2</f>
        <v>32.340000000000003</v>
      </c>
      <c r="I353" s="116">
        <f>8.4*5</f>
        <v>42</v>
      </c>
      <c r="J353" s="116">
        <f>9.3*5.2</f>
        <v>48.360000000000007</v>
      </c>
      <c r="K353" s="116">
        <f>9.2*6</f>
        <v>55.199999999999996</v>
      </c>
      <c r="L353" s="116">
        <f>9.4*5.9</f>
        <v>55.460000000000008</v>
      </c>
      <c r="M353" s="116">
        <f>10.5*6.7</f>
        <v>70.350000000000009</v>
      </c>
      <c r="N353" s="116">
        <f>10.7*7</f>
        <v>74.899999999999991</v>
      </c>
      <c r="O353" s="117">
        <f>11.5*8.4</f>
        <v>96.600000000000009</v>
      </c>
    </row>
    <row r="354" spans="2:15" x14ac:dyDescent="0.2">
      <c r="B354" s="130"/>
      <c r="C354" s="131"/>
      <c r="D354" s="120">
        <v>338</v>
      </c>
      <c r="E354" s="121">
        <f>3.9*3.4</f>
        <v>13.26</v>
      </c>
      <c r="F354" s="121">
        <f>4.4*2.8</f>
        <v>12.32</v>
      </c>
      <c r="G354" s="121">
        <f>6.3*3.5</f>
        <v>22.05</v>
      </c>
      <c r="H354" s="121">
        <f>6.9*3.8</f>
        <v>26.22</v>
      </c>
      <c r="I354" s="121">
        <f>7.3*4.5</f>
        <v>32.85</v>
      </c>
      <c r="J354" s="121">
        <f>7.5*5.9</f>
        <v>44.25</v>
      </c>
      <c r="K354" s="121">
        <f>7.7*5.9</f>
        <v>45.430000000000007</v>
      </c>
      <c r="L354" s="121">
        <f>8.3*6.4</f>
        <v>53.120000000000005</v>
      </c>
      <c r="M354" s="121">
        <f>8.6*6.7</f>
        <v>57.62</v>
      </c>
      <c r="N354" s="121">
        <f>8.9*7.4</f>
        <v>65.86</v>
      </c>
      <c r="O354" s="122">
        <f>9.9*8.5</f>
        <v>84.15</v>
      </c>
    </row>
    <row r="355" spans="2:15" x14ac:dyDescent="0.2">
      <c r="B355" s="130"/>
      <c r="C355" s="131"/>
      <c r="D355" s="120">
        <v>336</v>
      </c>
      <c r="E355" s="121">
        <f>4.4*2.7</f>
        <v>11.880000000000003</v>
      </c>
      <c r="F355" s="121">
        <f>4.8*3.2</f>
        <v>15.36</v>
      </c>
      <c r="G355" s="121">
        <f>5.8*3.8</f>
        <v>22.04</v>
      </c>
      <c r="H355" s="121">
        <f>5.5*4.7</f>
        <v>25.85</v>
      </c>
      <c r="I355" s="121">
        <f>7.3*5.1</f>
        <v>37.229999999999997</v>
      </c>
      <c r="J355" s="121">
        <f>7.3*5.7</f>
        <v>41.61</v>
      </c>
      <c r="K355" s="121">
        <f>8.1*6.2</f>
        <v>50.22</v>
      </c>
      <c r="L355" s="121">
        <f>8.8*6.5</f>
        <v>57.2</v>
      </c>
      <c r="M355" s="121">
        <f>10.5*7.1</f>
        <v>74.55</v>
      </c>
      <c r="N355" s="121">
        <f>11.6*8.3</f>
        <v>96.28</v>
      </c>
      <c r="O355" s="122">
        <f>12.6*8.6</f>
        <v>108.36</v>
      </c>
    </row>
    <row r="356" spans="2:15" ht="17" thickBot="1" x14ac:dyDescent="0.25">
      <c r="B356" s="130"/>
      <c r="C356" s="132"/>
      <c r="D356" s="124">
        <v>654</v>
      </c>
      <c r="E356" s="125">
        <f>4.4*2.6</f>
        <v>11.440000000000001</v>
      </c>
      <c r="F356" s="125">
        <f>5.4*3.7</f>
        <v>19.980000000000004</v>
      </c>
      <c r="G356" s="125">
        <f>6.2*3.7</f>
        <v>22.94</v>
      </c>
      <c r="H356" s="125">
        <f>5.9*4.3</f>
        <v>25.37</v>
      </c>
      <c r="I356" s="125">
        <f>7.7*4.4</f>
        <v>33.880000000000003</v>
      </c>
      <c r="J356" s="125">
        <f>7.8*4.9</f>
        <v>38.22</v>
      </c>
      <c r="K356" s="125">
        <f>8.8*5.6</f>
        <v>49.28</v>
      </c>
      <c r="L356" s="125">
        <f>8.9*6.4</f>
        <v>56.960000000000008</v>
      </c>
      <c r="M356" s="125">
        <f>9.8*7.5</f>
        <v>73.5</v>
      </c>
      <c r="N356" s="125">
        <f>11.2*8</f>
        <v>89.6</v>
      </c>
      <c r="O356" s="126">
        <f>12.5*8.8</f>
        <v>110.00000000000001</v>
      </c>
    </row>
    <row r="357" spans="2:15" x14ac:dyDescent="0.2">
      <c r="B357" s="133"/>
      <c r="C357" s="129" t="s">
        <v>53</v>
      </c>
      <c r="D357" s="115">
        <v>337</v>
      </c>
      <c r="E357" s="116">
        <f>6.8*2.8</f>
        <v>19.04</v>
      </c>
      <c r="F357" s="116">
        <f>9*3.1</f>
        <v>27.900000000000002</v>
      </c>
      <c r="G357" s="116">
        <f>8.8*3.5</f>
        <v>30.800000000000004</v>
      </c>
      <c r="H357" s="116">
        <f>9.9*4.2</f>
        <v>41.580000000000005</v>
      </c>
      <c r="I357" s="116">
        <f>9.9*5.1</f>
        <v>50.489999999999995</v>
      </c>
      <c r="J357" s="116">
        <f>10.1*5.7</f>
        <v>57.57</v>
      </c>
      <c r="K357" s="116">
        <f>11*6.4</f>
        <v>70.400000000000006</v>
      </c>
      <c r="L357" s="116">
        <f>11.3*6.7</f>
        <v>75.710000000000008</v>
      </c>
      <c r="M357" s="116">
        <f>12.1*7.4</f>
        <v>89.54</v>
      </c>
      <c r="N357" s="116">
        <f>12.8*8</f>
        <v>102.4</v>
      </c>
      <c r="O357" s="117">
        <f>12.3*8.7</f>
        <v>107.00999999999999</v>
      </c>
    </row>
    <row r="358" spans="2:15" x14ac:dyDescent="0.2">
      <c r="B358" s="133"/>
      <c r="C358" s="131"/>
      <c r="D358" s="120">
        <v>338</v>
      </c>
      <c r="E358" s="121">
        <f>5.3*3.1</f>
        <v>16.43</v>
      </c>
      <c r="F358" s="121">
        <f>6.7*3.3</f>
        <v>22.11</v>
      </c>
      <c r="G358" s="121">
        <f>7*4</f>
        <v>28</v>
      </c>
      <c r="H358" s="121">
        <f>7.8*4.2</f>
        <v>32.76</v>
      </c>
      <c r="I358" s="121">
        <f>7.3*4.8</f>
        <v>35.04</v>
      </c>
      <c r="J358" s="121">
        <f>8.7*5.1</f>
        <v>44.36999999999999</v>
      </c>
      <c r="K358" s="121">
        <f>8.9*6</f>
        <v>53.400000000000006</v>
      </c>
      <c r="L358" s="121">
        <f>9.9*6.3</f>
        <v>62.37</v>
      </c>
      <c r="M358" s="121">
        <f>10.2*6.7</f>
        <v>68.34</v>
      </c>
      <c r="N358" s="121">
        <f>11*7</f>
        <v>77</v>
      </c>
      <c r="O358" s="122">
        <f>12.6*8.9</f>
        <v>112.14</v>
      </c>
    </row>
    <row r="359" spans="2:15" x14ac:dyDescent="0.2">
      <c r="B359" s="133"/>
      <c r="C359" s="131"/>
      <c r="D359" s="120">
        <v>336</v>
      </c>
      <c r="E359" s="121">
        <f>3.8*3.8</f>
        <v>14.44</v>
      </c>
      <c r="F359" s="121">
        <f>4.4*4.4</f>
        <v>19.360000000000003</v>
      </c>
      <c r="G359" s="121">
        <f>4.1*4.4</f>
        <v>18.04</v>
      </c>
      <c r="H359" s="121">
        <f>4.6*4.6</f>
        <v>21.159999999999997</v>
      </c>
      <c r="I359" s="121">
        <f>4.7*4.7</f>
        <v>22.090000000000003</v>
      </c>
      <c r="J359" s="121">
        <f>5.9*5.4</f>
        <v>31.860000000000003</v>
      </c>
      <c r="K359" s="121">
        <f>6.7*6.3</f>
        <v>42.21</v>
      </c>
      <c r="L359" s="121">
        <f>6.9*6.8</f>
        <v>46.92</v>
      </c>
      <c r="M359" s="121">
        <f>7.1*7.7</f>
        <v>54.67</v>
      </c>
      <c r="N359" s="121">
        <f>9.5*7.8</f>
        <v>74.099999999999994</v>
      </c>
      <c r="O359" s="122">
        <f>10.9*8.4</f>
        <v>91.56</v>
      </c>
    </row>
    <row r="360" spans="2:15" ht="17" thickBot="1" x14ac:dyDescent="0.25">
      <c r="B360" s="134"/>
      <c r="C360" s="132"/>
      <c r="D360" s="124">
        <v>654</v>
      </c>
      <c r="E360" s="125">
        <f>5*2.7</f>
        <v>13.5</v>
      </c>
      <c r="F360" s="125">
        <f>6.3*3.7</f>
        <v>23.31</v>
      </c>
      <c r="G360" s="125">
        <f>6*3.8</f>
        <v>22.799999999999997</v>
      </c>
      <c r="H360" s="125">
        <f>6.8*4.7</f>
        <v>31.96</v>
      </c>
      <c r="I360" s="125">
        <f>8.1*5.7</f>
        <v>46.17</v>
      </c>
      <c r="J360" s="125">
        <f>9.1*7</f>
        <v>63.699999999999996</v>
      </c>
      <c r="K360" s="125">
        <f>9.6*7.2</f>
        <v>69.12</v>
      </c>
      <c r="L360" s="125">
        <f>10.7*7.5</f>
        <v>80.25</v>
      </c>
      <c r="M360" s="125">
        <f>11.1*8.3</f>
        <v>92.13000000000001</v>
      </c>
      <c r="N360" s="125">
        <f>12.4*8.5</f>
        <v>105.4</v>
      </c>
      <c r="O360" s="126">
        <f>13.2*9.8</f>
        <v>129.36000000000001</v>
      </c>
    </row>
    <row r="361" spans="2:15" x14ac:dyDescent="0.2">
      <c r="B361" s="135" t="s">
        <v>55</v>
      </c>
      <c r="C361" s="135" t="s">
        <v>52</v>
      </c>
      <c r="D361" s="115">
        <v>344</v>
      </c>
      <c r="E361" s="116">
        <f>3.2*3.2</f>
        <v>10.240000000000002</v>
      </c>
      <c r="F361" s="116">
        <f>5*3.7</f>
        <v>18.5</v>
      </c>
      <c r="G361" s="116">
        <f>5.1*3.6</f>
        <v>18.36</v>
      </c>
      <c r="H361" s="116">
        <f>5.8*4</f>
        <v>23.2</v>
      </c>
      <c r="I361" s="116">
        <f>5.7*4.5</f>
        <v>25.650000000000002</v>
      </c>
      <c r="J361" s="116">
        <f>6*4.8</f>
        <v>28.799999999999997</v>
      </c>
      <c r="K361" s="116">
        <f>6.2*4.9</f>
        <v>30.380000000000003</v>
      </c>
      <c r="L361" s="116">
        <f>6.7*5.7</f>
        <v>38.190000000000005</v>
      </c>
      <c r="M361" s="116">
        <f>8*6.5</f>
        <v>52</v>
      </c>
      <c r="N361" s="116">
        <f>8.3*6.5</f>
        <v>53.95</v>
      </c>
      <c r="O361" s="117">
        <f>8.4*7</f>
        <v>58.800000000000004</v>
      </c>
    </row>
    <row r="362" spans="2:15" x14ac:dyDescent="0.2">
      <c r="B362" s="136"/>
      <c r="C362" s="137"/>
      <c r="D362" s="120">
        <v>655</v>
      </c>
      <c r="E362" s="121">
        <f>5.1*2.4</f>
        <v>12.239999999999998</v>
      </c>
      <c r="F362" s="121">
        <f>4*3</f>
        <v>12</v>
      </c>
      <c r="G362" s="121">
        <f>5.6*3.3</f>
        <v>18.479999999999997</v>
      </c>
      <c r="H362" s="121">
        <f>5.7*4.5</f>
        <v>25.650000000000002</v>
      </c>
      <c r="I362" s="121">
        <f>7*4.6</f>
        <v>32.199999999999996</v>
      </c>
      <c r="J362" s="121">
        <f>7.9*5.4</f>
        <v>42.660000000000004</v>
      </c>
      <c r="K362" s="121">
        <f>8.5*5.5</f>
        <v>46.75</v>
      </c>
      <c r="L362" s="121">
        <f>8.6*5.7</f>
        <v>49.019999999999996</v>
      </c>
      <c r="M362" s="121">
        <f>10.1*7.3</f>
        <v>73.72999999999999</v>
      </c>
      <c r="N362" s="121">
        <f>10.3*7.3</f>
        <v>75.19</v>
      </c>
      <c r="O362" s="122">
        <f>12.1*8.6</f>
        <v>104.05999999999999</v>
      </c>
    </row>
    <row r="363" spans="2:15" x14ac:dyDescent="0.2">
      <c r="B363" s="136"/>
      <c r="C363" s="137"/>
      <c r="D363" s="120">
        <v>652</v>
      </c>
      <c r="E363" s="121">
        <f>3.9*2.9</f>
        <v>11.309999999999999</v>
      </c>
      <c r="F363" s="121">
        <f>5.1*3.1</f>
        <v>15.809999999999999</v>
      </c>
      <c r="G363" s="121">
        <f>6*3.8</f>
        <v>22.799999999999997</v>
      </c>
      <c r="H363" s="121">
        <f>6.5*4.3</f>
        <v>27.95</v>
      </c>
      <c r="I363" s="121">
        <f>6.7*5.1</f>
        <v>34.17</v>
      </c>
      <c r="J363" s="121">
        <f>8.2*5.6</f>
        <v>45.919999999999995</v>
      </c>
      <c r="K363" s="121">
        <f>9.6*5.6</f>
        <v>53.76</v>
      </c>
      <c r="L363" s="121">
        <f>9.3*5.7</f>
        <v>53.010000000000005</v>
      </c>
      <c r="M363" s="121">
        <f>10.3*7</f>
        <v>72.100000000000009</v>
      </c>
      <c r="N363" s="121">
        <f>11.8*7.5</f>
        <v>88.5</v>
      </c>
      <c r="O363" s="122">
        <f>11.9*8.6</f>
        <v>102.34</v>
      </c>
    </row>
    <row r="364" spans="2:15" ht="17" thickBot="1" x14ac:dyDescent="0.25">
      <c r="B364" s="136"/>
      <c r="C364" s="138"/>
      <c r="D364" s="124">
        <v>653</v>
      </c>
      <c r="E364" s="125">
        <f>4.5*2.7</f>
        <v>12.15</v>
      </c>
      <c r="F364" s="125">
        <f>6.9*2.9</f>
        <v>20.010000000000002</v>
      </c>
      <c r="G364" s="125">
        <f>5.7*3</f>
        <v>17.100000000000001</v>
      </c>
      <c r="H364" s="125">
        <f>6.8*3.5</f>
        <v>23.8</v>
      </c>
      <c r="I364" s="125">
        <f>7.3*4.4</f>
        <v>32.120000000000005</v>
      </c>
      <c r="J364" s="125">
        <f>8.4*4.6</f>
        <v>38.64</v>
      </c>
      <c r="K364" s="125">
        <f>8.8*5.2</f>
        <v>45.760000000000005</v>
      </c>
      <c r="L364" s="125">
        <f>8.7*5.6</f>
        <v>48.719999999999992</v>
      </c>
      <c r="M364" s="125">
        <f>9.7*6.3</f>
        <v>61.109999999999992</v>
      </c>
      <c r="N364" s="125">
        <f>10.8*7.2</f>
        <v>77.760000000000005</v>
      </c>
      <c r="O364" s="126">
        <f>12.3*8</f>
        <v>98.4</v>
      </c>
    </row>
    <row r="365" spans="2:15" x14ac:dyDescent="0.2">
      <c r="B365" s="139"/>
      <c r="C365" s="135" t="s">
        <v>53</v>
      </c>
      <c r="D365" s="115">
        <v>344</v>
      </c>
      <c r="E365" s="116">
        <f>4.4*3</f>
        <v>13.200000000000001</v>
      </c>
      <c r="F365" s="116">
        <f>5.8*3.1</f>
        <v>17.98</v>
      </c>
      <c r="G365" s="116">
        <f>5.3*3</f>
        <v>15.899999999999999</v>
      </c>
      <c r="H365" s="116">
        <f>7*3.9</f>
        <v>27.3</v>
      </c>
      <c r="I365" s="116">
        <f>7.3*4.2</f>
        <v>30.66</v>
      </c>
      <c r="J365" s="116">
        <f>7.7*4.7</f>
        <v>36.190000000000005</v>
      </c>
      <c r="K365" s="116">
        <f>8.3*5</f>
        <v>41.5</v>
      </c>
      <c r="L365" s="116">
        <f>8.3*5.3</f>
        <v>43.99</v>
      </c>
      <c r="M365" s="116">
        <f>8*6.3</f>
        <v>50.4</v>
      </c>
      <c r="N365" s="116">
        <f>9*7</f>
        <v>63</v>
      </c>
      <c r="O365" s="117">
        <f>9.5*7.5</f>
        <v>71.25</v>
      </c>
    </row>
    <row r="366" spans="2:15" x14ac:dyDescent="0.2">
      <c r="B366" s="139"/>
      <c r="C366" s="137"/>
      <c r="D366" s="120">
        <v>655</v>
      </c>
      <c r="E366" s="121">
        <f>5.2*2.6</f>
        <v>13.520000000000001</v>
      </c>
      <c r="F366" s="121">
        <f>4.7*2.7</f>
        <v>12.690000000000001</v>
      </c>
      <c r="G366" s="121">
        <f>5.8*3</f>
        <v>17.399999999999999</v>
      </c>
      <c r="H366" s="121">
        <f>5.6*2.9</f>
        <v>16.239999999999998</v>
      </c>
      <c r="I366" s="121">
        <f>5.4*3.4</f>
        <v>18.36</v>
      </c>
      <c r="J366" s="121">
        <f>6.2*4</f>
        <v>24.8</v>
      </c>
      <c r="K366" s="121">
        <f>7*4.8</f>
        <v>33.6</v>
      </c>
      <c r="L366" s="121">
        <f>7.7*4.9</f>
        <v>37.730000000000004</v>
      </c>
      <c r="M366" s="121">
        <f>7.8*5.4</f>
        <v>42.120000000000005</v>
      </c>
      <c r="N366" s="121">
        <f>7.8*6.2</f>
        <v>48.36</v>
      </c>
      <c r="O366" s="122">
        <f>9.5*7.3</f>
        <v>69.349999999999994</v>
      </c>
    </row>
    <row r="367" spans="2:15" x14ac:dyDescent="0.2">
      <c r="B367" s="139"/>
      <c r="C367" s="137"/>
      <c r="D367" s="120">
        <v>652</v>
      </c>
      <c r="E367" s="121">
        <f>4.5*3.6</f>
        <v>16.2</v>
      </c>
      <c r="F367" s="121">
        <f>5.1*4.3</f>
        <v>21.929999999999996</v>
      </c>
      <c r="G367" s="121">
        <f>5.2*4.2</f>
        <v>21.840000000000003</v>
      </c>
      <c r="H367" s="121">
        <f>5.3*4.5</f>
        <v>23.849999999999998</v>
      </c>
      <c r="I367" s="121">
        <f>6.8*5.2</f>
        <v>35.36</v>
      </c>
      <c r="J367" s="121">
        <f>6.8*5.7</f>
        <v>38.76</v>
      </c>
      <c r="K367" s="121">
        <f>7.8*5.7</f>
        <v>44.46</v>
      </c>
      <c r="L367" s="121">
        <f>8.8*6.5</f>
        <v>57.2</v>
      </c>
      <c r="M367" s="121">
        <f>10*6.9</f>
        <v>69</v>
      </c>
      <c r="N367" s="121">
        <f>10.5*7.3</f>
        <v>76.649999999999991</v>
      </c>
      <c r="O367" s="122">
        <f>11.6*8.2</f>
        <v>95.11999999999999</v>
      </c>
    </row>
    <row r="368" spans="2:15" ht="17" thickBot="1" x14ac:dyDescent="0.25">
      <c r="B368" s="140"/>
      <c r="C368" s="138"/>
      <c r="D368" s="124">
        <v>653</v>
      </c>
      <c r="E368" s="125">
        <f>5.4*3.4</f>
        <v>18.36</v>
      </c>
      <c r="F368" s="125">
        <f>5.5*4.4</f>
        <v>24.200000000000003</v>
      </c>
      <c r="G368" s="125">
        <f>5.3*4.1</f>
        <v>21.729999999999997</v>
      </c>
      <c r="H368" s="125">
        <f>5.5*4.5</f>
        <v>24.75</v>
      </c>
      <c r="I368" s="125">
        <f>7.3*5.6</f>
        <v>40.879999999999995</v>
      </c>
      <c r="J368" s="125">
        <f>7.1*5.4</f>
        <v>38.340000000000003</v>
      </c>
      <c r="K368" s="125">
        <f>7.7*5.8</f>
        <v>44.66</v>
      </c>
      <c r="L368" s="125">
        <f>7.2*6</f>
        <v>43.2</v>
      </c>
      <c r="M368" s="125">
        <f>7.5*6</f>
        <v>45</v>
      </c>
      <c r="N368" s="125">
        <f>9*7</f>
        <v>63</v>
      </c>
      <c r="O368" s="126">
        <f>9.1*7.2</f>
        <v>65.52</v>
      </c>
    </row>
    <row r="369" spans="3:15" ht="17" thickBot="1" x14ac:dyDescent="0.25">
      <c r="E369" s="141"/>
      <c r="F369" s="141"/>
      <c r="G369" s="141"/>
      <c r="H369" s="141"/>
      <c r="I369" s="141"/>
      <c r="J369" s="141"/>
      <c r="K369" s="141"/>
      <c r="L369" s="141"/>
      <c r="M369" s="141"/>
      <c r="N369" s="141"/>
      <c r="O369" s="141"/>
    </row>
    <row r="370" spans="3:15" x14ac:dyDescent="0.2">
      <c r="C370" s="142" t="s">
        <v>56</v>
      </c>
      <c r="D370" s="143" t="s">
        <v>57</v>
      </c>
      <c r="E370" s="144">
        <f>AVERAGE(E345:E348)</f>
        <v>11.0875</v>
      </c>
      <c r="F370" s="145">
        <f t="shared" ref="F370:O370" si="69">AVERAGE(F345:F348)</f>
        <v>17.934999999999999</v>
      </c>
      <c r="G370" s="145">
        <f t="shared" si="69"/>
        <v>24.39</v>
      </c>
      <c r="H370" s="145">
        <f t="shared" si="69"/>
        <v>31.590000000000003</v>
      </c>
      <c r="I370" s="145">
        <f t="shared" si="69"/>
        <v>37.314999999999998</v>
      </c>
      <c r="J370" s="145">
        <f t="shared" si="69"/>
        <v>43.94</v>
      </c>
      <c r="K370" s="145">
        <f t="shared" si="69"/>
        <v>50.762500000000003</v>
      </c>
      <c r="L370" s="145">
        <f t="shared" si="69"/>
        <v>56.707499999999996</v>
      </c>
      <c r="M370" s="145">
        <f t="shared" si="69"/>
        <v>70.857500000000002</v>
      </c>
      <c r="N370" s="145">
        <f t="shared" si="69"/>
        <v>83.93</v>
      </c>
      <c r="O370" s="146">
        <f t="shared" si="69"/>
        <v>101.94499999999999</v>
      </c>
    </row>
    <row r="371" spans="3:15" x14ac:dyDescent="0.2">
      <c r="C371" s="147"/>
      <c r="D371" s="148" t="s">
        <v>58</v>
      </c>
      <c r="E371" s="149">
        <f>AVERAGE(E353:E356)</f>
        <v>12.335000000000001</v>
      </c>
      <c r="F371" s="150">
        <f t="shared" ref="F371:O371" si="70">AVERAGE(F353:F356)</f>
        <v>15.915000000000001</v>
      </c>
      <c r="G371" s="150">
        <f t="shared" si="70"/>
        <v>22.202500000000001</v>
      </c>
      <c r="H371" s="150">
        <f t="shared" si="70"/>
        <v>27.445</v>
      </c>
      <c r="I371" s="150">
        <f t="shared" si="70"/>
        <v>36.489999999999995</v>
      </c>
      <c r="J371" s="150">
        <f t="shared" si="70"/>
        <v>43.110000000000007</v>
      </c>
      <c r="K371" s="150">
        <f t="shared" si="70"/>
        <v>50.032499999999999</v>
      </c>
      <c r="L371" s="150">
        <f t="shared" si="70"/>
        <v>55.685000000000009</v>
      </c>
      <c r="M371" s="150">
        <f t="shared" si="70"/>
        <v>69.004999999999995</v>
      </c>
      <c r="N371" s="150">
        <f t="shared" si="70"/>
        <v>81.66</v>
      </c>
      <c r="O371" s="151">
        <f t="shared" si="70"/>
        <v>99.777500000000003</v>
      </c>
    </row>
    <row r="372" spans="3:15" ht="17" thickBot="1" x14ac:dyDescent="0.25">
      <c r="C372" s="152"/>
      <c r="D372" s="153" t="s">
        <v>59</v>
      </c>
      <c r="E372" s="154">
        <f>AVERAGE(E361:E364)</f>
        <v>11.484999999999999</v>
      </c>
      <c r="F372" s="155">
        <f t="shared" ref="F372:O372" si="71">AVERAGE(F361:F364)</f>
        <v>16.580000000000002</v>
      </c>
      <c r="G372" s="155">
        <f t="shared" si="71"/>
        <v>19.184999999999999</v>
      </c>
      <c r="H372" s="155">
        <f t="shared" si="71"/>
        <v>25.15</v>
      </c>
      <c r="I372" s="155">
        <f t="shared" si="71"/>
        <v>31.035</v>
      </c>
      <c r="J372" s="155">
        <f t="shared" si="71"/>
        <v>39.004999999999995</v>
      </c>
      <c r="K372" s="155">
        <f t="shared" si="71"/>
        <v>44.162499999999994</v>
      </c>
      <c r="L372" s="155">
        <f t="shared" si="71"/>
        <v>47.235000000000007</v>
      </c>
      <c r="M372" s="155">
        <f t="shared" si="71"/>
        <v>64.734999999999999</v>
      </c>
      <c r="N372" s="155">
        <f t="shared" si="71"/>
        <v>73.849999999999994</v>
      </c>
      <c r="O372" s="156">
        <f t="shared" si="71"/>
        <v>90.9</v>
      </c>
    </row>
    <row r="373" spans="3:15" x14ac:dyDescent="0.2">
      <c r="C373" s="147" t="s">
        <v>60</v>
      </c>
      <c r="D373" s="148" t="s">
        <v>57</v>
      </c>
      <c r="E373" s="144">
        <f>AVERAGE(E349:E352)</f>
        <v>16.082500000000003</v>
      </c>
      <c r="F373" s="145">
        <f t="shared" ref="F373:O373" si="72">AVERAGE(F349:F352)</f>
        <v>19.875</v>
      </c>
      <c r="G373" s="145">
        <f t="shared" si="72"/>
        <v>25.965</v>
      </c>
      <c r="H373" s="145">
        <f t="shared" si="72"/>
        <v>31.86</v>
      </c>
      <c r="I373" s="145">
        <f t="shared" si="72"/>
        <v>38.432500000000005</v>
      </c>
      <c r="J373" s="145">
        <f t="shared" si="72"/>
        <v>45.125</v>
      </c>
      <c r="K373" s="145">
        <f t="shared" si="72"/>
        <v>50.185000000000002</v>
      </c>
      <c r="L373" s="145">
        <f t="shared" si="72"/>
        <v>57.1875</v>
      </c>
      <c r="M373" s="145">
        <f t="shared" si="72"/>
        <v>66.155000000000001</v>
      </c>
      <c r="N373" s="145">
        <f t="shared" si="72"/>
        <v>77.03</v>
      </c>
      <c r="O373" s="146">
        <f t="shared" si="72"/>
        <v>90.85499999999999</v>
      </c>
    </row>
    <row r="374" spans="3:15" x14ac:dyDescent="0.2">
      <c r="C374" s="147"/>
      <c r="D374" s="148" t="s">
        <v>58</v>
      </c>
      <c r="E374" s="149">
        <f>AVERAGE(E357:E360)</f>
        <v>15.852499999999999</v>
      </c>
      <c r="F374" s="150">
        <f t="shared" ref="F374:O374" si="73">AVERAGE(F357:F360)</f>
        <v>23.17</v>
      </c>
      <c r="G374" s="150">
        <f t="shared" si="73"/>
        <v>24.91</v>
      </c>
      <c r="H374" s="150">
        <f t="shared" si="73"/>
        <v>31.865000000000002</v>
      </c>
      <c r="I374" s="150">
        <f t="shared" si="73"/>
        <v>38.447500000000005</v>
      </c>
      <c r="J374" s="150">
        <f t="shared" si="73"/>
        <v>49.375</v>
      </c>
      <c r="K374" s="150">
        <f t="shared" si="73"/>
        <v>58.782500000000006</v>
      </c>
      <c r="L374" s="150">
        <f t="shared" si="73"/>
        <v>66.3125</v>
      </c>
      <c r="M374" s="150">
        <f t="shared" si="73"/>
        <v>76.17</v>
      </c>
      <c r="N374" s="150">
        <f t="shared" si="73"/>
        <v>89.724999999999994</v>
      </c>
      <c r="O374" s="151">
        <f t="shared" si="73"/>
        <v>110.0175</v>
      </c>
    </row>
    <row r="375" spans="3:15" ht="17" thickBot="1" x14ac:dyDescent="0.25">
      <c r="C375" s="152"/>
      <c r="D375" s="153" t="s">
        <v>59</v>
      </c>
      <c r="E375" s="154">
        <f>AVERAGE(E365:E368)</f>
        <v>15.32</v>
      </c>
      <c r="F375" s="155">
        <f t="shared" ref="F375:O375" si="74">AVERAGE(F365:F368)</f>
        <v>19.2</v>
      </c>
      <c r="G375" s="155">
        <f t="shared" si="74"/>
        <v>19.217500000000001</v>
      </c>
      <c r="H375" s="155">
        <f t="shared" si="74"/>
        <v>23.035</v>
      </c>
      <c r="I375" s="155">
        <f t="shared" si="74"/>
        <v>31.314999999999998</v>
      </c>
      <c r="J375" s="155">
        <f t="shared" si="74"/>
        <v>34.522500000000001</v>
      </c>
      <c r="K375" s="155">
        <f t="shared" si="74"/>
        <v>41.055</v>
      </c>
      <c r="L375" s="155">
        <f t="shared" si="74"/>
        <v>45.53</v>
      </c>
      <c r="M375" s="155">
        <f t="shared" si="74"/>
        <v>51.63</v>
      </c>
      <c r="N375" s="155">
        <f t="shared" si="74"/>
        <v>62.752499999999998</v>
      </c>
      <c r="O375" s="156">
        <f t="shared" si="74"/>
        <v>75.309999999999988</v>
      </c>
    </row>
  </sheetData>
  <mergeCells count="146">
    <mergeCell ref="C361:C364"/>
    <mergeCell ref="C365:C368"/>
    <mergeCell ref="C370:C372"/>
    <mergeCell ref="C373:C375"/>
    <mergeCell ref="B342:C343"/>
    <mergeCell ref="D342:D344"/>
    <mergeCell ref="E342:O342"/>
    <mergeCell ref="B345:B352"/>
    <mergeCell ref="C345:C348"/>
    <mergeCell ref="C349:C352"/>
    <mergeCell ref="B306:C307"/>
    <mergeCell ref="D306:D308"/>
    <mergeCell ref="E306:M306"/>
    <mergeCell ref="B309:B316"/>
    <mergeCell ref="C309:C312"/>
    <mergeCell ref="C313:C316"/>
    <mergeCell ref="B317:B324"/>
    <mergeCell ref="C317:C320"/>
    <mergeCell ref="B353:B360"/>
    <mergeCell ref="C353:C356"/>
    <mergeCell ref="C357:C360"/>
    <mergeCell ref="B361:B368"/>
    <mergeCell ref="C334:C336"/>
    <mergeCell ref="C337:C339"/>
    <mergeCell ref="C321:C324"/>
    <mergeCell ref="B325:B332"/>
    <mergeCell ref="C325:C328"/>
    <mergeCell ref="C329:C332"/>
    <mergeCell ref="B287:J287"/>
    <mergeCell ref="B288:D288"/>
    <mergeCell ref="E288:G288"/>
    <mergeCell ref="H288:J288"/>
    <mergeCell ref="B296:M296"/>
    <mergeCell ref="B297:E297"/>
    <mergeCell ref="F297:I297"/>
    <mergeCell ref="J297:M297"/>
    <mergeCell ref="B271:J271"/>
    <mergeCell ref="B272:D272"/>
    <mergeCell ref="E272:G272"/>
    <mergeCell ref="H272:J272"/>
    <mergeCell ref="B279:J279"/>
    <mergeCell ref="B280:D280"/>
    <mergeCell ref="E280:G280"/>
    <mergeCell ref="H280:J280"/>
    <mergeCell ref="B254:J254"/>
    <mergeCell ref="B255:D255"/>
    <mergeCell ref="E255:G255"/>
    <mergeCell ref="H255:J255"/>
    <mergeCell ref="B262:J262"/>
    <mergeCell ref="B263:D263"/>
    <mergeCell ref="E263:G263"/>
    <mergeCell ref="H263:J263"/>
    <mergeCell ref="B237:J237"/>
    <mergeCell ref="B238:D238"/>
    <mergeCell ref="E238:G238"/>
    <mergeCell ref="H238:J238"/>
    <mergeCell ref="B246:J246"/>
    <mergeCell ref="B247:D247"/>
    <mergeCell ref="E247:G247"/>
    <mergeCell ref="H247:J247"/>
    <mergeCell ref="B220:J220"/>
    <mergeCell ref="B221:D221"/>
    <mergeCell ref="E221:G221"/>
    <mergeCell ref="H221:J221"/>
    <mergeCell ref="B229:J229"/>
    <mergeCell ref="B230:D230"/>
    <mergeCell ref="E230:G230"/>
    <mergeCell ref="H230:J230"/>
    <mergeCell ref="B204:J204"/>
    <mergeCell ref="B205:D205"/>
    <mergeCell ref="E205:G205"/>
    <mergeCell ref="H205:J205"/>
    <mergeCell ref="B212:J212"/>
    <mergeCell ref="B213:D213"/>
    <mergeCell ref="E213:G213"/>
    <mergeCell ref="H213:J213"/>
    <mergeCell ref="B187:J187"/>
    <mergeCell ref="B188:D188"/>
    <mergeCell ref="E188:G188"/>
    <mergeCell ref="H188:J188"/>
    <mergeCell ref="B195:J195"/>
    <mergeCell ref="B196:D196"/>
    <mergeCell ref="E196:G196"/>
    <mergeCell ref="H196:J196"/>
    <mergeCell ref="B166:J166"/>
    <mergeCell ref="B167:D167"/>
    <mergeCell ref="E167:G167"/>
    <mergeCell ref="H167:J167"/>
    <mergeCell ref="B175:M175"/>
    <mergeCell ref="B176:E176"/>
    <mergeCell ref="F176:I176"/>
    <mergeCell ref="J176:M176"/>
    <mergeCell ref="B150:J150"/>
    <mergeCell ref="B151:D151"/>
    <mergeCell ref="E151:G151"/>
    <mergeCell ref="H151:J151"/>
    <mergeCell ref="B158:J158"/>
    <mergeCell ref="B159:D159"/>
    <mergeCell ref="E159:G159"/>
    <mergeCell ref="H159:J159"/>
    <mergeCell ref="B133:J133"/>
    <mergeCell ref="B134:D134"/>
    <mergeCell ref="E134:G134"/>
    <mergeCell ref="H134:J134"/>
    <mergeCell ref="B141:J141"/>
    <mergeCell ref="B142:D142"/>
    <mergeCell ref="E142:G142"/>
    <mergeCell ref="H142:J142"/>
    <mergeCell ref="B116:J116"/>
    <mergeCell ref="B117:D117"/>
    <mergeCell ref="E117:G117"/>
    <mergeCell ref="H117:J117"/>
    <mergeCell ref="B125:J125"/>
    <mergeCell ref="B126:D126"/>
    <mergeCell ref="E126:G126"/>
    <mergeCell ref="H126:J126"/>
    <mergeCell ref="B99:J99"/>
    <mergeCell ref="B100:D100"/>
    <mergeCell ref="E100:G100"/>
    <mergeCell ref="H100:J100"/>
    <mergeCell ref="B108:J108"/>
    <mergeCell ref="B109:D109"/>
    <mergeCell ref="E109:G109"/>
    <mergeCell ref="H109:J109"/>
    <mergeCell ref="B83:J83"/>
    <mergeCell ref="B84:D84"/>
    <mergeCell ref="E84:G84"/>
    <mergeCell ref="H84:J84"/>
    <mergeCell ref="B91:J91"/>
    <mergeCell ref="B92:D92"/>
    <mergeCell ref="E92:G92"/>
    <mergeCell ref="H92:J92"/>
    <mergeCell ref="B66:J66"/>
    <mergeCell ref="B67:D67"/>
    <mergeCell ref="E67:G67"/>
    <mergeCell ref="H67:J67"/>
    <mergeCell ref="B74:J74"/>
    <mergeCell ref="B75:D75"/>
    <mergeCell ref="E75:G75"/>
    <mergeCell ref="H75:J75"/>
    <mergeCell ref="C38:D38"/>
    <mergeCell ref="E38:F38"/>
    <mergeCell ref="G38:H38"/>
    <mergeCell ref="C50:D50"/>
    <mergeCell ref="E50:F50"/>
    <mergeCell ref="G50:H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Nguyen</dc:creator>
  <cp:lastModifiedBy>Kim Nguyen</cp:lastModifiedBy>
  <dcterms:created xsi:type="dcterms:W3CDTF">2023-06-27T16:22:19Z</dcterms:created>
  <dcterms:modified xsi:type="dcterms:W3CDTF">2023-06-27T16:24:27Z</dcterms:modified>
</cp:coreProperties>
</file>