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66925"/>
  <mc:AlternateContent xmlns:mc="http://schemas.openxmlformats.org/markup-compatibility/2006">
    <mc:Choice Requires="x15">
      <x15ac:absPath xmlns:x15ac="http://schemas.microsoft.com/office/spreadsheetml/2010/11/ac" url="/Users/kiranlee/Documents/GitHub/GenderGapAcademiaCOVID-19PandemicMeta-Analysis/8 Manuscript, figures, tables and supplementary materials/"/>
    </mc:Choice>
  </mc:AlternateContent>
  <xr:revisionPtr revIDLastSave="0" documentId="13_ncr:1_{C6C9EF58-AE41-BD4D-86C2-74CDD136E6FF}" xr6:coauthVersionLast="47" xr6:coauthVersionMax="47" xr10:uidLastSave="{00000000-0000-0000-0000-000000000000}"/>
  <bookViews>
    <workbookView xWindow="6740" yWindow="500" windowWidth="18580" windowHeight="15500" activeTab="1" xr2:uid="{E7B7A5C8-1E0C-5845-B998-722E379BD902}"/>
  </bookViews>
  <sheets>
    <sheet name="Data" sheetId="1" r:id="rId1"/>
    <sheet name="Variables" sheetId="4" r:id="rId2"/>
    <sheet name="Scoping search" sheetId="3" r:id="rId3"/>
    <sheet name="Calculations"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7" i="1" l="1"/>
  <c r="AM16" i="1"/>
  <c r="AM14" i="1"/>
  <c r="AM13" i="1"/>
  <c r="AM12" i="1"/>
  <c r="AM11" i="1"/>
  <c r="AM9" i="1"/>
  <c r="AM8" i="1"/>
  <c r="AM7" i="1"/>
  <c r="AM6" i="1"/>
  <c r="AM5" i="1"/>
  <c r="AM4" i="1"/>
  <c r="AM3" i="1"/>
  <c r="AM2" i="1"/>
  <c r="AM113" i="1"/>
  <c r="AM111" i="1"/>
  <c r="AM110" i="1"/>
  <c r="AM109" i="1"/>
  <c r="AP108" i="1"/>
  <c r="AM108" i="1"/>
  <c r="AN108" i="1" s="1"/>
  <c r="AP107" i="1"/>
  <c r="AM107" i="1"/>
  <c r="AN107" i="1" s="1"/>
  <c r="AP106" i="1"/>
  <c r="AM106" i="1"/>
  <c r="AN106" i="1" s="1"/>
  <c r="AP105" i="1"/>
  <c r="AM105" i="1"/>
  <c r="AN105" i="1" s="1"/>
  <c r="AP104" i="1"/>
  <c r="AM104" i="1"/>
  <c r="AN104" i="1" s="1"/>
  <c r="AP103" i="1"/>
  <c r="AM103" i="1"/>
  <c r="AN103" i="1" s="1"/>
  <c r="AP102" i="1"/>
  <c r="AM102" i="1"/>
  <c r="AN102" i="1" s="1"/>
  <c r="AP101" i="1"/>
  <c r="AM101" i="1"/>
  <c r="AN101" i="1" s="1"/>
  <c r="AP100" i="1"/>
  <c r="AM100" i="1"/>
  <c r="AN100" i="1" s="1"/>
  <c r="AP99" i="1"/>
  <c r="AM99" i="1"/>
  <c r="AN99" i="1" s="1"/>
  <c r="V99" i="1"/>
  <c r="T99" i="1"/>
  <c r="AM98" i="1"/>
  <c r="AN98" i="1" s="1"/>
  <c r="W98" i="1"/>
  <c r="V98" i="1"/>
  <c r="U98" i="1"/>
  <c r="T98" i="1"/>
  <c r="AM97" i="1"/>
  <c r="AN97" i="1" s="1"/>
  <c r="W97" i="1"/>
  <c r="V97" i="1"/>
  <c r="U97" i="1"/>
  <c r="T97" i="1"/>
  <c r="AM96" i="1"/>
  <c r="AN96" i="1" s="1"/>
  <c r="W96" i="1"/>
  <c r="V96" i="1"/>
  <c r="U96" i="1"/>
  <c r="T96" i="1"/>
  <c r="AP95" i="1"/>
  <c r="AM95" i="1"/>
  <c r="AN95" i="1" s="1"/>
  <c r="AP94" i="1"/>
  <c r="AM94" i="1"/>
  <c r="AN94" i="1" s="1"/>
  <c r="AP97" i="1" l="1"/>
  <c r="AP96" i="1"/>
  <c r="AP98" i="1"/>
  <c r="A12" i="3"/>
  <c r="A13" i="3" s="1"/>
  <c r="A14" i="3" s="1"/>
  <c r="A15" i="3" s="1"/>
  <c r="A16" i="3" s="1"/>
  <c r="A17" i="3" s="1"/>
  <c r="A18" i="3" s="1"/>
  <c r="A19" i="3" s="1"/>
  <c r="A20" i="3" s="1"/>
  <c r="A21" i="3" s="1"/>
  <c r="A22" i="3" s="1"/>
  <c r="A23" i="3" s="1"/>
  <c r="A24" i="3" s="1"/>
  <c r="A25" i="3" s="1"/>
  <c r="A26" i="3" s="1"/>
  <c r="A27" i="3" s="1"/>
  <c r="A28" i="3" s="1"/>
  <c r="A29" i="3" s="1"/>
  <c r="A30" i="3" s="1"/>
  <c r="A31" i="3" s="1"/>
  <c r="D12" i="2"/>
  <c r="E12" i="2"/>
  <c r="I12" i="2"/>
  <c r="J12" i="2"/>
  <c r="D24" i="2"/>
  <c r="E24" i="2"/>
  <c r="F24" i="2"/>
  <c r="G24" i="2"/>
  <c r="H24" i="2"/>
  <c r="I24" i="2"/>
  <c r="J24" i="2"/>
  <c r="K24" i="2"/>
  <c r="L24" i="2"/>
  <c r="M24" i="2"/>
  <c r="N24" i="2"/>
  <c r="O24" i="2"/>
  <c r="D25" i="2"/>
  <c r="E25" i="2"/>
  <c r="F25" i="2"/>
  <c r="G25" i="2"/>
  <c r="H25" i="2"/>
  <c r="I25" i="2"/>
  <c r="J25" i="2"/>
  <c r="K25" i="2"/>
  <c r="L25" i="2"/>
  <c r="M25" i="2"/>
  <c r="N25" i="2"/>
  <c r="O25" i="2"/>
  <c r="D29" i="2"/>
  <c r="F29" i="2"/>
  <c r="G29" i="2"/>
  <c r="L29" i="2"/>
  <c r="N29" i="2"/>
  <c r="O29" i="2"/>
  <c r="D30" i="2"/>
  <c r="F30" i="2"/>
  <c r="G30" i="2"/>
  <c r="L30" i="2"/>
  <c r="M30" i="2"/>
  <c r="N30" i="2"/>
  <c r="O30" i="2"/>
  <c r="Q30" i="2"/>
  <c r="D31" i="2"/>
  <c r="F31" i="2"/>
  <c r="G31" i="2"/>
  <c r="L31" i="2"/>
  <c r="N31" i="2"/>
  <c r="M31" i="2" s="1"/>
  <c r="O31" i="2"/>
  <c r="D32" i="2"/>
  <c r="F32" i="2"/>
  <c r="G32" i="2"/>
  <c r="L32" i="2"/>
  <c r="M32" i="2" s="1"/>
  <c r="N32" i="2"/>
  <c r="O32" i="2"/>
  <c r="Q32" i="2"/>
  <c r="D33" i="2"/>
  <c r="F33" i="2"/>
  <c r="I33" i="2" s="1"/>
  <c r="H33" i="2" s="1"/>
  <c r="G33" i="2"/>
  <c r="L33" i="2"/>
  <c r="N33" i="2"/>
  <c r="O33" i="2"/>
  <c r="D34" i="2"/>
  <c r="F34" i="2"/>
  <c r="E34" i="2" s="1"/>
  <c r="G34" i="2"/>
  <c r="L34" i="2"/>
  <c r="M34" i="2"/>
  <c r="N34" i="2"/>
  <c r="O34" i="2"/>
  <c r="Q34" i="2"/>
  <c r="R34" i="2" s="1"/>
  <c r="D35" i="2"/>
  <c r="F35" i="2"/>
  <c r="I35" i="2" s="1"/>
  <c r="H35" i="2" s="1"/>
  <c r="G35" i="2"/>
  <c r="L35" i="2"/>
  <c r="N35" i="2"/>
  <c r="O35" i="2"/>
  <c r="D36" i="2"/>
  <c r="F36" i="2"/>
  <c r="E36" i="2" s="1"/>
  <c r="G36" i="2"/>
  <c r="L36" i="2"/>
  <c r="M36" i="2"/>
  <c r="N36" i="2"/>
  <c r="O36" i="2"/>
  <c r="Q36" i="2"/>
  <c r="R36" i="2" s="1"/>
  <c r="D37" i="2"/>
  <c r="F37" i="2"/>
  <c r="I37" i="2" s="1"/>
  <c r="H37" i="2" s="1"/>
  <c r="G37" i="2"/>
  <c r="L37" i="2"/>
  <c r="N37" i="2"/>
  <c r="O37" i="2"/>
  <c r="D38" i="2"/>
  <c r="F38" i="2"/>
  <c r="E38" i="2" s="1"/>
  <c r="G38" i="2"/>
  <c r="L38" i="2"/>
  <c r="M38" i="2"/>
  <c r="N38" i="2"/>
  <c r="O38" i="2"/>
  <c r="Q38" i="2"/>
  <c r="R38" i="2" s="1"/>
  <c r="D43" i="2"/>
  <c r="D45" i="2"/>
  <c r="D47" i="2"/>
  <c r="M70" i="2"/>
  <c r="M75" i="2"/>
  <c r="M80" i="2"/>
  <c r="M85" i="2"/>
  <c r="I92" i="2"/>
  <c r="J92" i="2"/>
  <c r="I93" i="2"/>
  <c r="M93" i="2" s="1"/>
  <c r="J93" i="2"/>
  <c r="N93" i="2" s="1"/>
  <c r="I94" i="2"/>
  <c r="M94" i="2" s="1"/>
  <c r="J94" i="2"/>
  <c r="J95" i="2"/>
  <c r="N100" i="2"/>
  <c r="C104" i="2"/>
  <c r="E104" i="2"/>
  <c r="I104" i="2"/>
  <c r="K104" i="2"/>
  <c r="C105" i="2"/>
  <c r="E105" i="2"/>
  <c r="I105" i="2"/>
  <c r="K105" i="2"/>
  <c r="N108" i="2"/>
  <c r="O108" i="2"/>
  <c r="P108" i="2"/>
  <c r="R108" i="2"/>
  <c r="S108" i="2"/>
  <c r="T108" i="2"/>
  <c r="N109" i="2"/>
  <c r="O109" i="2"/>
  <c r="P109" i="2"/>
  <c r="R109" i="2"/>
  <c r="S109" i="2"/>
  <c r="S120" i="2" s="1"/>
  <c r="S122" i="2" s="1"/>
  <c r="T109" i="2"/>
  <c r="N110" i="2"/>
  <c r="O110" i="2"/>
  <c r="P110" i="2"/>
  <c r="R110" i="2"/>
  <c r="S110" i="2"/>
  <c r="T110" i="2"/>
  <c r="N111" i="2"/>
  <c r="O111" i="2"/>
  <c r="P111" i="2"/>
  <c r="R111" i="2"/>
  <c r="S111" i="2"/>
  <c r="T111" i="2"/>
  <c r="N112" i="2"/>
  <c r="O112" i="2"/>
  <c r="P112" i="2"/>
  <c r="R112" i="2"/>
  <c r="S112" i="2"/>
  <c r="T112" i="2"/>
  <c r="N113" i="2"/>
  <c r="O113" i="2"/>
  <c r="P113" i="2"/>
  <c r="R113" i="2"/>
  <c r="S113" i="2"/>
  <c r="T113" i="2"/>
  <c r="N114" i="2"/>
  <c r="O114" i="2"/>
  <c r="P114" i="2"/>
  <c r="R114" i="2"/>
  <c r="S114" i="2"/>
  <c r="T114" i="2"/>
  <c r="N115" i="2"/>
  <c r="O115" i="2"/>
  <c r="P115" i="2"/>
  <c r="R115" i="2"/>
  <c r="S115" i="2"/>
  <c r="T115" i="2"/>
  <c r="N116" i="2"/>
  <c r="O116" i="2"/>
  <c r="P116" i="2"/>
  <c r="R116" i="2"/>
  <c r="S116" i="2"/>
  <c r="T116" i="2"/>
  <c r="N117" i="2"/>
  <c r="O117" i="2"/>
  <c r="P117" i="2"/>
  <c r="R117" i="2"/>
  <c r="S117" i="2"/>
  <c r="T117" i="2"/>
  <c r="N118" i="2"/>
  <c r="O118" i="2"/>
  <c r="P118" i="2"/>
  <c r="R118" i="2"/>
  <c r="S118" i="2"/>
  <c r="T118" i="2"/>
  <c r="N119" i="2"/>
  <c r="O119" i="2"/>
  <c r="P119" i="2"/>
  <c r="R119" i="2"/>
  <c r="S119" i="2"/>
  <c r="T119" i="2"/>
  <c r="D120" i="2"/>
  <c r="H120" i="2"/>
  <c r="N120" i="2"/>
  <c r="N122" i="2" s="1"/>
  <c r="R120" i="2"/>
  <c r="R122" i="2" s="1"/>
  <c r="J125" i="2"/>
  <c r="K125" i="2"/>
  <c r="L125" i="2"/>
  <c r="M125" i="2"/>
  <c r="N125" i="2"/>
  <c r="J126" i="2"/>
  <c r="K126" i="2"/>
  <c r="K130" i="2" s="1"/>
  <c r="L126" i="2"/>
  <c r="L130" i="2" s="1"/>
  <c r="M126" i="2"/>
  <c r="N126" i="2"/>
  <c r="O126" i="2"/>
  <c r="J129" i="2"/>
  <c r="K129" i="2"/>
  <c r="L129" i="2"/>
  <c r="M129" i="2"/>
  <c r="N129" i="2"/>
  <c r="Q129" i="2"/>
  <c r="J130" i="2"/>
  <c r="M130" i="2"/>
  <c r="N130" i="2"/>
  <c r="Q130" i="2"/>
  <c r="E136" i="2"/>
  <c r="F136" i="2" s="1"/>
  <c r="H136" i="2" s="1"/>
  <c r="I136" i="2"/>
  <c r="E137" i="2"/>
  <c r="F137" i="2" s="1"/>
  <c r="H137" i="2" s="1"/>
  <c r="H146" i="2"/>
  <c r="I146" i="2"/>
  <c r="J146" i="2"/>
  <c r="K146" i="2"/>
  <c r="H147" i="2"/>
  <c r="I147" i="2"/>
  <c r="J147" i="2"/>
  <c r="K147" i="2"/>
  <c r="D154" i="2"/>
  <c r="E154" i="2" s="1"/>
  <c r="G154" i="2"/>
  <c r="J154" i="2"/>
  <c r="K154" i="2" s="1"/>
  <c r="V154" i="2"/>
  <c r="L155" i="2" s="1"/>
  <c r="W154" i="2"/>
  <c r="X154" i="2"/>
  <c r="Y154" i="2"/>
  <c r="Z154" i="2"/>
  <c r="E155" i="2"/>
  <c r="K155" i="2"/>
  <c r="G156" i="2"/>
  <c r="G155" i="2" s="1"/>
  <c r="M156" i="2"/>
  <c r="D161" i="2"/>
  <c r="E161" i="2"/>
  <c r="F161" i="2"/>
  <c r="G161" i="2"/>
  <c r="J161" i="2"/>
  <c r="K161" i="2"/>
  <c r="L161" i="2"/>
  <c r="M161" i="2"/>
  <c r="E162" i="2"/>
  <c r="G162" i="2"/>
  <c r="K162" i="2"/>
  <c r="M162" i="2"/>
  <c r="D166" i="2"/>
  <c r="F166" i="2"/>
  <c r="J166" i="2"/>
  <c r="L166" i="2"/>
  <c r="F171" i="2"/>
  <c r="G171" i="2"/>
  <c r="H171" i="2" s="1"/>
  <c r="F172" i="2"/>
  <c r="G172" i="2"/>
  <c r="H172" i="2" s="1"/>
  <c r="D185" i="2"/>
  <c r="E185" i="2"/>
  <c r="F185" i="2"/>
  <c r="G185" i="2"/>
  <c r="H185" i="2"/>
  <c r="I185" i="2"/>
  <c r="D197" i="2"/>
  <c r="E197" i="2"/>
  <c r="F197" i="2"/>
  <c r="G197" i="2"/>
  <c r="H197" i="2"/>
  <c r="I197" i="2"/>
  <c r="K203" i="2"/>
  <c r="I205" i="2"/>
  <c r="K205" i="2" s="1"/>
  <c r="M205" i="2" s="1"/>
  <c r="J205" i="2"/>
  <c r="I209" i="2"/>
  <c r="J209" i="2"/>
  <c r="I211" i="2"/>
  <c r="J211" i="2"/>
  <c r="K211" i="2" s="1"/>
  <c r="I215" i="2"/>
  <c r="J215" i="2"/>
  <c r="K215" i="2" s="1"/>
  <c r="M217" i="2" s="1"/>
  <c r="I217" i="2"/>
  <c r="J217" i="2"/>
  <c r="K217" i="2"/>
  <c r="I221" i="2"/>
  <c r="J221" i="2"/>
  <c r="K221" i="2"/>
  <c r="M223" i="2" s="1"/>
  <c r="I223" i="2"/>
  <c r="K223" i="2" s="1"/>
  <c r="J223" i="2"/>
  <c r="I227" i="2"/>
  <c r="K227" i="2" s="1"/>
  <c r="J227" i="2"/>
  <c r="I229" i="2"/>
  <c r="J229" i="2"/>
  <c r="I233" i="2"/>
  <c r="K233" i="2" s="1"/>
  <c r="M235" i="2" s="1"/>
  <c r="J233" i="2"/>
  <c r="I235" i="2"/>
  <c r="J235" i="2"/>
  <c r="K235" i="2"/>
  <c r="I239" i="2"/>
  <c r="J239" i="2"/>
  <c r="K239" i="2"/>
  <c r="I241" i="2"/>
  <c r="J241" i="2"/>
  <c r="K241" i="2"/>
  <c r="M241" i="2"/>
  <c r="I245" i="2"/>
  <c r="J245" i="2"/>
  <c r="K245" i="2"/>
  <c r="I247" i="2"/>
  <c r="K247" i="2" s="1"/>
  <c r="J247" i="2"/>
  <c r="M247" i="2"/>
  <c r="I251" i="2"/>
  <c r="K251" i="2" s="1"/>
  <c r="J251" i="2"/>
  <c r="I253" i="2"/>
  <c r="K253" i="2" s="1"/>
  <c r="J253" i="2"/>
  <c r="I257" i="2"/>
  <c r="J257" i="2"/>
  <c r="I259" i="2"/>
  <c r="J259" i="2"/>
  <c r="K259" i="2" s="1"/>
  <c r="I263" i="2"/>
  <c r="J263" i="2"/>
  <c r="K263" i="2" s="1"/>
  <c r="M265" i="2" s="1"/>
  <c r="I265" i="2"/>
  <c r="J265" i="2"/>
  <c r="K265" i="2"/>
  <c r="I269" i="2"/>
  <c r="J269" i="2"/>
  <c r="K269" i="2"/>
  <c r="M271" i="2" s="1"/>
  <c r="I271" i="2"/>
  <c r="K271" i="2" s="1"/>
  <c r="J271" i="2"/>
  <c r="I275" i="2"/>
  <c r="K275" i="2" s="1"/>
  <c r="J275" i="2"/>
  <c r="I277" i="2"/>
  <c r="J277" i="2"/>
  <c r="I281" i="2"/>
  <c r="K281" i="2" s="1"/>
  <c r="M283" i="2" s="1"/>
  <c r="J281" i="2"/>
  <c r="I283" i="2"/>
  <c r="J283" i="2"/>
  <c r="K283" i="2"/>
  <c r="I287" i="2"/>
  <c r="J287" i="2"/>
  <c r="K287" i="2"/>
  <c r="I289" i="2"/>
  <c r="J289" i="2"/>
  <c r="K289" i="2"/>
  <c r="M289" i="2"/>
  <c r="I293" i="2"/>
  <c r="J293" i="2"/>
  <c r="K293" i="2"/>
  <c r="I295" i="2"/>
  <c r="K295" i="2" s="1"/>
  <c r="J295" i="2"/>
  <c r="M295" i="2"/>
  <c r="I299" i="2"/>
  <c r="K299" i="2" s="1"/>
  <c r="J299" i="2"/>
  <c r="I301" i="2"/>
  <c r="K301" i="2" s="1"/>
  <c r="J301" i="2"/>
  <c r="I303" i="2"/>
  <c r="J303" i="2"/>
  <c r="I305" i="2"/>
  <c r="J305" i="2"/>
  <c r="K305" i="2" s="1"/>
  <c r="I307" i="2"/>
  <c r="J307" i="2"/>
  <c r="K307" i="2" s="1"/>
  <c r="M311" i="2" s="1"/>
  <c r="I311" i="2"/>
  <c r="J311" i="2"/>
  <c r="K311" i="2"/>
  <c r="I313" i="2"/>
  <c r="J313" i="2"/>
  <c r="K313" i="2"/>
  <c r="M317" i="2" s="1"/>
  <c r="I317" i="2"/>
  <c r="K317" i="2" s="1"/>
  <c r="J317" i="2"/>
  <c r="I319" i="2"/>
  <c r="K319" i="2" s="1"/>
  <c r="J319" i="2"/>
  <c r="I323" i="2"/>
  <c r="J323" i="2"/>
  <c r="G328" i="2"/>
  <c r="P328" i="2" s="1"/>
  <c r="M328" i="2"/>
  <c r="O328" i="2"/>
  <c r="O329" i="2"/>
  <c r="P329" i="2"/>
  <c r="G330" i="2"/>
  <c r="M330" i="2"/>
  <c r="Q330" i="2" s="1"/>
  <c r="O330" i="2"/>
  <c r="O331" i="2"/>
  <c r="P331" i="2"/>
  <c r="G332" i="2"/>
  <c r="M332" i="2"/>
  <c r="Q332" i="2" s="1"/>
  <c r="O332" i="2"/>
  <c r="P332" i="2"/>
  <c r="Q336" i="2"/>
  <c r="Q337" i="2" s="1"/>
  <c r="T336" i="2"/>
  <c r="Q338" i="2"/>
  <c r="Q339" i="2" s="1"/>
  <c r="T338" i="2"/>
  <c r="W338" i="2"/>
  <c r="Q340" i="2"/>
  <c r="Q341" i="2"/>
  <c r="Q342" i="2"/>
  <c r="Q343" i="2" s="1"/>
  <c r="Q344" i="2"/>
  <c r="Q345" i="2" s="1"/>
  <c r="Q346" i="2"/>
  <c r="Q347" i="2"/>
  <c r="T345" i="2" s="1"/>
  <c r="E388" i="2"/>
  <c r="E389" i="2"/>
  <c r="F397" i="2"/>
  <c r="F398" i="2"/>
  <c r="D406" i="2"/>
  <c r="E406" i="2"/>
  <c r="F406" i="2"/>
  <c r="G406" i="2"/>
  <c r="H406" i="2"/>
  <c r="D407" i="2"/>
  <c r="E407" i="2"/>
  <c r="E409" i="2" s="1"/>
  <c r="E411" i="2" s="1"/>
  <c r="F407" i="2"/>
  <c r="G407" i="2"/>
  <c r="G409" i="2" s="1"/>
  <c r="G411" i="2" s="1"/>
  <c r="H407" i="2"/>
  <c r="I407" i="2"/>
  <c r="F409" i="2"/>
  <c r="F411" i="2"/>
  <c r="F415" i="2"/>
  <c r="I415" i="2"/>
  <c r="K415" i="2"/>
  <c r="F416" i="2"/>
  <c r="I416" i="2"/>
  <c r="M418" i="2"/>
  <c r="J421" i="2"/>
  <c r="K421" i="2"/>
  <c r="J422" i="2"/>
  <c r="K422" i="2"/>
  <c r="N435" i="2"/>
  <c r="O435" i="2"/>
  <c r="N436" i="2"/>
  <c r="O436" i="2"/>
  <c r="D437" i="2"/>
  <c r="E437" i="2"/>
  <c r="O437" i="2" s="1"/>
  <c r="O439" i="2" s="1"/>
  <c r="F437" i="2"/>
  <c r="G437" i="2"/>
  <c r="H437" i="2"/>
  <c r="I437" i="2"/>
  <c r="J437" i="2"/>
  <c r="K437" i="2"/>
  <c r="L437" i="2"/>
  <c r="N437" i="2"/>
  <c r="D438" i="2"/>
  <c r="E438" i="2"/>
  <c r="O438" i="2" s="1"/>
  <c r="F438" i="2"/>
  <c r="G438" i="2"/>
  <c r="H438" i="2"/>
  <c r="I438" i="2"/>
  <c r="J438" i="2"/>
  <c r="K438" i="2"/>
  <c r="L438" i="2"/>
  <c r="N438" i="2"/>
  <c r="N443" i="2"/>
  <c r="F444" i="2"/>
  <c r="N445" i="2"/>
  <c r="F446" i="2" s="1"/>
  <c r="D446" i="2"/>
  <c r="E446" i="2"/>
  <c r="D482" i="2"/>
  <c r="E482" i="2"/>
  <c r="F482" i="2"/>
  <c r="H482" i="2"/>
  <c r="D484" i="2"/>
  <c r="E484" i="2"/>
  <c r="F484" i="2"/>
  <c r="G484" i="2" s="1"/>
  <c r="H484" i="2"/>
  <c r="I484" i="2"/>
  <c r="F486" i="2"/>
  <c r="J486" i="2" s="1"/>
  <c r="D490" i="2"/>
  <c r="E490" i="2"/>
  <c r="F490" i="2"/>
  <c r="H490" i="2"/>
  <c r="D492" i="2"/>
  <c r="E492" i="2"/>
  <c r="F492" i="2"/>
  <c r="G492" i="2" s="1"/>
  <c r="H492" i="2"/>
  <c r="I492" i="2"/>
  <c r="F494" i="2"/>
  <c r="J494" i="2" s="1"/>
  <c r="D498" i="2"/>
  <c r="E498" i="2"/>
  <c r="F498" i="2"/>
  <c r="H498" i="2"/>
  <c r="D500" i="2"/>
  <c r="E500" i="2"/>
  <c r="F500" i="2"/>
  <c r="G500" i="2" s="1"/>
  <c r="H500" i="2"/>
  <c r="I500" i="2"/>
  <c r="F502" i="2"/>
  <c r="J502" i="2" s="1"/>
  <c r="D506" i="2"/>
  <c r="E506" i="2"/>
  <c r="F506" i="2"/>
  <c r="H506" i="2"/>
  <c r="D508" i="2"/>
  <c r="E508" i="2"/>
  <c r="F508" i="2"/>
  <c r="G508" i="2" s="1"/>
  <c r="H508" i="2"/>
  <c r="I508" i="2"/>
  <c r="F510" i="2"/>
  <c r="J510" i="2" s="1"/>
  <c r="D522" i="2"/>
  <c r="E522" i="2"/>
  <c r="F522" i="2"/>
  <c r="G522" i="2"/>
  <c r="H522" i="2"/>
  <c r="I522" i="2"/>
  <c r="J522" i="2"/>
  <c r="K522" i="2"/>
  <c r="D527" i="2"/>
  <c r="E527" i="2"/>
  <c r="G527" i="2" s="1"/>
  <c r="H527" i="2"/>
  <c r="J527" i="2" s="1"/>
  <c r="K527" i="2"/>
  <c r="L527" i="2"/>
  <c r="M527" i="2"/>
  <c r="D538" i="2"/>
  <c r="E538" i="2"/>
  <c r="G538" i="2"/>
  <c r="G539" i="2"/>
  <c r="G546" i="2"/>
  <c r="D547" i="2"/>
  <c r="G547" i="2" s="1"/>
  <c r="E547" i="2"/>
  <c r="C553" i="2"/>
  <c r="D553" i="2"/>
  <c r="L154" i="2" l="1"/>
  <c r="M154" i="2" s="1"/>
  <c r="M155" i="2"/>
  <c r="O129" i="2"/>
  <c r="P129" i="2"/>
  <c r="M37" i="2"/>
  <c r="Q37" i="2"/>
  <c r="P37" i="2" s="1"/>
  <c r="M35" i="2"/>
  <c r="Q35" i="2"/>
  <c r="P35" i="2" s="1"/>
  <c r="M33" i="2"/>
  <c r="Q33" i="2"/>
  <c r="P33" i="2" s="1"/>
  <c r="R32" i="2"/>
  <c r="P32" i="2"/>
  <c r="R30" i="2"/>
  <c r="P30" i="2"/>
  <c r="P120" i="2"/>
  <c r="P122" i="2" s="1"/>
  <c r="P38" i="2"/>
  <c r="P36" i="2"/>
  <c r="P34" i="2"/>
  <c r="F527" i="2"/>
  <c r="D528" i="2"/>
  <c r="D444" i="2"/>
  <c r="E444" i="2"/>
  <c r="N439" i="2"/>
  <c r="Q437" i="2"/>
  <c r="I406" i="2"/>
  <c r="T343" i="2"/>
  <c r="T348" i="2" s="1"/>
  <c r="Q328" i="2"/>
  <c r="O130" i="2"/>
  <c r="P130" i="2"/>
  <c r="T120" i="2"/>
  <c r="T122" i="2" s="1"/>
  <c r="O120" i="2"/>
  <c r="O122" i="2" s="1"/>
  <c r="I95" i="2"/>
  <c r="R37" i="2"/>
  <c r="J37" i="2"/>
  <c r="E37" i="2"/>
  <c r="R35" i="2"/>
  <c r="J35" i="2"/>
  <c r="E35" i="2"/>
  <c r="R33" i="2"/>
  <c r="J33" i="2"/>
  <c r="E33" i="2"/>
  <c r="E31" i="2"/>
  <c r="I31" i="2"/>
  <c r="I29" i="2"/>
  <c r="E29" i="2"/>
  <c r="N12" i="2"/>
  <c r="F447" i="2"/>
  <c r="H447" i="2" s="1"/>
  <c r="G540" i="2"/>
  <c r="I527" i="2"/>
  <c r="L522" i="2"/>
  <c r="M522" i="2"/>
  <c r="H409" i="2"/>
  <c r="H411" i="2" s="1"/>
  <c r="D409" i="2"/>
  <c r="D411" i="2" s="1"/>
  <c r="P330" i="2"/>
  <c r="K323" i="2"/>
  <c r="M323" i="2" s="1"/>
  <c r="K303" i="2"/>
  <c r="M305" i="2" s="1"/>
  <c r="M301" i="2"/>
  <c r="K277" i="2"/>
  <c r="M277" i="2" s="1"/>
  <c r="K257" i="2"/>
  <c r="M259" i="2" s="1"/>
  <c r="M253" i="2"/>
  <c r="K229" i="2"/>
  <c r="M229" i="2" s="1"/>
  <c r="K209" i="2"/>
  <c r="M211" i="2" s="1"/>
  <c r="K197" i="2"/>
  <c r="I137" i="2"/>
  <c r="O125" i="2"/>
  <c r="N94" i="2"/>
  <c r="E32" i="2"/>
  <c r="E30" i="2"/>
  <c r="Q31" i="2"/>
  <c r="Q29" i="2"/>
  <c r="P29" i="2" s="1"/>
  <c r="M29" i="2"/>
  <c r="I38" i="2"/>
  <c r="I36" i="2"/>
  <c r="I34" i="2"/>
  <c r="I32" i="2"/>
  <c r="I30" i="2"/>
  <c r="R29" i="2" l="1"/>
  <c r="J36" i="2"/>
  <c r="H36" i="2"/>
  <c r="P31" i="2"/>
  <c r="R31" i="2"/>
  <c r="J411" i="2"/>
  <c r="K411" i="2"/>
  <c r="H31" i="2"/>
  <c r="J31" i="2"/>
  <c r="W336" i="2"/>
  <c r="J30" i="2"/>
  <c r="H30" i="2"/>
  <c r="J38" i="2"/>
  <c r="H38" i="2"/>
  <c r="E447" i="2"/>
  <c r="E448" i="2" s="1"/>
  <c r="J34" i="2"/>
  <c r="H34" i="2"/>
  <c r="J32" i="2"/>
  <c r="H32" i="2"/>
  <c r="F448" i="2"/>
  <c r="H448" i="2" s="1"/>
  <c r="H29" i="2"/>
  <c r="J29" i="2"/>
  <c r="D408" i="2"/>
  <c r="D410" i="2" s="1"/>
  <c r="H408" i="2"/>
  <c r="H410" i="2" s="1"/>
  <c r="E408" i="2"/>
  <c r="E410" i="2" s="1"/>
  <c r="F408" i="2"/>
  <c r="F410" i="2" s="1"/>
  <c r="G408" i="2"/>
  <c r="G410" i="2" s="1"/>
  <c r="I444" i="2"/>
  <c r="G444" i="2"/>
  <c r="D447" i="2"/>
  <c r="G447" i="2" s="1"/>
  <c r="G446" i="2" s="1"/>
  <c r="AM114" i="1"/>
  <c r="K410" i="2" l="1"/>
  <c r="J410" i="2"/>
  <c r="D448" i="2"/>
  <c r="G448" i="2" s="1"/>
  <c r="AM52" i="1"/>
  <c r="AM115" i="1" l="1"/>
  <c r="AM18" i="1"/>
  <c r="AM19" i="1"/>
  <c r="AM20" i="1"/>
  <c r="AM21" i="1"/>
  <c r="AM22" i="1"/>
  <c r="AM23" i="1"/>
  <c r="AM24" i="1"/>
  <c r="AM25" i="1"/>
  <c r="AM26" i="1"/>
  <c r="AM27" i="1"/>
  <c r="AM28" i="1"/>
  <c r="AM116" i="1"/>
  <c r="AM29" i="1"/>
  <c r="AM30" i="1"/>
  <c r="AM36" i="1"/>
  <c r="AM37" i="1"/>
  <c r="AM38" i="1"/>
  <c r="AM39" i="1"/>
  <c r="AM40" i="1"/>
  <c r="AM41" i="1"/>
  <c r="AM42" i="1"/>
  <c r="AM117" i="1"/>
  <c r="AM118" i="1"/>
  <c r="AM119" i="1"/>
  <c r="AM43" i="1"/>
  <c r="AM44" i="1"/>
  <c r="AM45" i="1"/>
  <c r="AM46" i="1"/>
  <c r="AM47" i="1"/>
  <c r="AM48" i="1"/>
  <c r="AM49" i="1"/>
  <c r="AM120" i="1"/>
  <c r="AM50" i="1"/>
  <c r="AM51" i="1"/>
  <c r="AM53" i="1"/>
  <c r="AM54" i="1"/>
  <c r="AM55" i="1"/>
  <c r="AM56" i="1"/>
  <c r="AM57" i="1"/>
  <c r="AM58" i="1"/>
  <c r="AM60" i="1"/>
  <c r="AM61" i="1"/>
  <c r="AM62" i="1"/>
  <c r="AM63" i="1"/>
  <c r="AM64" i="1"/>
  <c r="AM65" i="1"/>
  <c r="AM66" i="1"/>
  <c r="AM68" i="1"/>
  <c r="AM71" i="1"/>
  <c r="AM73" i="1"/>
  <c r="AM74" i="1"/>
  <c r="AM75" i="1"/>
  <c r="AM76" i="1"/>
  <c r="AM121" i="1"/>
  <c r="AM122" i="1"/>
  <c r="AM123" i="1"/>
  <c r="AM77" i="1"/>
  <c r="AM124" i="1"/>
  <c r="AM125" i="1"/>
  <c r="AM78" i="1"/>
  <c r="AM126" i="1"/>
  <c r="AM79" i="1"/>
  <c r="AM80" i="1"/>
  <c r="AM81" i="1"/>
  <c r="AM82" i="1"/>
  <c r="AM83" i="1"/>
  <c r="AM84" i="1"/>
  <c r="AM85" i="1"/>
  <c r="AM86" i="1"/>
  <c r="AM87" i="1"/>
  <c r="AM127" i="1"/>
  <c r="AM128" i="1"/>
  <c r="AM92" i="1"/>
  <c r="AM130" i="1"/>
</calcChain>
</file>

<file path=xl/sharedStrings.xml><?xml version="1.0" encoding="utf-8"?>
<sst xmlns="http://schemas.openxmlformats.org/spreadsheetml/2006/main" count="5015" uniqueCount="1228">
  <si>
    <t>ID</t>
  </si>
  <si>
    <t>Article ID</t>
  </si>
  <si>
    <t>Author</t>
  </si>
  <si>
    <t>Title</t>
  </si>
  <si>
    <t>Dates pre-pandemic</t>
  </si>
  <si>
    <t>Dates during pandemic</t>
  </si>
  <si>
    <t>Narrow research field</t>
  </si>
  <si>
    <t>Broad research field</t>
  </si>
  <si>
    <t>Self reported or measured</t>
  </si>
  <si>
    <t>Broad productivity measure</t>
  </si>
  <si>
    <t>Specific productivity measure</t>
  </si>
  <si>
    <t>Region</t>
  </si>
  <si>
    <t>Data availability</t>
  </si>
  <si>
    <t>% women authors pre-pandemic</t>
  </si>
  <si>
    <t>% women authors during pandemic</t>
  </si>
  <si>
    <t>Gender accuracy</t>
  </si>
  <si>
    <t>Gender inference</t>
  </si>
  <si>
    <t>Additional calculations necessary?</t>
  </si>
  <si>
    <t>Raw values used in calculation of effect size</t>
  </si>
  <si>
    <t>Effect size used in MA</t>
  </si>
  <si>
    <t>Variance as 95% confidence interval</t>
  </si>
  <si>
    <t>Variance as standard error</t>
  </si>
  <si>
    <t>Sample size</t>
  </si>
  <si>
    <t>Date of search</t>
  </si>
  <si>
    <t>Second reviewer</t>
  </si>
  <si>
    <t>Data available for parent effect?</t>
  </si>
  <si>
    <t>Data available for geographic breakdown?</t>
  </si>
  <si>
    <t>Data available for career stage/age?</t>
  </si>
  <si>
    <t>Lerchenmüller et al.</t>
  </si>
  <si>
    <t>Longitudinal analyses of gender differences in First authorship Publications related to COVID-19</t>
  </si>
  <si>
    <t>1 February 2019 to 31 January 2020</t>
  </si>
  <si>
    <t>1 February 2020 to 31 January 2021</t>
  </si>
  <si>
    <t>Life sciences</t>
  </si>
  <si>
    <t>Measured</t>
  </si>
  <si>
    <t>Publications</t>
  </si>
  <si>
    <t>Worldwide</t>
  </si>
  <si>
    <t>Text page 2-3</t>
  </si>
  <si>
    <t>genderize.io database</t>
  </si>
  <si>
    <t>No, in text</t>
  </si>
  <si>
    <t>Proportion with event/Treatment = 0.377, Sample size/Treatment = 42898, Proportion with event/Control =0.451, Sample size/Control = 483232</t>
  </si>
  <si>
    <t>Standardised mean difference (binary proportions)</t>
  </si>
  <si>
    <t>AC</t>
  </si>
  <si>
    <t>I would opt for research area as life-sciences. my understadning is that this is not restricted research area. They only used this as COVID-19 research was 'brand new' so they could measure productivity from starting to publishing. But it is accross life sciences (the pre pandemic sample is as such). Second, I think that for the global numbers they have used the full dataset, and then the dataset was 'narrowed' down for the anlaysese on country or discipline specific ones. But the global numbers come from studies published in all life sci disciplines + any country. Finally, worth noting that they also did it per discipline/country and there is also data for that. Maybe can be used?</t>
  </si>
  <si>
    <t>Changed to life sciences. Unsure how to extract separate effect sizes per continent (because there are several continent effect sizes for 6 different timeframes in fig3b and for countries i am unsure how to extract effect sizes from colours in 6a) and per discipline (because i am unsure how to extract effect sizes from colours across 3 different timeframes in fig.2)</t>
  </si>
  <si>
    <t>No</t>
  </si>
  <si>
    <t>Maybe (Africa, Asia, Europe, Latin America, North America, Oceania interaction with gender but sample sizes unavailable to generate effect sizes)</t>
  </si>
  <si>
    <t>Proportion with event/Treatment = 0.305, Sample size/Treatment = 42898, Proportion with event/Control =0.319, Sample size/Control = 483232</t>
  </si>
  <si>
    <t>See above</t>
  </si>
  <si>
    <t>Williams et al.</t>
  </si>
  <si>
    <t>Impact of the Coronavirus Disease 2019 Pandemic on Authorship Gender in The Journal of Pediatrics: Disproportionate Productivity by International Male Researchers</t>
  </si>
  <si>
    <t>Different options to use here, but i have used April-May 2019</t>
  </si>
  <si>
    <t>Different options to use here, but I have used April -May 2020</t>
  </si>
  <si>
    <t>Pediatrics</t>
  </si>
  <si>
    <t>Submissions</t>
  </si>
  <si>
    <t>Worldwide (tohught separates US vs other)</t>
  </si>
  <si>
    <t>Table 1</t>
  </si>
  <si>
    <t>99% &amp; 70%</t>
  </si>
  <si>
    <t>Treatment Yes= 260, Treatment No= 262, Control Yes= 181, Control No=142</t>
  </si>
  <si>
    <t>Standardised mean difference (two by two table)</t>
  </si>
  <si>
    <t>I think we need to probably discuss which of the reported changes to use. Note that this article also separatly reports for Am vs other. So scope for a georgraphical analysis</t>
  </si>
  <si>
    <t>I agree- we can take 3 effect sizes fo All, International and US (table 1). Regarding the timeframe, i think we should use April-May not January-February as most countries were not in lockdown until after February.</t>
  </si>
  <si>
    <t>Yes (international vs US and interaction with gender)</t>
  </si>
  <si>
    <t>Bell &amp; Fong</t>
  </si>
  <si>
    <t>Gender Differences in First and Corresponding Authorship in Public Health Research Submissions During the COVID-19 Pandemic</t>
  </si>
  <si>
    <t>Dependent on country (before First date of 50 or more confirmed cases) but between January 1 to May 12, 2020,</t>
  </si>
  <si>
    <t>1 January to 12 May 2020 but exact time adjusted per countrl (start of pandemic defined as 50 or more confimed cases)</t>
  </si>
  <si>
    <t>Public health</t>
  </si>
  <si>
    <t>Multidisciplinary</t>
  </si>
  <si>
    <t>Worldwide (tohught separates 6 regions)</t>
  </si>
  <si>
    <t>Supplementary table A</t>
  </si>
  <si>
    <t>Gender API</t>
  </si>
  <si>
    <t>Yes, see "Calculations" sheet</t>
  </si>
  <si>
    <t>Treatment Yes= 407, Treatment No= 441, Control Yes= 267, Control No=226</t>
  </si>
  <si>
    <t>Yes (Africa Asia Australia/Oceania Europe North America South America and interaction with gender, but sample sizes &lt;20 other than North America)</t>
  </si>
  <si>
    <t>Quak et al.</t>
  </si>
  <si>
    <t>Author Gender Inequality in Medical Imaging Journals and the COVID-19 Pandemic</t>
  </si>
  <si>
    <t>March to May 2018 and 2019</t>
  </si>
  <si>
    <t>March to May 2020</t>
  </si>
  <si>
    <t>Medical imaging</t>
  </si>
  <si>
    <t>Worldwide (38% europe, 33.3% north america, 23.5% asia)</t>
  </si>
  <si>
    <t>NA</t>
  </si>
  <si>
    <t>Gender-API.com</t>
  </si>
  <si>
    <t>Treatment Yes= 725, Treatment No= 1172, Control Yes= 1523, Control No=2539</t>
  </si>
  <si>
    <t>Note, provides separate data for 3 regions. gives also data for COVID related research specifically</t>
  </si>
  <si>
    <t>We would have to take out numbers for separate continents from Figure 1 using web-plot-digitiser, if that is ok?</t>
  </si>
  <si>
    <t>Treatment Yes= 465, Treatment No= 1783, Control Yes= 717, Control No=2994</t>
  </si>
  <si>
    <t>Krukowski et al.</t>
  </si>
  <si>
    <t>Academic Productivity Differences by Gender and Child Age in Science, Technology, Engineering, Mathematics, and Medicine Faculty During the COVID-19 Pandemic</t>
  </si>
  <si>
    <t>mid-Jan to Mid-March 2020</t>
  </si>
  <si>
    <t>Mid March to mid-May 2020</t>
  </si>
  <si>
    <t>STEM</t>
  </si>
  <si>
    <t>Self-reported</t>
  </si>
  <si>
    <t>US</t>
  </si>
  <si>
    <t>Table 3</t>
  </si>
  <si>
    <t>Treatment Yes= 96, Treatment No= 79.2, Control Yes= 115.2, Control No=70.4</t>
  </si>
  <si>
    <t>Treatment Yes= 76.8, Treatment No= 70.4, Control Yes= 96, Control No=61.6</t>
  </si>
  <si>
    <t>Treatment Yes= 115.2, Treatment No= 79.2, Control Yes= 172.8, Control No=88</t>
  </si>
  <si>
    <t>King &amp; Frederickson</t>
  </si>
  <si>
    <t>The Pandemic Penalty: The Gendered Effects of COVID-19 on Scientific Productivity</t>
  </si>
  <si>
    <t>Mid March to mid-April 2019</t>
  </si>
  <si>
    <t>Mid March to mid-April 2020</t>
  </si>
  <si>
    <t>Preprints</t>
  </si>
  <si>
    <t>Text page 8</t>
  </si>
  <si>
    <t>R gender package (Mullen 2019)</t>
  </si>
  <si>
    <t>Treatment Yes= 7189, Treatment No= 27398, Control Yes= 7000, Control No=25750</t>
  </si>
  <si>
    <t>highlighted the differences in red</t>
  </si>
  <si>
    <t>Treatment Yes= 196, Treatment No= 1279, Control Yes= 189, Control No=1167</t>
  </si>
  <si>
    <t>Treatment Yes= 1721, Treatment No= 6004, Control Yes= 1480, Control No=5587</t>
  </si>
  <si>
    <t>0.0002 - 0.0867</t>
  </si>
  <si>
    <t>Treatment Yes= 4172, Treatment No= 13562, Control Yes= 4143, Control No=13167</t>
  </si>
  <si>
    <t>Treatment Yes= 1341, Treatment No= 6542, Control Yes= 1333, Control No=5915</t>
  </si>
  <si>
    <t>arXiv physics, math, computer science, and statistics, but it also accepts preprints in electrical engineering and systems science, quantitative finance, economics, and quantitative biology</t>
  </si>
  <si>
    <t>Treatment Yes= 9513, Treatment No= 15464, Control Yes= 7000, Control No=11139</t>
  </si>
  <si>
    <t>Treatment Yes= 23, Treatment No= 85, Control Yes= 17, Control No=62</t>
  </si>
  <si>
    <t>0.0167 - 0.1358</t>
  </si>
  <si>
    <t>Treatment Yes= 7393, Treatment No= 11216, Control Yes= 5210, Control No=7882</t>
  </si>
  <si>
    <t>Treatment Yes= 803, Treatment No= 2364, Control Yes= 677, Control No=1844</t>
  </si>
  <si>
    <t>Camerlink et al.</t>
  </si>
  <si>
    <t>Impacts of the COVID-19 pandemic on animal behaviour and welfare researchers⋆</t>
  </si>
  <si>
    <t>Animal behaviour and welfare</t>
  </si>
  <si>
    <t>Biological sciences</t>
  </si>
  <si>
    <t>Other</t>
  </si>
  <si>
    <t>Work-productivity during pandemics: working hours, percentage of time spent on research and education</t>
  </si>
  <si>
    <t>Worldwide (28 countries, ~60% from Europe)</t>
  </si>
  <si>
    <t>Text page 4</t>
  </si>
  <si>
    <t>Treatment group sample size (n) = 94
Control group sample size (n) = 20
F-test (2-group, one-way) = 13.81</t>
  </si>
  <si>
    <t>Standardised mean difference (F-tes, unequal sample size)</t>
  </si>
  <si>
    <t>0.4181 - 1.4121</t>
  </si>
  <si>
    <t>has also data on the influence of the care-role. differences in red</t>
  </si>
  <si>
    <t>I believe they have incorrectly put total sample size as 117, when it should be 114 (82.5% of respondants were women, which is 94/114 not 94/117), so it should be 94 women and 20 men when calculating effect size. Either that or 3 people did not report a gender. Regardless, in my analysis I exclude this dataset because of skewed data from 20 men of n=114 total respondants.</t>
  </si>
  <si>
    <t>Maybe (parent vs non-parents on research productivity and on amount of care by women and men during lockdown only)</t>
  </si>
  <si>
    <t>Maybe (PhD student, early career researcher, established, senior but not on interaction with gender)</t>
  </si>
  <si>
    <t>Rodriguez-Rivero et al.</t>
  </si>
  <si>
    <t>Is It Time for a Revolution in Work‒Life Balance? Reflections from Spain</t>
  </si>
  <si>
    <t>STEM (though it seems from table 4 that they work in different roles, including support stuff)</t>
  </si>
  <si>
    <t>General productivity</t>
  </si>
  <si>
    <t>Self reproted adverse effect of pandemics on work perfomance</t>
  </si>
  <si>
    <t>Spain (University Politecnica de Madrid)</t>
  </si>
  <si>
    <t>Table 8</t>
  </si>
  <si>
    <t>Mean/Treatment 3.49 SD/Treatment 1.984 N/Treatment 235
Mean/Control 3.51 SD/Control 2.070 N/Control 418</t>
  </si>
  <si>
    <t>Standardised mean difference (means and standard deviation)</t>
  </si>
  <si>
    <t>here we need to use reported mean and SD - changes to the table. for the sample size and % of women I have used the data from the table 8 for 'My work preformance has been adversely affected by the lockdown'</t>
  </si>
  <si>
    <t>Agreed</t>
  </si>
  <si>
    <t>Maybe (changes in care for women and men during lockdown)</t>
  </si>
  <si>
    <t>Myers et al.</t>
  </si>
  <si>
    <t>Unequal effects of the COVID-19 pandemic on scientists</t>
  </si>
  <si>
    <t>13-20 April 2020</t>
  </si>
  <si>
    <t>US and Europe</t>
  </si>
  <si>
    <t>Figure 2c, Text page 881</t>
  </si>
  <si>
    <t>I extracted effect sizes from measuring figure 2c, see "Calculations" sheet</t>
  </si>
  <si>
    <t>Yes (has 0-5 year old dependent and interaction with gender)</t>
  </si>
  <si>
    <t>Staniscuaski et al.</t>
  </si>
  <si>
    <t>Gender, race and parenthood impact academic productivity during the COVID-19 pandemic: from survey to action.</t>
  </si>
  <si>
    <t>not specified</t>
  </si>
  <si>
    <t>Brazil</t>
  </si>
  <si>
    <t>text, from bottom p4</t>
  </si>
  <si>
    <t>Chi-square value= 88.42, Sample size=3345</t>
  </si>
  <si>
    <t>Standardised mean difference (chi-square)</t>
  </si>
  <si>
    <t>Manuscript submission among male academics was less affected by the pandemic circumstances than that among women (Figure 1A), with a significant difference between men and women (χ2 = 88.42, P &lt; 0.0001).</t>
  </si>
  <si>
    <t>Yes (has child and interaction with gender)</t>
  </si>
  <si>
    <t>Muric et al.</t>
  </si>
  <si>
    <t>Gender Disparity in the Authorship of BioMedical Research Publications During the COVID-19 Pandemic: Retrospective Observational Study</t>
  </si>
  <si>
    <t>January 2019 to 15 March 2020</t>
  </si>
  <si>
    <t>15 March 2020 to 2 August 2020</t>
  </si>
  <si>
    <t>bioXriv</t>
  </si>
  <si>
    <t>table S3, table S5</t>
  </si>
  <si>
    <t>Standardised mean difference (means and standard errors)</t>
  </si>
  <si>
    <t>control = expected number of authors and proportion female authors estimated with OLS pre-pandemic model; treatment = observed during pandemic</t>
  </si>
  <si>
    <t>See "Calculations" sheet for values used</t>
  </si>
  <si>
    <t>Yes (Australia, Canada, China, France, Germany, India, Italy, Japan, United Kingdom, United States and interaction with gender)</t>
  </si>
  <si>
    <t>medRxiv</t>
  </si>
  <si>
    <t>Springer-Nature</t>
  </si>
  <si>
    <t>Breuning et al.</t>
  </si>
  <si>
    <t>The Great Equalizer? Gender, Parenting, and Scholarly Productivity During the Global Pandemic</t>
  </si>
  <si>
    <t>6-30 May 2020</t>
  </si>
  <si>
    <t>Political sciences and international studies</t>
  </si>
  <si>
    <t>Social sciences</t>
  </si>
  <si>
    <t>self-reported loss in productivity (unability to write/research at home compared to pre-pandemic level)</t>
  </si>
  <si>
    <t>USA (60%) + rest of the world</t>
  </si>
  <si>
    <t>table 1, statement1</t>
  </si>
  <si>
    <t>Treatment Yes=230, Treatment No=95,Control Yes=441, Control No= 181</t>
  </si>
  <si>
    <t>Standardised mean difference (two by two frequency table)</t>
  </si>
  <si>
    <t>table 1, top: perceived changes in productivity during pandemic as compared to pre-pandemic (men versus women: χ2 = 0.0104, P &lt; 0.995).</t>
  </si>
  <si>
    <t>Yes (parent vs non-parents on research productivity and interaction with gender)</t>
  </si>
  <si>
    <t>Fox &amp; Meyer</t>
  </si>
  <si>
    <t>The influence of the global COVID-19 pandemic on manuscript Submissions and editor and reviewer performance at six ecology journals</t>
  </si>
  <si>
    <t>15 March-1 October 2019</t>
  </si>
  <si>
    <t>15 March-1 October 2020</t>
  </si>
  <si>
    <t>Ecology</t>
  </si>
  <si>
    <t>Worldwide (BES journals)</t>
  </si>
  <si>
    <t>text,p7-8;Figure3</t>
  </si>
  <si>
    <t>Proportion with event/Treatment = 0.41, Sample size/Treatment = 3239, Proportion with event/Control =0.399, Sample size/Control = 2803</t>
  </si>
  <si>
    <t>Standardised means, binary proportions</t>
  </si>
  <si>
    <t>a different pre/post covid analysis gives different values, with a decrease in % female first authors when comparing post-15 March in 2020 to pre-15 March in 2020 (see p.7; but no sample size for jan-mar 2020)</t>
  </si>
  <si>
    <t>Proportion with event/Treatment = 0.401, Sample size/Treatment = 3239, Proportion with event/Control =0.386, Sample size/Control = 2803</t>
  </si>
  <si>
    <t>Cui et al.</t>
  </si>
  <si>
    <t>Gender Inequality in Research Productivity During the COVID-19 Pandemic</t>
  </si>
  <si>
    <t>3 Dec 2019 - 11 March 2020</t>
  </si>
  <si>
    <t>11 March 2020 - 19 May 2020</t>
  </si>
  <si>
    <t>Table3 (10 weeks post-lockdown); p8</t>
  </si>
  <si>
    <t>Genderize</t>
  </si>
  <si>
    <t>pre/post lockdown adjusted per country whenever lockdown came at a different date from 11 March 2020; I used 10 weeks post-lockdown values but possible to get 6-9 weeks post-lockdown too (do not differ much)</t>
  </si>
  <si>
    <t>Use aggreggated data</t>
  </si>
  <si>
    <t>Yes (Student, Assistant professor, Associate professor, Full professor and interaction with gender)</t>
  </si>
  <si>
    <t>Wehner et al.</t>
  </si>
  <si>
    <t>Comparison of the Proportions of Female and Male Corresponding Authors in Preprint Research Repositories before and during the COVID-19 Pandemic</t>
  </si>
  <si>
    <t>until 5 May 2020</t>
  </si>
  <si>
    <t>p1,3</t>
  </si>
  <si>
    <t>-0.03 to -0.24</t>
  </si>
  <si>
    <t>values also available specifically for USA / non USA (USA: n=1377; ES=-0.04; CI=-0.07 to 0.15 / non-USA: n=3804; ES=-0.17; CI=0.01 to 0.23)</t>
  </si>
  <si>
    <t>Effect sizes for US vs non-US readily available and easy to calculate, I may extract these later</t>
  </si>
  <si>
    <t>Yes (US vs Non-US and interaction with gender)</t>
  </si>
  <si>
    <t>until 20 May 2020</t>
  </si>
  <si>
    <t>bioRxiv</t>
  </si>
  <si>
    <t>0.01 to -0.12</t>
  </si>
  <si>
    <t>values also available specifically for USA / non USA (USA: n=17996; ES=-0.01; CI=-0.05 to 0.07 / non-USA: n=23209; ES=-0.04; CI=-0.02 to 0.10)</t>
  </si>
  <si>
    <t>Defilippis et al.</t>
  </si>
  <si>
    <t>Gender differences in publication authorship during covid-19: A bibliometric analysis of high-impact cardiology journals</t>
  </si>
  <si>
    <t>1 March - 1 June 2019</t>
  </si>
  <si>
    <t>1 March - 1 June 2020</t>
  </si>
  <si>
    <t>Cardiology, 4 select high-impact journals</t>
  </si>
  <si>
    <t>Table1</t>
  </si>
  <si>
    <t>Treatment Yes= 230, Treatment No= 608, Control Yes= 176, Control No=612</t>
  </si>
  <si>
    <t>Standardised mean difference (two by two frequency table</t>
  </si>
  <si>
    <t>0.0265-0.2758</t>
  </si>
  <si>
    <t>specific ES available per type publication (increase in % female first authors for editorials, but decrease in % female first authors for original research articles)</t>
  </si>
  <si>
    <t>Used overall publications because we don't split these up in other effect sizes</t>
  </si>
  <si>
    <t>Treatment Yes= 138, Treatment No= 578, Control Yes= 99, Control No=562</t>
  </si>
  <si>
    <t>0.0116-0.3237</t>
  </si>
  <si>
    <t>Nguyen et al.</t>
  </si>
  <si>
    <t>Impact of COVID-19 on longitudinal ophthalmology authorship gender trends</t>
  </si>
  <si>
    <t>1 January 2019 to 9 July 2019</t>
  </si>
  <si>
    <t>1 January 2020 to 9 July 2020</t>
  </si>
  <si>
    <t>Ophtalmology</t>
  </si>
  <si>
    <t>Treatment Yes= 566, Treatment No= 1359, Control Yes= 11697, Control No=21352</t>
  </si>
  <si>
    <t>Maybe (but difficult to extract)</t>
  </si>
  <si>
    <t>Treatment Yes= 119, Treatment No= 283, Control Yes= 2408, Control No=4065</t>
  </si>
  <si>
    <t>Treatment Yes= 371, Treatment No= 808, Control Yes= 7552, Control No=13018</t>
  </si>
  <si>
    <t>Treatment Yes= 76, Treatment No= 268, Control Yes= 1737, Control No=4269</t>
  </si>
  <si>
    <t>Andersen et al.</t>
  </si>
  <si>
    <t>Meta-Research: COVID-19 Medical papers have fewer women First authors than expected</t>
  </si>
  <si>
    <t>1 January 2019 - 31 December 2019</t>
  </si>
  <si>
    <t>1 January 2020 and 5 June 2020</t>
  </si>
  <si>
    <t>Covid 19</t>
  </si>
  <si>
    <t>Medicine</t>
  </si>
  <si>
    <t>USA</t>
  </si>
  <si>
    <t>Results page 3</t>
  </si>
  <si>
    <t>Treatment Proportion with event= 0.3263970969, Treatment Sample Size= 1929, Control Proportion with event= 0.379841519, Control sample size= 85373</t>
  </si>
  <si>
    <t>Standardised mean difference (from binary proportions) (38.0 vs 32.6)</t>
  </si>
  <si>
    <t>Calculated numbers for each section in Table 1 and added them up; used logit method for d</t>
  </si>
  <si>
    <t>Treatment Proportion with event= 0.3349663038, Treatment Sample Size= 1929, Control Proportion with event= 0.2839364905, Control sample size= 85373</t>
  </si>
  <si>
    <t>Standardised mean difference (from binary proportions) (35.1 vs 33.5)</t>
  </si>
  <si>
    <t>Treatment Proportion with event= 0.3349663038, Treatment Sample Size= 1929, Control Proportion with event= 0.3508699472, Control sample size= 85373</t>
  </si>
  <si>
    <t>Standardised mean difference (from binary proportions) (28.4 vs 28.0)</t>
  </si>
  <si>
    <t>Barber et al.</t>
  </si>
  <si>
    <t>What Explains Differences in Finance Research Productivity during the Pandemic?</t>
  </si>
  <si>
    <t>26 October 2020 - 04 November 2020 (survey)</t>
  </si>
  <si>
    <t>Finance association</t>
  </si>
  <si>
    <t>Self-reported productivity change on likert scale</t>
  </si>
  <si>
    <t>Figure 3</t>
  </si>
  <si>
    <t>Treatment Mean= 0.3505460218, Treatment SD= 0.2068772949, Treatment N= 335, Control Mean= 0.3974063963, Control SD= 0.1858026861, Control N= 673</t>
  </si>
  <si>
    <t>Standardised mean difference (from Mean &amp; Standard deviation) (male 1.96 sd 1.129; female 1.75 sd 1.043)</t>
  </si>
  <si>
    <t>Based on frequency of responses in Figure 3 (male 0.44 times 1, 0.34 times 2, etc)</t>
  </si>
  <si>
    <t>I understand this now. Thanks, though based on my calculations, I have effect size -0.2342, variance 0.0045, using values highlighted in green in "Calculations". The differences are small and likely arise from taking physical measurements from the figures slightly differently, so should not be an issue. I feel like the measuring tool in adobe is good and will stick with mine.</t>
  </si>
  <si>
    <t>Yes (child/ no child and interaction with gender)</t>
  </si>
  <si>
    <t>Yes (Student, Junior Faculty, Senior faculty and interaction with gender)</t>
  </si>
  <si>
    <t>Ghaffarizadeh et al.</t>
  </si>
  <si>
    <t>Life and work of researchers trapped in the COVID-19 pandemic vicious cycle</t>
  </si>
  <si>
    <t>01 December 2020 - 10 December 2020 (survey)</t>
  </si>
  <si>
    <t>Binary whether loss of research productivity</t>
  </si>
  <si>
    <t>USA + Europe</t>
  </si>
  <si>
    <t>Results Page 4</t>
  </si>
  <si>
    <t>Treatment Yes= 76, Treatment No= 217, Control Yes= 170, Control No=265</t>
  </si>
  <si>
    <t>Standardised mean difference (two by two table) (men 176 vs 112; women 323 vs 114)</t>
  </si>
  <si>
    <t>Based on proportion of men/women figure 1 and percentages in results</t>
  </si>
  <si>
    <t>I understand this now. Thanks, though based on my calculations, I have effect size -0.3311, variance 0.008342, using values highlighted in green in "Calculations". The differences are small and likely arise from taking physical measurements from the figures slightly differently, so should not be an issue. I feel like the measuring tool in adobe is good and will stick with mine.</t>
  </si>
  <si>
    <t>Maybe (Graduate students, Postdoctoral scholars, Faculties and research staff, but no interaction with gender studied, supplementary materials)</t>
  </si>
  <si>
    <t>Shalaby et al.</t>
  </si>
  <si>
    <t>Leveling the Field: Gender Inequity in Academia during COVID-19</t>
  </si>
  <si>
    <t>25 July 2020 - 28 July 2020 (survey)</t>
  </si>
  <si>
    <t>Political sciences</t>
  </si>
  <si>
    <t>Self reported ability to submit/complete work</t>
  </si>
  <si>
    <t>Worldwide (online survey with 77.98% respondants from North America)</t>
  </si>
  <si>
    <t>Figure 1b</t>
  </si>
  <si>
    <t>Treatment Yes= 22, Treatment No= 71, Control Yes= 23, Control No=54</t>
  </si>
  <si>
    <t>Standardised mean difference (two by two table) (men 59 vs 18; women 65 vs 28)</t>
  </si>
  <si>
    <t>Based on proportion decreased productivity Figure 1b</t>
  </si>
  <si>
    <t>I understand this now. Thanks, though based on my calculations, I have effect size -0.1754, variance 0.036942, using values highlighted in green in "Calculations". I think this is because you accidentally flipped the percentages for men and women around.</t>
  </si>
  <si>
    <t>Yes (children/no children and interaction with gender)</t>
  </si>
  <si>
    <t>Yes (but no interaction with gender studied, and no raw data, supplementary materials)</t>
  </si>
  <si>
    <t>Cook et al.</t>
  </si>
  <si>
    <t>Gender differences in authorship of obstetrics and gynecology Publications during the coronavirus disease 2019 pandemic</t>
  </si>
  <si>
    <t>1 January 2020 - 28 February 2020</t>
  </si>
  <si>
    <t>1 March 2020 - 31 June 2020</t>
  </si>
  <si>
    <t>Gynecology</t>
  </si>
  <si>
    <t>Results page 1</t>
  </si>
  <si>
    <t>Treatment Yes= 265, Treatment No= 148, Control Yes= 162, Control No=80</t>
  </si>
  <si>
    <t>Standardised mean difference (two by two table) (men 80 vs 162; women 148 vs 265)</t>
  </si>
  <si>
    <t>Based on numbers in Table 1</t>
  </si>
  <si>
    <t>I understand this</t>
  </si>
  <si>
    <t>Maybe (but no interaction with gender studied)</t>
  </si>
  <si>
    <t>Gender inequality in publishing during the COVID-19 pandemic</t>
  </si>
  <si>
    <t>1 July 2019 - 31 January 2020</t>
  </si>
  <si>
    <t>1 July 2020 - 31 January 2021</t>
  </si>
  <si>
    <t>Neuroimmunology</t>
  </si>
  <si>
    <t>Treatment Proportion with event= 0.5, Treatment Sample Size= 265, Control Proportion with event= 0.62, Control sample size= 265</t>
  </si>
  <si>
    <t>Treatment = pandemic; yes = women</t>
  </si>
  <si>
    <t>For proportions of female and male first authors during covid I use 0.5 and 0.5 as described in the text. I assume number of papers during covid matches the number of papers pre-covid (265).</t>
  </si>
  <si>
    <t>For proportions of female and male first authors during covid I assume numbers of articles published per month are equal and take the mean proportion of all months. I assume number of papers during covid matches the number of papers pre-covid (265).</t>
  </si>
  <si>
    <t>Cushman</t>
  </si>
  <si>
    <t>Gender gap in women authors is not worse during COVID-19 pandemic: Results from Research and Practice in Thrombosis and Haemostasis</t>
  </si>
  <si>
    <t>1 March 2019 - 21 May 2019</t>
  </si>
  <si>
    <t>1 March 2020 - 21 May 2020</t>
  </si>
  <si>
    <t>Thrombosis</t>
  </si>
  <si>
    <t>Treatment Yes= 26, Treatment No= 5, Control Yes= 48, Control No=10</t>
  </si>
  <si>
    <t>Standardised mean difference (two by two table) (men 10 vs 48; women 26 vs 48)</t>
  </si>
  <si>
    <t>I think I understand this but should it not be (men 10 vs 48; women 5 vs 26) - see "Calculations" sheet</t>
  </si>
  <si>
    <t>Treatment Yes= 28, Treatment No= 6, Control Yes= 46, Control No=9</t>
  </si>
  <si>
    <t>Standardised mean difference (two by two table) (men 9 vs 46; women 6 vs 28)</t>
  </si>
  <si>
    <t>Ipe et al.</t>
  </si>
  <si>
    <t>The impact of COVID-19 on academic productivity by female physicians and researchers in transfusion medicine</t>
  </si>
  <si>
    <t>1 July 2019 - 31 July 2019</t>
  </si>
  <si>
    <t>1 July 2020 - 31 July 2020</t>
  </si>
  <si>
    <t>Transfusion</t>
  </si>
  <si>
    <t>Figure 2</t>
  </si>
  <si>
    <t>Treatment Yes= 210, Treatment No= 248, Control Yes= 181, Control No=257</t>
  </si>
  <si>
    <t>Standardised mean difference (two by two table) (men 257 vs 282; women 248 vs 210)</t>
  </si>
  <si>
    <t>Standardised mean difference (two by two table) (men 331 vs 318; women 181 vs 175</t>
  </si>
  <si>
    <t>Davis</t>
  </si>
  <si>
    <t>Are we failing female and racialized academics? A Canadian national survey examining the impacts of the COVID-19 pandemic on tenure and tenuretrack faculty</t>
  </si>
  <si>
    <t>May/June 2020</t>
  </si>
  <si>
    <t>Not specified</t>
  </si>
  <si>
    <t>Whether the pandemic created low productivity (Y/N)</t>
  </si>
  <si>
    <t>Canada</t>
  </si>
  <si>
    <t>Treatment Yes= 128, Treatment No= 186, Control Yes= 203, Control No=159</t>
  </si>
  <si>
    <t>I use "low productivity" in table 3</t>
  </si>
  <si>
    <t>Impact of the Early COVID-19 Pandemic on Gender Participation in Academic Publishing in Radiation Oncology</t>
  </si>
  <si>
    <t>December 2015- March 1 2020</t>
  </si>
  <si>
    <t>March 1 2020- end of May 2020</t>
  </si>
  <si>
    <t>Radiation oncology</t>
  </si>
  <si>
    <t>Treatment Yes= 38, Treatment No= 90, Control Yes= 288, Control No=540</t>
  </si>
  <si>
    <t>Yes (senior vs non-senior and interaction with gender)</t>
  </si>
  <si>
    <t>Table 2</t>
  </si>
  <si>
    <t>Treatment Yes= 39, Treatment No= 92, Control Yes= 200, Control No=582</t>
  </si>
  <si>
    <t>COVID-19 effect on the gender gap in academic publishing</t>
  </si>
  <si>
    <t>psychology</t>
  </si>
  <si>
    <t>Sent upon request</t>
  </si>
  <si>
    <t>Treatment Yes= 3647, Treatment No= 16034, Control Yes= 9181, Control No=8003</t>
  </si>
  <si>
    <t>mathematics</t>
  </si>
  <si>
    <t>Treatment Yes= 383, Treatment No= 1857, Control Yes= 5300, Control No=23865</t>
  </si>
  <si>
    <t>philopsophy</t>
  </si>
  <si>
    <t>Treatment Yes= 443, Treatment No= 1260, Control Yes= 1747, Control No=3919</t>
  </si>
  <si>
    <t>materials science</t>
  </si>
  <si>
    <t>Treatment Yes= 2111, Treatment No= 6352, Control Yes= 4365, Control No=12023</t>
  </si>
  <si>
    <t>earth sciences</t>
  </si>
  <si>
    <t>Treatment Yes= 5531, Treatment No= 17112, Control Yes= 5712, Control No=17202</t>
  </si>
  <si>
    <t>environment</t>
  </si>
  <si>
    <t>Treatment Yes= 12826, Treatment No= 20970, Control Yes= 8234, Control No=13601</t>
  </si>
  <si>
    <t>statistics</t>
  </si>
  <si>
    <t>Treatment Yes= 156, Treatment No= 632, Control Yes= 429, Control No=1354</t>
  </si>
  <si>
    <t>education</t>
  </si>
  <si>
    <t>Treatment Yes= 7293, Treatment No= 6515, Control Yes= 4133, Control No=4053</t>
  </si>
  <si>
    <t>0.0213-0.0816</t>
  </si>
  <si>
    <t>biomedicine</t>
  </si>
  <si>
    <t>Treatment Yes= 12062, Treatment No= 16620, Control Yes= 30818, Control No=43248</t>
  </si>
  <si>
    <t>engineering</t>
  </si>
  <si>
    <t>Treatment Yes= 2697, Treatment No= 10946, Control Yes= 4553, Control No=19235</t>
  </si>
  <si>
    <t>medicine</t>
  </si>
  <si>
    <t>Treatment Yes= 18081, Treatment No= 30933, Control Yes= 32862, Control No=56063</t>
  </si>
  <si>
    <t>Treatment Yes= 3188, Treatment No= 4070, Control Yes= 1374, Control No=1616</t>
  </si>
  <si>
    <t>life sciences</t>
  </si>
  <si>
    <t>Treatment Yes= 13424, Treatment No= 21949, Control Yes= 19076, Control No=31851</t>
  </si>
  <si>
    <t>economics</t>
  </si>
  <si>
    <t>Treatment Yes= 4531, Treatment No= 14269, Control Yes= 1684, Control No=4642</t>
  </si>
  <si>
    <t>chemistry</t>
  </si>
  <si>
    <t>Treatment Yes= 5842, Treatment No= 9914, Control Yes= 11616, Control No=19311</t>
  </si>
  <si>
    <t>computer science</t>
  </si>
  <si>
    <t>Treatment Yes= 705, Treatment No= 2466, Control Yes= 3085, Control No=12902</t>
  </si>
  <si>
    <t>0.0475-0.1495</t>
  </si>
  <si>
    <t>business and management</t>
  </si>
  <si>
    <t>Treatment Yes= 1797, Treatment No= 4612, Control Yes= 1687, Control No=4655</t>
  </si>
  <si>
    <t>physics</t>
  </si>
  <si>
    <t>Treatment Yes= 462, Treatment No= 1985, Control Yes= 3212, Control No=16273</t>
  </si>
  <si>
    <t>0.0313- 0.1505</t>
  </si>
  <si>
    <t>energy</t>
  </si>
  <si>
    <t>Treatment Yes= 932, Treatment No= 2094, Control Yes= 395, Control No=1137</t>
  </si>
  <si>
    <t>0.0605-0.2127</t>
  </si>
  <si>
    <t>geography</t>
  </si>
  <si>
    <t>Treatment Yes= 249, Treatment No= 731, Control Yes= 210, Control No=603</t>
  </si>
  <si>
    <t>dentistry</t>
  </si>
  <si>
    <t>Treatment Yes= 2550, Treatment No= 3766, Control Yes= 1584, Control No=2561</t>
  </si>
  <si>
    <t>0.0056- 0.0942</t>
  </si>
  <si>
    <t>Female authorship of covid-19 research in manuscripts submitted to 11 biomedical journals: cross sectional study</t>
  </si>
  <si>
    <t>2018-2019</t>
  </si>
  <si>
    <t>January 2020- May 2021 (but also breaks down phase of pandemic)</t>
  </si>
  <si>
    <t>Nine specialist and two large general medical journals</t>
  </si>
  <si>
    <t>Worldwide (but has data for Africa North America Latin America Europe Oceania China Rest of Asia)</t>
  </si>
  <si>
    <t>Table A supplementary materials</t>
  </si>
  <si>
    <t>Gender API, genderize and salutation (mr/m,ms/mrs/miss)</t>
  </si>
  <si>
    <t>Treatment Yes= 9896, Treatment No= 12745, Control Yes= 12724, Control No=14961</t>
  </si>
  <si>
    <t>Yes (Africa, China, Europe, Latin America, North America, Oceania, Rest of Asia and interaction with gender)</t>
  </si>
  <si>
    <t>Treatment Yes= 7114, Treatment No= 16077, Control Yes= 8923, Control No=19495</t>
  </si>
  <si>
    <t>Treatment Yes= 8392, Treatment No= 14712, Control Yes= 10981, Control No=17262</t>
  </si>
  <si>
    <t>Scholarly Productivity in Clinical Pharmacology Amid Pandemic-Related Workforce Disruptions: Are Men and Women Affected Equally?</t>
  </si>
  <si>
    <t>January 1 - December 31 2020</t>
  </si>
  <si>
    <t>Clinical Pharmacology and Therapeutics</t>
  </si>
  <si>
    <t>Worldwide (but The majority of submissions were received from North America (1,556), followed by Europe (1,144), and the Asia-Pacific (648))</t>
  </si>
  <si>
    <t>Figure 1</t>
  </si>
  <si>
    <t>An exhaustive internet search, including institutional affiliations, professional organizations, publication databases, social media sites, and online biographical references.</t>
  </si>
  <si>
    <t>Treatment Yes= 472, Treatment No= 823, Control Yes= 722, Control No=1294</t>
  </si>
  <si>
    <t>Burnout syndrome in pediatric urology: A perspective during the COVID-19 pandemic d Ibero-American survey</t>
  </si>
  <si>
    <t>Weeks 28-32 2020</t>
  </si>
  <si>
    <t>members of the two major associations of pediatric urology in Ibero-America (the Ibero- American Society of Pediatric Urology [SIUP] and the Brazilian School of Pediatric Urology [BSPU])</t>
  </si>
  <si>
    <t>Burn-out</t>
  </si>
  <si>
    <t>Work-related burnout</t>
  </si>
  <si>
    <t>Ibero-America (14 countries. Brazil 45.7%, Argentina 11.4%, Chile 10.9%, Mexico 9.7%, Colombia 8.6%, and others 13.7%)</t>
  </si>
  <si>
    <t>Figure 3b</t>
  </si>
  <si>
    <t>Treatment Yes= 17, Treatment No= 28, Control Yes= 114, Control No=18</t>
  </si>
  <si>
    <t>Impact of COVID-19 on access to laboratories and human participants: exercise science faculty perspectives</t>
  </si>
  <si>
    <t>January 2021 (about Fall 2020)</t>
  </si>
  <si>
    <t>exercise science faculty</t>
  </si>
  <si>
    <t>Research productivity</t>
  </si>
  <si>
    <t>United States</t>
  </si>
  <si>
    <t>Treatment Yes= 22, Treatment No= 30, Control Yes= 17, Control No=31</t>
  </si>
  <si>
    <t>Faculty - An Exacerbation of Gender Differences in Unpaid Home Duties and Professional Productivity</t>
  </si>
  <si>
    <t>October 27 and November 24, 2020</t>
  </si>
  <si>
    <t>Association of University Radiologists</t>
  </si>
  <si>
    <t>Work productivity from home</t>
  </si>
  <si>
    <t>Text page 3</t>
  </si>
  <si>
    <t>Standardised mean difference (means and sds)</t>
  </si>
  <si>
    <t>Journal submissions, review and editorial decision patterns during initial COVID-19 restrictions</t>
  </si>
  <si>
    <t>1 January 2018- 23 March 2020</t>
  </si>
  <si>
    <t>23 March 2020- 31 July 2020</t>
  </si>
  <si>
    <t>four leading agricultural economics journals1 (Clarivate Analytics, 2020) – the American Journal of Agricultural Economics (AJAE), Applied Economic Perspectives and Policy (AEPP), Food Policy (FP), and the Journal of Agricultural Economics (JAE)</t>
  </si>
  <si>
    <t>USA 23.93%, China 10.57%, India 5.61%, Germany 4.64%, UK 4.38%, Italy 4.3%, Australia 2.53%, France 2.42%, Spain 2.42%, Canada 2.2%</t>
  </si>
  <si>
    <t>Table 6</t>
  </si>
  <si>
    <t>Standardised mean difference (means and ses)</t>
  </si>
  <si>
    <t>COVID-19 Disruptions disproportionately affect female academics</t>
  </si>
  <si>
    <t>May 27, 2020 to July 21, 2020</t>
  </si>
  <si>
    <t>Hours of research per day</t>
  </si>
  <si>
    <t>Table B5</t>
  </si>
  <si>
    <t>Treatment N= 8004, Control N=11901, p-value t-test=0.000099</t>
  </si>
  <si>
    <t>Standardised mean difference (t-test p-value unequal sample sizes)</t>
  </si>
  <si>
    <t>Yes (effect of number of children- 0,1,2 or 3+ and interaction with gender on hours of research per day)</t>
  </si>
  <si>
    <t>No (has effect of ethinicity on research, but not ethnicity interaction with gender)</t>
  </si>
  <si>
    <t>Maybe (only effect of age, not interaction with gender)</t>
  </si>
  <si>
    <t>June 10- July 15 2020.</t>
  </si>
  <si>
    <t>Anthropology, Political Science, Sociology and International Relations</t>
  </si>
  <si>
    <t>Pandemic effect on academic productivity</t>
  </si>
  <si>
    <t>No (has effect of white/ non-white on research, but not ethnicity interaction with gender)</t>
  </si>
  <si>
    <t>Premature evaluation? Some cautionary thoughts on global pandemics and scholarly publishing</t>
  </si>
  <si>
    <t>April-May 2019</t>
  </si>
  <si>
    <t>April-May 2020</t>
  </si>
  <si>
    <t>Critical Public Health (CPH)</t>
  </si>
  <si>
    <t>Figure 1 and 2</t>
  </si>
  <si>
    <t>Google search</t>
  </si>
  <si>
    <t>Treatment Yes=60, Treatment No= 37, Control Yes= 33, Control No=23</t>
  </si>
  <si>
    <t>Psychiatric genomics research during the COVID-19 pandemic: A survey of Psychiatric Genomics Consortium researchers</t>
  </si>
  <si>
    <t>April 20, 2020 and June 19, 2020</t>
  </si>
  <si>
    <t>Psychiatric Genomics Consortium (PGC)</t>
  </si>
  <si>
    <t>Disruption from having to work from home</t>
  </si>
  <si>
    <t>Maybe (tenure/non-tenure/trainee effect, but no interaction with gender)</t>
  </si>
  <si>
    <t>The unequal effects of covid-19 on economists' research productivity</t>
  </si>
  <si>
    <t>January- April 2015-2019</t>
  </si>
  <si>
    <t>January- April 2020</t>
  </si>
  <si>
    <t>NBER Working Papers Series, the CEPR Discussion Paper Series, the newly established research repository Covid Economics: Vetted and Real Time Papers and VoxEU columns</t>
  </si>
  <si>
    <t>Working papers</t>
  </si>
  <si>
    <t>Appendix Table 1</t>
  </si>
  <si>
    <t>70% but then manually assigned the rest</t>
  </si>
  <si>
    <t>genderize.io API</t>
  </si>
  <si>
    <t>Treatment Yes=725, Treatment No= 2777, Control Yes= 481, Control No=1829</t>
  </si>
  <si>
    <t>Yes (PhD/Postdoc, Junior, midcareer, Senior, other and interaction with gender)</t>
  </si>
  <si>
    <t>Effects of the COVID-19 Pandemic on Authors and Reviewers of American Geophysical Union Journals</t>
  </si>
  <si>
    <t>March 2018–February 2020</t>
  </si>
  <si>
    <t>March 2020–February 2021</t>
  </si>
  <si>
    <t>journals published by the American Geophysical Union (AGU)</t>
  </si>
  <si>
    <t>Figure 1 a and c</t>
  </si>
  <si>
    <t>Treatment Yes=3858, Treatment No= 13459, Control Yes= 7211, Control No=24410</t>
  </si>
  <si>
    <t>Maybe (age and broken down into male and female, but sample sizes not given)</t>
  </si>
  <si>
    <t>Trade-off between urgency and reduced editorial capacity affect publication speed in ecological and medical journals during 2020</t>
  </si>
  <si>
    <t>8 ecology journals (BMC Ecology Conservation Letters Ecology and Evolution Ecosphere Frontiers in Ecology and Evolution Landscape Ecology Nature Ecology and Evolution Perspectives in Ecology and Conservation)</t>
  </si>
  <si>
    <t>Table 2 and Figure 3</t>
  </si>
  <si>
    <t>Treatment Yes=379, Treatment No= 544, Control Yes= 598, Control No=966</t>
  </si>
  <si>
    <t>Treatment Yes=207, Treatment No= 688, Control Yes= 398, Control No=1130</t>
  </si>
  <si>
    <t>8 medicine journals (BMC Medicine BMJ Open Clinical Infectious Disease eLife - Medicine Journal of Biomedical Science Journal of Clinical Immunology Nature Medicine Plos Medicine)</t>
  </si>
  <si>
    <t>Treatment Yes=513, Treatment No= 629, Control Yes= 916, Control No=973</t>
  </si>
  <si>
    <t>Treatment Yes=367, Treatment No= 753, Control Yes= 590, Control No=1286</t>
  </si>
  <si>
    <t>Gender trends in authorship of Pediatric Radiology publications and impact of the COVID‑19 pandemic</t>
  </si>
  <si>
    <t>2017-2019</t>
  </si>
  <si>
    <t>Pediatric Radiology journal</t>
  </si>
  <si>
    <t>North America</t>
  </si>
  <si>
    <t>Treatment Yes=103, Treatment No= 128, Control Yes= 78, Control No=94</t>
  </si>
  <si>
    <t>Treatment Yes=78, Treatment No= 153, Control Yes= 74, Control No=98</t>
  </si>
  <si>
    <t>Treatment Yes=94, Treatment No= 137, Control Yes= 68, Control No=104</t>
  </si>
  <si>
    <t>Winners and Losers in Academic Productivity During the COVID-19 Pandemic: Is the Gender Gap Widening for Faculty?</t>
  </si>
  <si>
    <t>August and September of 2020</t>
  </si>
  <si>
    <t>faculty from a private Midwest academic medical center</t>
  </si>
  <si>
    <t>Academic productivity</t>
  </si>
  <si>
    <t>Treatment Yes=50, Treatment No= 137, Control Yes= 35, Control No=68</t>
  </si>
  <si>
    <t>Maybe (&lt;11 child, but not on interaction with gender)</t>
  </si>
  <si>
    <t>Maybe (professor/other, but not on interaction with gender)</t>
  </si>
  <si>
    <t>Research interrupted: The impact of the COVID-19 pandemic on multiple sclerosis research in the field of rehabilitation and quality of life</t>
  </si>
  <si>
    <t>January-February 2021</t>
  </si>
  <si>
    <t>rehabilitation and quality of life (QoL) research in multiple sclerosis (MS)</t>
  </si>
  <si>
    <t>Research productivity decrease following COVID-19 relative to other gender</t>
  </si>
  <si>
    <t>18 different countries, including the USA (n=24), Italy (n=16), Canada (n=10), Austria (n=9), France (n=4), the UK (n=3), Turkey (n=3), Ireland (n=3), Belgium (n=3), Norway (n=2), Switzerland (n=1), Spain (n=1), Slovenia (n=1), Israel (n=1), Germany (n=1), Finland (n=1), the Czech Republic (n=1), and Australia (n=1).</t>
  </si>
  <si>
    <t>Text page 5</t>
  </si>
  <si>
    <t>Gender gap in journal submissions and peer review during the first wave of the COVID-19 pandemic. A study on 2329 Elsevier journals</t>
  </si>
  <si>
    <t>Feb-May 2018 and Feb-May 2019</t>
  </si>
  <si>
    <t>Feb-May 2020</t>
  </si>
  <si>
    <t>Elsevier Health &amp; Medicine articles</t>
  </si>
  <si>
    <t>Python package gender-guesser and gender API</t>
  </si>
  <si>
    <t>Yes (age 0-20 or 20-60 since first publication, and on interaction with gender)</t>
  </si>
  <si>
    <t>Elsevier Life sciences</t>
  </si>
  <si>
    <t>Elsevier Physical Sciences &amp; Engineering</t>
  </si>
  <si>
    <t>Exploratory Investigation of Gender Differences in School Psychology Publishing Before and During the Initial Phase of COVID-19</t>
  </si>
  <si>
    <t>March-May 2017, 2018, 2019</t>
  </si>
  <si>
    <t>March-May 2020</t>
  </si>
  <si>
    <t>three school psychology journals: Canadian Journal of School Psychology (CJSP), Journal of School Psychology (JSP), and School Psychology (SP; formerly School Psychology Quarterly).</t>
  </si>
  <si>
    <t>Pérez (2016) Gender Guesser software package</t>
  </si>
  <si>
    <t>Treatment Yes=108, Treatment No= 67, Control Yes= 305, Control No=220</t>
  </si>
  <si>
    <t>Gender and authorship patterns in urban land science</t>
  </si>
  <si>
    <t>Jan 2019- Various depending on region</t>
  </si>
  <si>
    <t>Various depending on region- December 2020</t>
  </si>
  <si>
    <t>Urban land science</t>
  </si>
  <si>
    <t>Table 1 and Appendix</t>
  </si>
  <si>
    <t>Gender API controlling for region and manually searching low accuracy names</t>
  </si>
  <si>
    <t>Treatment Yes=65, Treatment No= 56, Control Yes= 105, Control No=154</t>
  </si>
  <si>
    <t>0.0535-0.5332</t>
  </si>
  <si>
    <t>Yes (continents asia, north america, europe, oceania, africa, south america and interaction with gender)</t>
  </si>
  <si>
    <t>Potentially long-lasting effects of the pandemic on scientists</t>
  </si>
  <si>
    <t>April 2020 - January 2021</t>
  </si>
  <si>
    <t>Projects</t>
  </si>
  <si>
    <t>Number of new research projects</t>
  </si>
  <si>
    <t>Supplementary Figure 7</t>
  </si>
  <si>
    <t>Maybe (effect of child and child age, but not on interaction with gender)</t>
  </si>
  <si>
    <t>Maybe (tenured or not and age, but not on interaction with gender)</t>
  </si>
  <si>
    <t>Impacts of the COVID-19 Pandemic on Women and Early Career Archaeologists</t>
  </si>
  <si>
    <t>March 2020 to June 2021</t>
  </si>
  <si>
    <t>archaeology</t>
  </si>
  <si>
    <t>Academic job loss</t>
  </si>
  <si>
    <t>majority of respondents live in the United States (86% n = 491), with smaller numbers of respondents from Canada (5%, n = 27), the UK (4%, n = 22), and the European Union (3%, n = 16)</t>
  </si>
  <si>
    <t>Supplementary Table 1</t>
  </si>
  <si>
    <t>Treatment Yes=17, Treatment No= 209, Control Yes= 56, Control No=273</t>
  </si>
  <si>
    <t>Yes (age group 18-34, 35-54, 55+ and on interaction with gender)</t>
  </si>
  <si>
    <t>The differential impact of COVID-19 on the work conditions of women and men academics during the lockdown</t>
  </si>
  <si>
    <t>10 and 20 June 2020</t>
  </si>
  <si>
    <t>Effect of COVID-19 pandemic on work from home</t>
  </si>
  <si>
    <t>90 per cent of our sample consist of academics working in France, Germany, Italy, Norway, Sweden, Turkey, UK and the United States</t>
  </si>
  <si>
    <t>Maybe (effect of child, but not on interaction with gender)</t>
  </si>
  <si>
    <t>not sure about the suitability of broad research field as the Journal seems to be publishing also non-medical research stuff. E.g. public heath law, environmental health etc (2) also, reprots US vs other separately so can be used.</t>
  </si>
  <si>
    <t>Changed broad research field to multidisciplinary. Agree could split into continents from Supplementary Table A, but these sample sizes are small. How to geographically group them?</t>
  </si>
  <si>
    <t>Yes (Africa, Asia, Europe, Middle East, North America, Oceania, South America and interaction with gender)</t>
  </si>
  <si>
    <t>I have used all the metrics provided: for first, last or mid authroship. Plus, they reprot the submission rate with SD, not the percantage of authors - so basically this ES needs to be calulcated in a different way. We need to include new column to this table for it. Also, they reprot on grants subbmitted, but think this is not what we have decided to use?</t>
  </si>
  <si>
    <t>See "Calculations" sheet for method.</t>
  </si>
  <si>
    <t>I calculated numbers using data provided in the text. Eg. Page 8 "112 more preprints sole authored
by men but just 7 more preprints sole-authored by
women in March and April 2020 than in March and April
2019, representing increases of 9.6 percent and 3.7 percent,
respectively" can be used to calculated pre and during pandemic numbers of preprints. See "Calculations" sheet for details</t>
  </si>
  <si>
    <t>Research hours per week</t>
  </si>
  <si>
    <t>Yes (interaction of age in decades with being female)</t>
  </si>
  <si>
    <t>Treatment Mean= 0.37, Treatment SE=0.004, Treatment Sample size=495.626, Control Mean= 0.367, Control SE=0.008, Control Sample size=13156.66</t>
  </si>
  <si>
    <t>Treatment Mean= 0.233, Treatment SE=0.004, Treatment Sample size=495.626, Control Mean= 0.235, Control SE=0.007, Control Sample size=13156.66</t>
  </si>
  <si>
    <t>Treatment Mean= 0.344, Treatment SE=0.002, Treatment Sample size=495.626, Control Mean= 0.342, Control SE=0.003, Control Sample size=13156.66</t>
  </si>
  <si>
    <t>Treatment Mean= 0.165, Treatment SE=0.016, Treatment Sample size=495.626, Control Mean= 0.209, Control SE=0.035, Control Sample size=13156.66</t>
  </si>
  <si>
    <t>Treatment Mean= 0.3, Treatment SE=0.009, Treatment Sample size=198.779, Control Mean= 0.367, Control SE=0.055, Control Sample size=2165.893</t>
  </si>
  <si>
    <t>Treatment Mean= 0.23, Treatment SE=0.005, Treatment Sample size=198.779, Control Mean= 0.309, Control SE=0.038, Control Sample size=2165.893</t>
  </si>
  <si>
    <t>Treatment Mean= 0.348, Treatment SE=0.005, Treatment Sample size=198.779, Control Mean= 0.376, Control SE=0.016, Control Sample size=2165.893</t>
  </si>
  <si>
    <t>Treatment Mean= 0.438, Treatment SE=0.014, Treatment Sample size=195.95, Control Mean= 0.458, Control SE=0.011, Control Sample size=4770.883</t>
  </si>
  <si>
    <t>Treatment Mean= 0.275, Treatment SE=0.011, Treatment Sample size=195.95, Control Mean= 0.315, Control SE=0.008, Control Sample size=4770.883</t>
  </si>
  <si>
    <t>Treatment Mean= 0.382, Treatment SE=0.007, Treatment Sample size=195.95, Control Mean= 0.39, Control SE=0.006, Control Sample size=4770.883</t>
  </si>
  <si>
    <t>Treatment Mean= 0.299, Treatment SE=0.029, Treatment Sample size=195.95, Control Mean= 0.284, Control SE=0.04, Control Sample size=4770.883</t>
  </si>
  <si>
    <t>See "Calculations" sheet for values used.</t>
  </si>
  <si>
    <t>Yes (Japan, China, Australia, Italy, Switzerland, Netherlands, New Zealand, UK, Russia, India, Spain, Norway, US, Indonesia, Germany, Canada, Malaysia, Romania, France, Israel, Denmark, Korea, Beligum, Colombia, Singapore and interaction with gender)</t>
  </si>
  <si>
    <t>from 6 June 2019 -</t>
  </si>
  <si>
    <t>0.000009371095377</t>
  </si>
  <si>
    <t>from 1 January 2020-</t>
  </si>
  <si>
    <t>Agreed, made a separate sheet for these calculations called, "Calculations".</t>
  </si>
  <si>
    <t>Worldwide (but authors in BBI are mostly from US, then China, then UK, then Germany https://journalinsights.elsevier.com/journals/0889-1591/authors)</t>
  </si>
  <si>
    <t>Worldwide (but authors in Advances in radiation oncology are 79.2% (572/722) from North America https://journalinsights.elsevier.com/journals/2452-1094/authors)</t>
  </si>
  <si>
    <t>Treatment Mean= 2.77, Treatment SD=1.27, Treatment Sample size=45, Control Mean= 3.42, Control SD=1.05, Control Sample size=51</t>
  </si>
  <si>
    <t>Treatment Mean= 2.56, Treatment SE=1.41, Treatment Sample size=1674, Control Mean= 6.46, Control SE=1.26, Control Sample size=3692</t>
  </si>
  <si>
    <t>Treatment Mean= 0.3969849246, Treatment SD=0.4545864296, Treatment Sample size=199, Control Mean= 0.4108910891, Control SD=0.4157384361, Control Sample size=202</t>
  </si>
  <si>
    <t>Worldwide (United States (n = 49, 41.9%), followed by United Kingdom, n = 10; Germany, n = 7; Sweden, n = 7; Australia, n = 4; Denmark, n = 4; Canada, n = 3; Brazil, n &lt; 3; Greece, n &lt; 3; Italy, n &lt; 3; Mexico, n &lt; 3; Netherlands, n &lt; 3; Spain, n &lt; 3; Switzerland, n &lt; 3; Afghanistan, n &lt; 3; Austria, n &lt; 3; Estonia, n &lt; 3; Japan, n &lt; 3; New Zealand, n &lt; 3; Norway, n &lt; 3; Romania, n &lt; 3; South Africa, n &lt; 3. Ten individuals (8.6%) not report the country of their appointment)</t>
  </si>
  <si>
    <t>Treatment Mean= 3.145, Treatment SD=3.071, Treatment Sample size=48, Control Mean= 4.465, Control SD=3.552, Control Sample size=66</t>
  </si>
  <si>
    <t>Maybe (for china, UK/fr/germ, Europe, US, Japan, rest of asia, canada, australia, mexico/c/s america, africa but no interaction with gender)</t>
  </si>
  <si>
    <t>Treatment Mean= 2.32, Treatment SD=0.95, Treatment Sample size=29, Control Mean= 3.11, Control SD=1.13, Control Sample size=58</t>
  </si>
  <si>
    <t>SSRN repository (18 disciplines within Social sciences)</t>
  </si>
  <si>
    <t>AS CIÊNCIAS SOCIAIS NA PANDEMIA DE COVID-19: ROTINAS DE TRABALHO E DESIGUALDADES (Social sciences IN THE COVID-19 PANDEMIC: WORK ROUTINES AND INEQUALITIES)</t>
  </si>
  <si>
    <t>Elsevier Social sciences &amp; Economics</t>
  </si>
  <si>
    <t>Ability to submit papers</t>
  </si>
  <si>
    <t>Standardised mean difference (f-test, unequal sample size)</t>
  </si>
  <si>
    <t>Standardised mean difference (from binary proportions)</t>
  </si>
  <si>
    <t xml:space="preserve">Standardised mean difference (two by two table) </t>
  </si>
  <si>
    <t>Job loss</t>
  </si>
  <si>
    <t>Broad specific productivity</t>
  </si>
  <si>
    <t>Submissions (self-reported)</t>
  </si>
  <si>
    <t>Maybe (effect of no children, 0-5 year olds, 6-11 year olds, 12-17 year olds living at home)</t>
  </si>
  <si>
    <t>Timeframe pre-pandemic</t>
  </si>
  <si>
    <t>Timeframe during-pandemic</t>
  </si>
  <si>
    <t>January 1 2018 - December 31 2019</t>
  </si>
  <si>
    <t>Yes</t>
  </si>
  <si>
    <t>TEMCP</t>
  </si>
  <si>
    <t>First authorship</t>
  </si>
  <si>
    <t>Last authorship</t>
  </si>
  <si>
    <t>Corresponding authorship</t>
  </si>
  <si>
    <t>Middle authorship</t>
  </si>
  <si>
    <t>Any authorship</t>
  </si>
  <si>
    <t>Sole authorship</t>
  </si>
  <si>
    <t>Measure</t>
  </si>
  <si>
    <t>Distance</t>
  </si>
  <si>
    <t>Scale</t>
  </si>
  <si>
    <t>Standard error</t>
  </si>
  <si>
    <t>Effect</t>
  </si>
  <si>
    <t>Gao et. al</t>
  </si>
  <si>
    <t>Total</t>
  </si>
  <si>
    <t>Pandemic</t>
  </si>
  <si>
    <t>Pre-pandemic</t>
  </si>
  <si>
    <t>Men</t>
  </si>
  <si>
    <t>Women</t>
  </si>
  <si>
    <t>Chen et. al</t>
  </si>
  <si>
    <t>Male</t>
  </si>
  <si>
    <t>Female</t>
  </si>
  <si>
    <t>Year</t>
  </si>
  <si>
    <t>n</t>
  </si>
  <si>
    <t>Harris et. al</t>
  </si>
  <si>
    <t>Q1 January–March, Q2 April–June, Q3 July–September, Q4 October–December</t>
  </si>
  <si>
    <t>29 (49.2)</t>
  </si>
  <si>
    <t>28 (47.5)</t>
  </si>
  <si>
    <t>Q4 2020</t>
  </si>
  <si>
    <t>24 (34.8)</t>
  </si>
  <si>
    <t>19 (28.8)</t>
  </si>
  <si>
    <t>23 (34.3)</t>
  </si>
  <si>
    <t>Q3 2020</t>
  </si>
  <si>
    <t>41 (39.0)</t>
  </si>
  <si>
    <t>31 (30.3)</t>
  </si>
  <si>
    <t>51 (48.5)</t>
  </si>
  <si>
    <t>Q2 2020</t>
  </si>
  <si>
    <t>21 (42.9)</t>
  </si>
  <si>
    <t>15 (30.6)</t>
  </si>
  <si>
    <t>18 (36.7)</t>
  </si>
  <si>
    <t>Q1 2020</t>
  </si>
  <si>
    <t>20 (34.5)</t>
  </si>
  <si>
    <t>23 (39.0)</t>
  </si>
  <si>
    <t>22 (37.3)</t>
  </si>
  <si>
    <t>Q4 2019</t>
  </si>
  <si>
    <t>24 (41.4)</t>
  </si>
  <si>
    <t>29 (51.8)</t>
  </si>
  <si>
    <t>Q3 2019</t>
  </si>
  <si>
    <t>24 (42.1)</t>
  </si>
  <si>
    <t>28 (50.0)</t>
  </si>
  <si>
    <t>27 (47.4)</t>
  </si>
  <si>
    <t>Q2 2019</t>
  </si>
  <si>
    <t>23 (38.3)</t>
  </si>
  <si>
    <t>17 (29.3)</t>
  </si>
  <si>
    <t>25 (41.7)</t>
  </si>
  <si>
    <t>Q1 2019</t>
  </si>
  <si>
    <t>Male correspond- ing author submis- sions
 (%)</t>
  </si>
  <si>
    <t>Female correspond- ing author submis- sions
 (%)</t>
  </si>
  <si>
    <t>Male last author submissions
 (%)</t>
  </si>
  <si>
    <t>Female last author submissions
 (%)</t>
  </si>
  <si>
    <t>Male first author submissions
 (%)</t>
  </si>
  <si>
    <t>Female first author submissions
 (%)</t>
  </si>
  <si>
    <t>Total submis- sions</t>
  </si>
  <si>
    <t>Quarter</t>
  </si>
  <si>
    <t>Corresponding</t>
  </si>
  <si>
    <t>Last</t>
  </si>
  <si>
    <t>First</t>
  </si>
  <si>
    <t xml:space="preserve">Ayyala et. al </t>
  </si>
  <si>
    <t>N total</t>
  </si>
  <si>
    <t>N female</t>
  </si>
  <si>
    <t>Distance female (mm)</t>
  </si>
  <si>
    <t>N male</t>
  </si>
  <si>
    <t>Distance male (mm)</t>
  </si>
  <si>
    <t>Last author medicine</t>
  </si>
  <si>
    <t>First author medicine</t>
  </si>
  <si>
    <t>Last author ecology</t>
  </si>
  <si>
    <t>First author ecology</t>
  </si>
  <si>
    <t>Rodriguez Forti et. al</t>
  </si>
  <si>
    <t>Prepandemc</t>
  </si>
  <si>
    <t>Proportion female</t>
  </si>
  <si>
    <t>Proportion female distance mm</t>
  </si>
  <si>
    <t>N</t>
  </si>
  <si>
    <t xml:space="preserve">N Distance mm </t>
  </si>
  <si>
    <t xml:space="preserve">Wooden et. al </t>
  </si>
  <si>
    <t>%Female authors</t>
  </si>
  <si>
    <t>Number male authors</t>
  </si>
  <si>
    <t>Number female authors</t>
  </si>
  <si>
    <t>Number of authors</t>
  </si>
  <si>
    <t>Number of papers/columns</t>
  </si>
  <si>
    <t>Rejected</t>
  </si>
  <si>
    <t>Accepted</t>
  </si>
  <si>
    <t>Avg[2015-2019]</t>
  </si>
  <si>
    <t>Total pandemic</t>
  </si>
  <si>
    <t>Total pre-pandemic</t>
  </si>
  <si>
    <t>VoxEU Columns</t>
  </si>
  <si>
    <t>CEPR COVID Economics</t>
  </si>
  <si>
    <t>CEPR</t>
  </si>
  <si>
    <t>NBER</t>
  </si>
  <si>
    <t>Amano Patino</t>
  </si>
  <si>
    <t>https://handbook-5-1.cochrane.org/chapter_7/table_7_7_a_formulae_for_combining_groups.htm</t>
  </si>
  <si>
    <t>SD</t>
  </si>
  <si>
    <t>Mean</t>
  </si>
  <si>
    <t>N2</t>
  </si>
  <si>
    <t>N1</t>
  </si>
  <si>
    <t>Disruption combined</t>
  </si>
  <si>
    <t>Disruption domestic</t>
  </si>
  <si>
    <t>Disruption technology</t>
  </si>
  <si>
    <t>Guintivano et. al</t>
  </si>
  <si>
    <t>Sum</t>
  </si>
  <si>
    <t>April</t>
  </si>
  <si>
    <t>March</t>
  </si>
  <si>
    <t>Bell et. al</t>
  </si>
  <si>
    <t>Proportion men</t>
  </si>
  <si>
    <t>Proportion women</t>
  </si>
  <si>
    <t>Non-white Women</t>
  </si>
  <si>
    <t>Non-white Men</t>
  </si>
  <si>
    <t>White Women</t>
  </si>
  <si>
    <t>White Men</t>
  </si>
  <si>
    <t>Likert scale</t>
  </si>
  <si>
    <t>Very positive</t>
  </si>
  <si>
    <t>Positive</t>
  </si>
  <si>
    <t>No impact</t>
  </si>
  <si>
    <t>Negative</t>
  </si>
  <si>
    <t>Very negative</t>
  </si>
  <si>
    <t>Candido et. al</t>
  </si>
  <si>
    <t>Mean productivity</t>
  </si>
  <si>
    <t>Plaunova et. al</t>
  </si>
  <si>
    <t>17/48</t>
  </si>
  <si>
    <t>31/48</t>
  </si>
  <si>
    <t>22/52</t>
  </si>
  <si>
    <t>30/52</t>
  </si>
  <si>
    <t>No decrease in work productivity</t>
  </si>
  <si>
    <t>Decrease in work productivity</t>
  </si>
  <si>
    <t>N=100</t>
  </si>
  <si>
    <t>Stenson et. al</t>
  </si>
  <si>
    <t>No burnout</t>
  </si>
  <si>
    <t>Burnout</t>
  </si>
  <si>
    <t>Diaz et. al</t>
  </si>
  <si>
    <t>Female pandemic</t>
  </si>
  <si>
    <t>Female pre-pandemic</t>
  </si>
  <si>
    <t>Male pandemic</t>
  </si>
  <si>
    <t>Male pre-pandemic</t>
  </si>
  <si>
    <t>December</t>
  </si>
  <si>
    <t>November</t>
  </si>
  <si>
    <t>October</t>
  </si>
  <si>
    <t>September</t>
  </si>
  <si>
    <t>August</t>
  </si>
  <si>
    <t>July</t>
  </si>
  <si>
    <t>June</t>
  </si>
  <si>
    <t>May</t>
  </si>
  <si>
    <t>Feb</t>
  </si>
  <si>
    <t>Jan</t>
  </si>
  <si>
    <t>Gerding et. al</t>
  </si>
  <si>
    <t xml:space="preserve"> Male</t>
  </si>
  <si>
    <t xml:space="preserve">Female
</t>
  </si>
  <si>
    <t>Corresponding author gender, (n missing, %)</t>
  </si>
  <si>
    <t>Last author gender, (n missing, %)</t>
  </si>
  <si>
    <t>First author gender, (n missing, %)</t>
  </si>
  <si>
    <t>Pandemic total</t>
  </si>
  <si>
    <t>Pandemic (covid related)</t>
  </si>
  <si>
    <t>Pandemic (non-covid related)</t>
  </si>
  <si>
    <t>Gayet-Ageron et. al</t>
  </si>
  <si>
    <t>female</t>
  </si>
  <si>
    <t>male</t>
  </si>
  <si>
    <t>materials sciences</t>
  </si>
  <si>
    <t>philosophy</t>
  </si>
  <si>
    <t>No Authors</t>
  </si>
  <si>
    <t>Gender</t>
  </si>
  <si>
    <t>year</t>
  </si>
  <si>
    <t>field</t>
  </si>
  <si>
    <t>Jemielniak et. al</t>
  </si>
  <si>
    <t>12 (80.0)</t>
  </si>
  <si>
    <t>3 (20.0)</t>
  </si>
  <si>
    <t>7 (87.5)</t>
  </si>
  <si>
    <t>1 (12.5)</t>
  </si>
  <si>
    <t>Senior</t>
  </si>
  <si>
    <t>4 (57.4)</t>
  </si>
  <si>
    <t>3 (42.9)</t>
  </si>
  <si>
    <t>15 (68.2)</t>
  </si>
  <si>
    <t>7 (31.8)</t>
  </si>
  <si>
    <t>Non-senior</t>
  </si>
  <si>
    <t>Non-science articles</t>
  </si>
  <si>
    <t>15 (71.4)</t>
  </si>
  <si>
    <t>6 (27.3)</t>
  </si>
  <si>
    <t>102 (73.4)</t>
  </si>
  <si>
    <t>37 (26.6)</t>
  </si>
  <si>
    <t>167 (75.2)</t>
  </si>
  <si>
    <t>55 (24.8)</t>
  </si>
  <si>
    <t>Scientiﬁc articles</t>
  </si>
  <si>
    <t>27 (75.0)</t>
  </si>
  <si>
    <t>9 (25.0)</t>
  </si>
  <si>
    <t>109 (74.1)</t>
  </si>
  <si>
    <t>38 (25.9)</t>
  </si>
  <si>
    <t>19 (67.9)</t>
  </si>
  <si>
    <t>9 (32.1)</t>
  </si>
  <si>
    <t>182 (74.6)</t>
  </si>
  <si>
    <t>62 (25.4)</t>
  </si>
  <si>
    <t>P</t>
  </si>
  <si>
    <t>COVID</t>
  </si>
  <si>
    <t>Pre-covid</t>
  </si>
  <si>
    <t>Corresponding authors</t>
  </si>
  <si>
    <t>10 (76.9)</t>
  </si>
  <si>
    <t>3 (23.1)</t>
  </si>
  <si>
    <t>4 (57.1)</t>
  </si>
  <si>
    <t>9 (40.9)</t>
  </si>
  <si>
    <t>13 (29.1)</t>
  </si>
  <si>
    <t>Non-Senior</t>
  </si>
  <si>
    <t>Non-Scientiﬁc articles</t>
  </si>
  <si>
    <t>14 (56.0)</t>
  </si>
  <si>
    <t>11 (44.0)</t>
  </si>
  <si>
    <t>107 (70.4)</t>
  </si>
  <si>
    <t>45 (29.6)</t>
  </si>
  <si>
    <t>17 (89.5)</t>
  </si>
  <si>
    <t>2 (10.5)</t>
  </si>
  <si>
    <t>147 (63.4)</t>
  </si>
  <si>
    <t>85 (36.6)</t>
  </si>
  <si>
    <t>24 (63.2)</t>
  </si>
  <si>
    <t>14 (36.8)</t>
  </si>
  <si>
    <t>114 (71.3)</t>
  </si>
  <si>
    <t>46 (28.8)</t>
  </si>
  <si>
    <t>21 (80.8)</t>
  </si>
  <si>
    <t>5 (19.2)</t>
  </si>
  <si>
    <t>156 (61.4)</t>
  </si>
  <si>
    <t>98 (38.6)</t>
  </si>
  <si>
    <t>First authors</t>
  </si>
  <si>
    <t>Anabaraonye et. al</t>
  </si>
  <si>
    <t>Males</t>
  </si>
  <si>
    <t>Females</t>
  </si>
  <si>
    <t>Ghaffaridzadeh et. al</t>
  </si>
  <si>
    <t>N covid</t>
  </si>
  <si>
    <t>Proportion covid</t>
  </si>
  <si>
    <t>N pre-covid</t>
  </si>
  <si>
    <t>Proportion pre-covid</t>
  </si>
  <si>
    <t>Last authors</t>
  </si>
  <si>
    <t>Ipe et. al</t>
  </si>
  <si>
    <t>Cushman et. al</t>
  </si>
  <si>
    <t>To get at the absolute numbers for the proportions in Figure 1, I assumed that each month had the average number of articles published (From the legend "Each month contained between 40 and 136 articles" = so average is 88 articles).</t>
  </si>
  <si>
    <t>Dieter's calculations</t>
  </si>
  <si>
    <t>January proportion</t>
  </si>
  <si>
    <t>November proportion</t>
  </si>
  <si>
    <t>October proportion</t>
  </si>
  <si>
    <t>August proportion</t>
  </si>
  <si>
    <t>July proportion</t>
  </si>
  <si>
    <t>January length during COVID (mm)</t>
  </si>
  <si>
    <t>November length during COVID (mm)</t>
  </si>
  <si>
    <t>October length during COVID (mm)</t>
  </si>
  <si>
    <t>August length during COVID (mm)</t>
  </si>
  <si>
    <t>July length during COVID (mm)</t>
  </si>
  <si>
    <t>Scale 109mm=0.8</t>
  </si>
  <si>
    <t>N covid?</t>
  </si>
  <si>
    <t>N authors covid</t>
  </si>
  <si>
    <t>Proportion authors covid</t>
  </si>
  <si>
    <t>N authors pre-covid</t>
  </si>
  <si>
    <t>Proportion authors pre-covid</t>
  </si>
  <si>
    <t>Ribravsoka et. al</t>
  </si>
  <si>
    <t>women not experiencing lower productivity (remaining 29.9% of 437)</t>
  </si>
  <si>
    <t>men not experiencing lower productivity (remaining 23.9% of 288)</t>
  </si>
  <si>
    <t>women experiencing lower productivity (70.1% of 437)</t>
  </si>
  <si>
    <t>men experiencing lower productivity (76.1% of 77)</t>
  </si>
  <si>
    <t>total women (54.7% of 170)</t>
  </si>
  <si>
    <t>total men (45.3% of 170)</t>
  </si>
  <si>
    <t>There are 170 individuals in total, of which 54.7% identified as female (93), remaining as male (77). Of the men, 76.1% report a decrease in publications, 70.1% of women.</t>
  </si>
  <si>
    <t>N no decrease</t>
  </si>
  <si>
    <t>N increased</t>
  </si>
  <si>
    <t>N stay same</t>
  </si>
  <si>
    <t>N decreased</t>
  </si>
  <si>
    <t>Proportion increased</t>
  </si>
  <si>
    <t>Proportion stay same</t>
  </si>
  <si>
    <t>Proportion decreased</t>
  </si>
  <si>
    <t>Shalaby et. al</t>
  </si>
  <si>
    <t>women not experiencing lower productivity (remaining 26% of 437)</t>
  </si>
  <si>
    <t>men not experiencing lower productivity (remaining 39% of 288)</t>
  </si>
  <si>
    <t>women experiencing lower productivity (74% of 437)</t>
  </si>
  <si>
    <t>men experiencing lower productivity (61% of 288)</t>
  </si>
  <si>
    <t>total women (59% of 740)</t>
  </si>
  <si>
    <t>total men (39% of 740)</t>
  </si>
  <si>
    <t>There are 740 individuals in total. Based on Figure 1 I estimated that 39% are men (288 individuals) and 59% are women (437 individuals). I then took the percentages in the text to assume that this reflects the proportion of men (61%) and women (74%) who had experienced a reduction to arrive at the two by two table</t>
  </si>
  <si>
    <t>N no production reduction</t>
  </si>
  <si>
    <t>N productivity reduction</t>
  </si>
  <si>
    <t>Proportion productivity reduction</t>
  </si>
  <si>
    <t>Proportion</t>
  </si>
  <si>
    <t>Length (mm)</t>
  </si>
  <si>
    <t>Ghaffarazideh et. al</t>
  </si>
  <si>
    <t>I extracted these values from Figure 3: I converted the labels on the x-axis according to the Likert scale (as listed in the text) from 'much less' =1 to 'much more' =5, and multiplied it by their y-values to get the mean and sd.</t>
  </si>
  <si>
    <t>Proportion*5</t>
  </si>
  <si>
    <t>Proportion*4</t>
  </si>
  <si>
    <t>Proportion*3</t>
  </si>
  <si>
    <t>Proportion*2</t>
  </si>
  <si>
    <t>Proportion*1</t>
  </si>
  <si>
    <t>Barber et. al</t>
  </si>
  <si>
    <t>Scale proportion</t>
  </si>
  <si>
    <t>Scale Length (mm)</t>
  </si>
  <si>
    <t>Sum (check it adds to 1)</t>
  </si>
  <si>
    <t>Proportion Much More (mm)</t>
  </si>
  <si>
    <t>Proportion More (mm)</t>
  </si>
  <si>
    <t>Proportion About the Same (mm)</t>
  </si>
  <si>
    <t>Proportion Less (mm)</t>
  </si>
  <si>
    <t>Proportion Much Less (mm)</t>
  </si>
  <si>
    <t>Length Much More (mm)</t>
  </si>
  <si>
    <t>Length More (mm)</t>
  </si>
  <si>
    <t>Length About the Same (mm)</t>
  </si>
  <si>
    <t>Length Less (mm)</t>
  </si>
  <si>
    <t>Length Much Less (mm)</t>
  </si>
  <si>
    <t>Surgery</t>
  </si>
  <si>
    <t>Radiology</t>
  </si>
  <si>
    <t>Pathology</t>
  </si>
  <si>
    <t>Otolaryngology</t>
  </si>
  <si>
    <t>Other clinical sciences</t>
  </si>
  <si>
    <t>Other basic sciences</t>
  </si>
  <si>
    <t>Internal medicine</t>
  </si>
  <si>
    <t>Infectious diseases</t>
  </si>
  <si>
    <t>High impact general medicine</t>
  </si>
  <si>
    <t>Emergency medicine</t>
  </si>
  <si>
    <t>Dermatology</t>
  </si>
  <si>
    <t>Last author</t>
  </si>
  <si>
    <t>Full group</t>
  </si>
  <si>
    <t>First author</t>
  </si>
  <si>
    <t>Journal specialty</t>
  </si>
  <si>
    <t>Covid</t>
  </si>
  <si>
    <t>Andersen et. al</t>
  </si>
  <si>
    <t>n Articles per week US</t>
  </si>
  <si>
    <t>n Articles worldwide</t>
  </si>
  <si>
    <t>Articles per week US</t>
  </si>
  <si>
    <t>Articles per week worldwide</t>
  </si>
  <si>
    <t>N that Agree there is affect of pandemic</t>
  </si>
  <si>
    <t>Agree</t>
  </si>
  <si>
    <t>N that Disagree/ No effect of pandemic</t>
  </si>
  <si>
    <t>Neither agree or disagree</t>
  </si>
  <si>
    <t>Disgree</t>
  </si>
  <si>
    <t>F</t>
  </si>
  <si>
    <t>M</t>
  </si>
  <si>
    <t>Has pandemic affected research?</t>
  </si>
  <si>
    <t>Breuning et. al</t>
  </si>
  <si>
    <t>Solo</t>
  </si>
  <si>
    <t>Any</t>
  </si>
  <si>
    <t>–</t>
  </si>
  <si>
    <t>medXriv</t>
  </si>
  <si>
    <t>Total N</t>
  </si>
  <si>
    <t>N after</t>
  </si>
  <si>
    <t>N before</t>
  </si>
  <si>
    <t>SE women during</t>
  </si>
  <si>
    <t>Proportion women during</t>
  </si>
  <si>
    <t>SE women before</t>
  </si>
  <si>
    <t>Proportion women before</t>
  </si>
  <si>
    <t>All publishers</t>
  </si>
  <si>
    <t>Muric et. al</t>
  </si>
  <si>
    <t>Lower 95% CI distance mm</t>
  </si>
  <si>
    <t>Percentage reduction female</t>
  </si>
  <si>
    <t>Upper 95% CI distance mm</t>
  </si>
  <si>
    <t>Distance female mm</t>
  </si>
  <si>
    <t>Distance mm</t>
  </si>
  <si>
    <t>Myers et. al</t>
  </si>
  <si>
    <t>N total pandemic</t>
  </si>
  <si>
    <t>N men pandemic</t>
  </si>
  <si>
    <t>N women pandemic</t>
  </si>
  <si>
    <t>N total pre-pandemic</t>
  </si>
  <si>
    <t>N men pre-pandemic</t>
  </si>
  <si>
    <t>N women pre-pandemic</t>
  </si>
  <si>
    <t>King and Frederickson</t>
  </si>
  <si>
    <t>SD rate of articles per 2 months</t>
  </si>
  <si>
    <t>Mean rate of articles per 2 months</t>
  </si>
  <si>
    <t>Coauthors</t>
  </si>
  <si>
    <t>N papers per 2 months * N individuals</t>
  </si>
  <si>
    <t>N individuals</t>
  </si>
  <si>
    <t>N papers per 2 months</t>
  </si>
  <si>
    <t>Krukowski et. al</t>
  </si>
  <si>
    <t>South America</t>
  </si>
  <si>
    <t>Europe</t>
  </si>
  <si>
    <t>Australia/Oceania</t>
  </si>
  <si>
    <t>Asia</t>
  </si>
  <si>
    <t>Africa</t>
  </si>
  <si>
    <t>Continent</t>
  </si>
  <si>
    <t>Unknown</t>
  </si>
  <si>
    <t>Gender predicted with 50-94% accuracy</t>
  </si>
  <si>
    <t>Gender predicted with &gt;95% accuracy</t>
  </si>
  <si>
    <t>Pandemic Period</t>
  </si>
  <si>
    <t>Pre-Pandemic Period</t>
  </si>
  <si>
    <t>N authors</t>
  </si>
  <si>
    <t>Bell and Fong</t>
  </si>
  <si>
    <t>https://www.nature.com/articles/s41550-020-01258-z</t>
  </si>
  <si>
    <t>Y</t>
  </si>
  <si>
    <t xml:space="preserve">Italian astronomy and astrophysics researchers publishing in arXiv </t>
  </si>
  <si>
    <t>COVID-19 lockdown effects on gender inequality</t>
  </si>
  <si>
    <t>Inno, L., Rotundi, A., Piccialli, A.</t>
  </si>
  <si>
    <t>https://www.natureindex.com/news-blog/decline-women-scientist-research-publishing-production-coronavirus-pandemic</t>
  </si>
  <si>
    <t>11 pre-print repositories</t>
  </si>
  <si>
    <t>The decline of women's research production during the coronavirus pandemic</t>
  </si>
  <si>
    <t>Philippe Vincent-Lamarre, Cassidy R. Sugimoto, Vincent Larivière</t>
  </si>
  <si>
    <t>https://www.repository.cam.ac.uk/bitstream/handle/1810/310888/cwpe2038.pdf?sequence=1&amp;isAllowed=y</t>
  </si>
  <si>
    <t>National Bureau of Economic Research (NBER) Working Papers Series and the Centre of Economic Policy Research (CEPR) Discussion Paper Series</t>
  </si>
  <si>
    <t>The Unequal Effects of Covid-19 on Economists’ Research Productivity</t>
  </si>
  <si>
    <t>Noriko Amano-Patiño, Elisa Faraglia, Chryssi Giannitsarou, Zeina Hasna</t>
  </si>
  <si>
    <t>N?</t>
  </si>
  <si>
    <t>https://poseidon01.ssrn.com/delivery.php?ID=125017092064003019110007025086112112041074054049036036007019125101098120006072109124124027025103026004058022096077011008115091104038028011067080069019094074064103123088041042081028082003083009024082118001070031086104124091127086121008112076075122091112&amp;EXT=pdf&amp;INDEX=TRUE</t>
  </si>
  <si>
    <t>2329 Elsevier journals</t>
  </si>
  <si>
    <t>Only second-class tickets for women in the COVID-19 race. A study on manuscript submissions and reviews in 2329 Elsevier journals</t>
  </si>
  <si>
    <t>Squazzoni F, Bravo G, Grimaldo F, et al</t>
  </si>
  <si>
    <t>https://www.ncbi.nlm.nih.gov/pmc/articles/PMC7574786/</t>
  </si>
  <si>
    <t>Human Reproduction Update, American Journal of Obstetrics and Gynecology, Fertility and Sterility, Human Reproduction, Obstetrics and Gynecology, and Gynecologic Oncology</t>
  </si>
  <si>
    <t>Gender differences in authorship of obstetrics and gynecology publications during the coronavirus disease 2019 pandemic</t>
  </si>
  <si>
    <t>Cook, J. &amp; Gupta, M.</t>
  </si>
  <si>
    <t>https://jamanetwork.com/journals/jamasurgery/fullarticle/2769186</t>
  </si>
  <si>
    <t>JAMA Surgery</t>
  </si>
  <si>
    <t>Consequences of the COVID-19 Pandemic on Manuscript Submissions by Women</t>
  </si>
  <si>
    <t>Kibbe, M.R.</t>
  </si>
  <si>
    <t>doi:10.1016/j.jacr.2021.01.011</t>
  </si>
  <si>
    <t>Journal of the American College of Radiology</t>
  </si>
  <si>
    <t>The Impact of the COVID-19 Pandemic on Journal Scholarly Activity Among Female Contributors</t>
  </si>
  <si>
    <t>Mogensen MA, Lee CI, Carlos RC</t>
  </si>
  <si>
    <t>https://jamanetwork.com/journals/jamanetworkopen/fullarticle/2770728?utm_source=For_The_Media&amp;utm_medium=referral&amp;utm_campaign=ftm_links&amp;utm_term=091720</t>
  </si>
  <si>
    <t>web-scraped metadata from medRxiv</t>
  </si>
  <si>
    <t>Comparison of the Proportions of Female and Male Corresponding Authors in Preprint Research Repositories Before and During the COVID-19 Pandemic</t>
  </si>
  <si>
    <t xml:space="preserve">Wehner, Mackenzie R., Li, Y., Nead, K.T. </t>
  </si>
  <si>
    <t>https://www.nature.com/articles/s41386-020-00869-4</t>
  </si>
  <si>
    <t>Journal of Neuropsychopharmacology (NPP) manuscripts</t>
  </si>
  <si>
    <t>Effects of the COVID-19 pandemic on gender representation among corresponding authors of Neuropsychopharmacology (NPP) manuscripts: submissions during January–June, 2020</t>
  </si>
  <si>
    <t>Jordan, C.J., &amp; Carlezon Jr, W.A.</t>
  </si>
  <si>
    <t>https://www-liebertpub-com.proxy-ub.rug.nl/doi/pdf/10.1089/jwh.2020.8710</t>
  </si>
  <si>
    <t>STEMM faculty in the United States</t>
  </si>
  <si>
    <t>Krukowski, R.A., Jagsi, R., Cardel, M.I.</t>
  </si>
  <si>
    <t>https://onlinelibrary-wiley-com.proxy-ub.rug.nl/doi/pdfdirect/10.1002/rth2.12399</t>
  </si>
  <si>
    <t>Research and Practice in Thrombosis and Haemostasis (RPTH)</t>
  </si>
  <si>
    <t>Cushman, M.</t>
  </si>
  <si>
    <t>https://ajph-aphapublications-org.proxy-ub.rug.nl/doi/pdf/10.2105%2FAJPH.2020.305975</t>
  </si>
  <si>
    <t>American Journal of Public Health manuscripts submitted</t>
  </si>
  <si>
    <t>Bell, Michelle L., Fong, Kelvin C.</t>
  </si>
  <si>
    <t>https://elifesciences.org/articles/58807</t>
  </si>
  <si>
    <t>Medical papers</t>
  </si>
  <si>
    <t>COVID-19 medical papers have fewer women first authors than expected</t>
  </si>
  <si>
    <t>Andersen, J.P., Nielsen, M.W., Simone, N.L., Lewiss, R.E., Jagsi, R.</t>
  </si>
  <si>
    <t>https://www-ahajournals-org.proxy-ub.rug.nl/doi/pdf/10.1161/JAHA.120.019005</t>
  </si>
  <si>
    <t>4 high-impact cardiology journals (Journal of the American College of Cardiology, Circulation, JAMA Cardiology, and European Heart Journal)</t>
  </si>
  <si>
    <t>Gender Differences in Publication Authorship During COVID-19: A Bibliometric Analysis of High-Impact Cardiology Journals</t>
  </si>
  <si>
    <t>Defilippis, E.M., Sinnenberg, L., Mahmud, N., (...), Michos, E.D., Reza, N.</t>
  </si>
  <si>
    <t>https://www.ncbi.nlm.nih.gov/pmc/articles/PMC7670232/</t>
  </si>
  <si>
    <t>Brain Behav Immun journal (don't say number of articles)</t>
  </si>
  <si>
    <r>
      <rPr>
        <sz val="10"/>
        <color rgb="FF000000"/>
        <rFont val="Arial"/>
        <family val="2"/>
      </rPr>
      <t>Ribarovska, A.K.</t>
    </r>
    <r>
      <rPr>
        <sz val="10"/>
        <rFont val="Arial"/>
        <family val="2"/>
      </rPr>
      <t xml:space="preserve">, </t>
    </r>
    <r>
      <rPr>
        <sz val="10"/>
        <color rgb="FF000000"/>
        <rFont val="Arial"/>
        <family val="2"/>
      </rPr>
      <t>Hutchinson, M.R.</t>
    </r>
    <r>
      <rPr>
        <sz val="10"/>
        <rFont val="Arial"/>
        <family val="2"/>
      </rPr>
      <t xml:space="preserve">, </t>
    </r>
    <r>
      <rPr>
        <sz val="10"/>
        <color rgb="FF000000"/>
        <rFont val="Arial"/>
        <family val="2"/>
      </rPr>
      <t>Pittman, Q.J.</t>
    </r>
    <r>
      <rPr>
        <sz val="10"/>
        <rFont val="Arial"/>
        <family val="2"/>
      </rPr>
      <t xml:space="preserve">, </t>
    </r>
    <r>
      <rPr>
        <sz val="10"/>
        <color rgb="FF000000"/>
        <rFont val="Arial"/>
        <family val="2"/>
      </rPr>
      <t>Pariante, C.</t>
    </r>
    <r>
      <rPr>
        <sz val="10"/>
        <rFont val="Arial"/>
        <family val="2"/>
      </rPr>
      <t xml:space="preserve">, </t>
    </r>
    <r>
      <rPr>
        <sz val="10"/>
        <color rgb="FF000000"/>
        <rFont val="Arial"/>
        <family val="2"/>
      </rPr>
      <t>Spencer, S.J.</t>
    </r>
  </si>
  <si>
    <t>https://journals.sagepub.com/doi/full/10.1177/23780231211006977</t>
  </si>
  <si>
    <t>450,000 authorships in the arXiv and bioRxiv scholarly preprint</t>
  </si>
  <si>
    <t>King, M.M., Frederickson, M.E.</t>
  </si>
  <si>
    <t>https://www.ncbi.nlm.nih.gov/pmc/articles/PMC7857347/</t>
  </si>
  <si>
    <t>528 ophthalmology-related articles written by 2518 authors in COVID-19 databases</t>
  </si>
  <si>
    <t>Nguyen, A.X., Trinh, X.-V., Kurian, J., Wu, A.Y.</t>
  </si>
  <si>
    <t>https://pubmed.ncbi.nlm.nih.gov/33347956/</t>
  </si>
  <si>
    <t>1521 original articles in The Journal of Pediatrics</t>
  </si>
  <si>
    <t>Williams, W.A., Li, A., Goodman, D.M., Ross, L.F.</t>
  </si>
  <si>
    <t>https://www-ncbi-nlm-nih-gov.proxy-ub.rug.nl/pmc/articles/PMC8043146/</t>
  </si>
  <si>
    <t>78,950 papers from the bioRxiv and medRxiv repositories and from 62 selected Springer-Nature journals by 346,354 unique authors</t>
  </si>
  <si>
    <t>Gender disparity in the authorship of biomedical research publications during the COVID-19 pandemic: Retrospective observational study</t>
  </si>
  <si>
    <t>Muric, G., Lerman, K., Ferrara, E.</t>
  </si>
  <si>
    <t>https://bmjopen.bmj.com/content/11/4/e045176</t>
  </si>
  <si>
    <t>42 898 publications on COVID-19 in 2020 and 483 232 publications appearing in the same journals in 2019</t>
  </si>
  <si>
    <t>Longitudinal analyses of gender differences in first authorship publications related to COVID-19</t>
  </si>
  <si>
    <t>Lerchenmüller, C., Schmallenbach, L., Jena, A.B., Lerchenmueller, M.J.</t>
  </si>
  <si>
    <t>https://pubmed.ncbi.nlm.nih.gov/33527397/</t>
  </si>
  <si>
    <t>1024 articles in four transfusion medicine journals</t>
  </si>
  <si>
    <r>
      <rPr>
        <sz val="10"/>
        <color rgb="FF000000"/>
        <rFont val="Arial"/>
        <family val="2"/>
      </rPr>
      <t>Tina S Ipe</t>
    </r>
    <r>
      <rPr>
        <sz val="10"/>
        <rFont val="Arial"/>
        <family val="2"/>
      </rPr>
      <t xml:space="preserve">, </t>
    </r>
    <r>
      <rPr>
        <sz val="10"/>
        <color rgb="FF000000"/>
        <rFont val="Arial"/>
        <family val="2"/>
      </rPr>
      <t>Ruchika Goel</t>
    </r>
    <r>
      <rPr>
        <sz val="10"/>
        <rFont val="Arial"/>
        <family val="2"/>
      </rPr>
      <t xml:space="preserve">, </t>
    </r>
    <r>
      <rPr>
        <sz val="10"/>
        <color rgb="FF000000"/>
        <rFont val="Arial"/>
        <family val="2"/>
      </rPr>
      <t>Lydia Howes</t>
    </r>
    <r>
      <rPr>
        <sz val="10"/>
        <rFont val="Arial"/>
        <family val="2"/>
      </rPr>
      <t xml:space="preserve">, </t>
    </r>
    <r>
      <rPr>
        <sz val="10"/>
        <color rgb="FF000000"/>
        <rFont val="Arial"/>
        <family val="2"/>
      </rPr>
      <t>Sara Bakhtary</t>
    </r>
  </si>
  <si>
    <t>Indexed in Scopus?</t>
  </si>
  <si>
    <t>Indexed in Web of Science?</t>
  </si>
  <si>
    <t>Journal article?</t>
  </si>
  <si>
    <t>Link</t>
  </si>
  <si>
    <t>Pre-pandemic and post pandemic?</t>
  </si>
  <si>
    <t>Academic arena</t>
  </si>
  <si>
    <t>Authors</t>
  </si>
  <si>
    <t>Study</t>
  </si>
  <si>
    <t>exacerbated the gender gap in number of publications/ number of submitted publications/ number of self-reported publications</t>
  </si>
  <si>
    <t xml:space="preserve">Outcome: </t>
  </si>
  <si>
    <t>compared with pre-pandemic working conditions</t>
  </si>
  <si>
    <t xml:space="preserve">Comparison: </t>
  </si>
  <si>
    <t>has pandemic working conditions</t>
  </si>
  <si>
    <t>Intervention:</t>
  </si>
  <si>
    <t>across academic journals</t>
  </si>
  <si>
    <t>Population:</t>
  </si>
  <si>
    <t>PICO question:</t>
  </si>
  <si>
    <t>COVID-19 lockdown effects on gender equality</t>
  </si>
  <si>
    <t>January- June 2019</t>
  </si>
  <si>
    <t>January- June 2020</t>
  </si>
  <si>
    <t>arXiv</t>
  </si>
  <si>
    <t>Italy</t>
  </si>
  <si>
    <t>Using INAF and MIUR websites</t>
  </si>
  <si>
    <t>Jordan &amp; Carlezon</t>
  </si>
  <si>
    <t>Kibbe</t>
  </si>
  <si>
    <t>Treatment Yes= 58, Treatment No= 160, Control Yes= 71, Control No=153</t>
  </si>
  <si>
    <t>Neuropsychopharmacology</t>
  </si>
  <si>
    <t>Treatment Yes= 288, Treatment No= 461, Control Yes= 238, Control No=369</t>
  </si>
  <si>
    <t>Consequences of the COVID-19 Pandemic
Consequences of the COVID-19  Pandemic on Manuscript Submissions byWomen</t>
  </si>
  <si>
    <t>JAMA surgery</t>
  </si>
  <si>
    <t>Treatment Yes= 205, Treatment No= 494, Control Yes= 119, Control No=247</t>
  </si>
  <si>
    <t>Treatment Yes= 148, Treatment No= 551, Control Yes= 98, Control No=267</t>
  </si>
  <si>
    <t>Treatment Yes= 156, Treatment No= 542, Control Yes= 105, Control No=260</t>
  </si>
  <si>
    <t>April-October 2019</t>
  </si>
  <si>
    <t>April-October 2020</t>
  </si>
  <si>
    <t>Interpretation from first name and using internet searches</t>
  </si>
  <si>
    <t xml:space="preserve">Treatment Yes= 172, Treatment No= 269, Control Yes= 140, Control No=171 </t>
  </si>
  <si>
    <t>March-April 2019</t>
  </si>
  <si>
    <t>March - April 2020</t>
  </si>
  <si>
    <t>EarthArXiv</t>
  </si>
  <si>
    <t>Gender disambiguation algorithm</t>
  </si>
  <si>
    <t xml:space="preserve">Treatment Yes= 12, Treatment No= 78, Control Yes= 21, Control No=61 </t>
  </si>
  <si>
    <t>F1000Research</t>
  </si>
  <si>
    <t xml:space="preserve">Treatment Yes=600 , Treatment No= 1706, Control Yes= 189, Control No=536 </t>
  </si>
  <si>
    <t xml:space="preserve">Treatment Yes= 51, Treatment No= 283, Control Yes= 32, Control No=146 </t>
  </si>
  <si>
    <t>Preprints.org</t>
  </si>
  <si>
    <t xml:space="preserve">Treatment Yes= 53, Treatment No= 185, Control Yes= 34, Control No=114 </t>
  </si>
  <si>
    <t>PsyArxiv</t>
  </si>
  <si>
    <t xml:space="preserve">Treatment Yes= 261, Treatment No= 550, Control Yes= 145, Control No=30 </t>
  </si>
  <si>
    <t>SocArXiv</t>
  </si>
  <si>
    <t xml:space="preserve">Treatment Yes= 23, Treatment No= 77, Control Yes= 42, Control No=92 </t>
  </si>
  <si>
    <t xml:space="preserve">Treatment Yes= 3255, Treatment No= 18830, Control Yes= 2866, Control No=16789 </t>
  </si>
  <si>
    <t xml:space="preserve">Treatment Yes= 270, Treatment No= 599, Control Yes= 137, Control No=314 </t>
  </si>
  <si>
    <t xml:space="preserve">Treatment Yes= 1561, Treatment No= 5463, Control Yes= 1278, Control No=2458 </t>
  </si>
  <si>
    <t>End date of survey</t>
  </si>
  <si>
    <t>Broad region</t>
  </si>
  <si>
    <t>North America and Europe</t>
  </si>
  <si>
    <t>Iberico- America</t>
  </si>
  <si>
    <t>Author(s) of study</t>
  </si>
  <si>
    <t>Title of study</t>
  </si>
  <si>
    <t>Details</t>
  </si>
  <si>
    <t>End date respondents could submit answers for survey studies</t>
  </si>
  <si>
    <t>Research time</t>
  </si>
  <si>
    <t>Geographic region at the most specific scale as stated by the authors, including percentage breakdowns of sub-regions, if stated</t>
  </si>
  <si>
    <t>Where in the study the data could be found from Tables, Figues, Supplementary Tables or Figure, or if in the text, the page number is specificed.</t>
  </si>
  <si>
    <t>For article-output studies, the percentage of women authors before the pandemic, as defined by the time-period sampled in the respective study</t>
  </si>
  <si>
    <t>For article-output studies, the percentage of women authors during the pandemic, as defined by the time-period sampled in the respective study</t>
  </si>
  <si>
    <t>For article-output studies, the total number of authors sampled before the pandemic, as defined by the time-period sampled in the respective study</t>
  </si>
  <si>
    <t>For article-output studies, the total number of authors sampled during the pandemic, as defined by the time-period sampled in the respective study</t>
  </si>
  <si>
    <t>75% for 90% of observations</t>
  </si>
  <si>
    <t>The minimum percentage accuracy threshold used in the gender assignment tool for studies which use one and which report the figure</t>
  </si>
  <si>
    <t>The method of gender inference used by the study</t>
  </si>
  <si>
    <t>Author inferred</t>
  </si>
  <si>
    <t>Manual internet search</t>
  </si>
  <si>
    <t>Gender guesser library, then gender guesser on a name where diacritic were converted to ASCII (using unidecode python package), then looked in a database collected from https://github.com/MatthiasWinkelmann/name-database, then using database of Chinese names https://github.com/psychbruce/ Chinese Names</t>
  </si>
  <si>
    <t>Self-reported and API</t>
  </si>
  <si>
    <t>Searching publicly available data on the internet based on the name and the institution of the researcher (institution homepage, Research Gate, Google Scholar, LinkedIn, etc.) looking for pictures, pronouns and other information referring to the researcher</t>
  </si>
  <si>
    <t>Gender based on name norms, through web searches and based on inference from physical appearance.</t>
  </si>
  <si>
    <t>On-line searches for the use of gender-specific pronouns on websites and/or photographs to match an individual’s indicated (first) name to their gender</t>
  </si>
  <si>
    <t>Gender inference algorithms and human identification</t>
  </si>
  <si>
    <t>Effect size type primary reviewer</t>
  </si>
  <si>
    <t xml:space="preserve">Effect size type second reviewer </t>
  </si>
  <si>
    <t>Effect size type used in MA</t>
  </si>
  <si>
    <t>Effect size value primary reviewer</t>
  </si>
  <si>
    <t>Effect size value secondary reviewer</t>
  </si>
  <si>
    <t>Variance primary reviewer</t>
  </si>
  <si>
    <t>Variance seconday reviewer</t>
  </si>
  <si>
    <t>Variance used in MA</t>
  </si>
  <si>
    <t>N pre-pandemic</t>
  </si>
  <si>
    <t>N during pandemic</t>
  </si>
  <si>
    <t>Date when search was carried out in databases</t>
  </si>
  <si>
    <t>Notes second reviewer</t>
  </si>
  <si>
    <t>Notes after review</t>
  </si>
  <si>
    <t>For survey studies, the percentage of those respondants identifying as a woman.</t>
  </si>
  <si>
    <t>% women survey respondants</t>
  </si>
  <si>
    <t>Effect size value given by study author</t>
  </si>
  <si>
    <t>Effect size type used by study authors</t>
  </si>
  <si>
    <t>A.C.</t>
  </si>
  <si>
    <t>A.M.</t>
  </si>
  <si>
    <t>D.L.</t>
  </si>
  <si>
    <t>Variable</t>
  </si>
  <si>
    <t>Ribarovska et al.</t>
  </si>
  <si>
    <t>Percentage change in research time as predicted by lasso regression coefficient</t>
  </si>
  <si>
    <t>Percentage change in ability to work from home during pandemic as predicted by ordered logistic regression</t>
  </si>
  <si>
    <t>Percentage change in numbers of submissions as predicted by mixed-effect model</t>
  </si>
  <si>
    <t>Percentage change in number of preprints as predicted by mixed-effect model</t>
  </si>
  <si>
    <t>Percentage change in corresponding authors predicted by Somers D</t>
  </si>
  <si>
    <t>Anabaraonye et al.</t>
  </si>
  <si>
    <t>Jemielniak et al.</t>
  </si>
  <si>
    <t>Gayet-Ageron et al.</t>
  </si>
  <si>
    <t>Gerding et al.</t>
  </si>
  <si>
    <t>Biondi et al.</t>
  </si>
  <si>
    <t>Bell &amp; Green</t>
  </si>
  <si>
    <t>Amano-Patiño et al.</t>
  </si>
  <si>
    <t>Wooden &amp; Hanson</t>
  </si>
  <si>
    <t>Rodriguez-Forti et al.</t>
  </si>
  <si>
    <t>Ayyala &amp; Trout</t>
  </si>
  <si>
    <t>Squazzoni et al.</t>
  </si>
  <si>
    <t xml:space="preserve">Harris et al. </t>
  </si>
  <si>
    <t>Chen &amp;Seto</t>
  </si>
  <si>
    <t>Inno et al.</t>
  </si>
  <si>
    <t>Vincent-Lammare et al.</t>
  </si>
  <si>
    <t>Mogensen et al.</t>
  </si>
  <si>
    <t>Davis et al.</t>
  </si>
  <si>
    <t>Diaz et al.</t>
  </si>
  <si>
    <t>Stenson et al.</t>
  </si>
  <si>
    <t>Plaunova et al.</t>
  </si>
  <si>
    <t>Deryugena et al.</t>
  </si>
  <si>
    <t>Candido et al.</t>
  </si>
  <si>
    <t>Guintivano et al.</t>
  </si>
  <si>
    <t>Ellinas et al.</t>
  </si>
  <si>
    <t>Maguire et al.</t>
  </si>
  <si>
    <t>Gao et al.</t>
  </si>
  <si>
    <t>Hoggarth et al.</t>
  </si>
  <si>
    <t>Yildirim &amp; Elsen-Ziya</t>
  </si>
  <si>
    <t>Unique ID for each effect size numbered 1 to 130</t>
  </si>
  <si>
    <t>Unique ID for each article numbered 1 to 55</t>
  </si>
  <si>
    <t>Date range given by the study for which was the pre-pandemic data were collected (interval day/month/year)</t>
  </si>
  <si>
    <t>Length of the pre-pandemic data collection period calculated as end date minus the start date of date range considered as pre-pandemic for article-output studies (months)</t>
  </si>
  <si>
    <t>Date range given by the study for which was the during-pandemic data were collected (interval day/month/year)</t>
  </si>
  <si>
    <t>Length of the during-pandemic data collection period calculated as end date minus the start date of date range considered as pandemic for article-output studies (months)</t>
  </si>
  <si>
    <t>Months into the pandemic</t>
  </si>
  <si>
    <t>The number of month between the beginning of the pandemic in January 2020 and the final end date of data collection in the study</t>
  </si>
  <si>
    <t>Research field to the most specific scale as defined by the study authors (free-form text field)</t>
  </si>
  <si>
    <t>Categorical variable classifying research field standardised to broader levels of one of: "Medicine", "Technology, Engineering, Mathematics, Chemistry and Physics (TEMCP)", "Social sciences", "Biological sciences", or "Multidisciplinary". Multidisciplinary studies were classed as those which did not focus on any one field.</t>
  </si>
  <si>
    <t>Categorical variable classifying whether studies assessed productivity either as "self-reported", where individuals report their gender and their productivity, or as "measured", where gender is inferred and productivity determined by assessing numbers of submissions and articles in article-output studies</t>
  </si>
  <si>
    <t>Categorical variable classifying the measure of productivity as one of: "Submissions", "Publications", or "Other". Other includes those not studying either numbers of submissions or publications.</t>
  </si>
  <si>
    <t>Categorical variable classifying the specific measure of productivity as one of: "Submissions", "Pre-prints", "Publications", "Working papers", "Research time", "General productivity", "Burn-out", "Projects", or "Job loss"</t>
  </si>
  <si>
    <t>Measure of productivity to the most specific level as stated by authors of the study (free-form text field)</t>
  </si>
  <si>
    <t>Categorical variable classifying region grouped into one of: "Worldwide", "Western", or "Global South". Worldwide studies include those sampling multiple sub-regions, but with no majority sub-region, or if no region was specified. Western studies were classed as and those with the majority of sub-regions from any combination of North America, Europe and Australasia. Global South studies were classed as those with the majority of sub-regions from any combination of Asia, Iberico-America and Africa.</t>
  </si>
  <si>
    <t>The regression method from which our effect size was calculated for those studies where we could not calculate the effect size directly from the raw data</t>
  </si>
  <si>
    <t>The value of the reported regression result for studies where we could not calculate the effect size directly from the raw data</t>
  </si>
  <si>
    <t>A classifier indicating whether additional calculations were necessary to obtain raw numbers, such as conversions of percentages or the use of Adobe Acrobat's measure tool to obtain values from figures</t>
  </si>
  <si>
    <t>The raw values entered in the Campbell collaboration calculator for the effect sizes calculated from the original data</t>
  </si>
  <si>
    <t>Outcome effect size type in the Campbell collaboration calculator chosen by primary coder</t>
  </si>
  <si>
    <t>Effect size type second reviewer</t>
  </si>
  <si>
    <t>Outcome effect size type in the Campbell collaboration calculator chosen by secondary coder</t>
  </si>
  <si>
    <t>Effect size type used in meta-analysis as listed from Campbell collaboration calculator, after agreement between primary and secondary coder</t>
  </si>
  <si>
    <t>Value of the effect size as calculated by primary coder using Campbell collaboration calculator</t>
  </si>
  <si>
    <t>Value of the effect size as calculated by secondary coder using Campbell collaboration calculator</t>
  </si>
  <si>
    <t>Value of the effect size used in the meta-analysis, either the value calculated from the raw data or if raw data were not available calculated from the regression statistic</t>
  </si>
  <si>
    <t>Value of the variance in the effect size calculated by primary coder using Campbell collaboration calculator</t>
  </si>
  <si>
    <t>Value of the variance in the effect size calculated by secondary coder using Campbell collaboration calculator</t>
  </si>
  <si>
    <t>Value of variance as 95% confidence intervals, as calculated from raw data or as listed in the publication for effect sizes where raw data were not available</t>
  </si>
  <si>
    <t>Value of variance as standard error, as calculated from raw data or as listed in the publication for effect sizes where raw data were not available</t>
  </si>
  <si>
    <t>Value of the variance used in meta-analysis (for cases with raw data available calculated from Campbell collaboration calculator, and for cases where only standard error available calculated as square of standard error, and for cases where only 95% confidence intervals available calculated by dividing the 95% confidence interval by 1.96 and then squaring)</t>
  </si>
  <si>
    <t>Sample size, as either total number of submissions and publications sampled, or number of survey respondants</t>
  </si>
  <si>
    <t>Initials of second coder who extracted effect sizes</t>
  </si>
  <si>
    <t>Any notes by second coder</t>
  </si>
  <si>
    <t>Any notes by primary coder after reviewing extracted variables by secondary coder</t>
  </si>
  <si>
    <t>Classifier indicating whether or not data available were available for separate effect sizes to be calculated on interaction effect of parent status</t>
  </si>
  <si>
    <t>Classifier indicating whether or not data available were available for separate effect sizes to be calculated on interaction effect of geographic region</t>
  </si>
  <si>
    <t>Classifier indicating whether or not data available were available for separate effect sizes to be calculated on interaction effect of career stage/age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</si>
</sst>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00000000"/>
  </numFmts>
  <fonts count="34">
    <font>
      <sz val="12"/>
      <color theme="1"/>
      <name val="Calibri"/>
      <family val="2"/>
      <scheme val="minor"/>
    </font>
    <font>
      <b/>
      <sz val="11"/>
      <color theme="1"/>
      <name val="Calibri"/>
      <family val="2"/>
    </font>
    <font>
      <sz val="10"/>
      <color theme="1"/>
      <name val="Arial"/>
      <family val="2"/>
    </font>
    <font>
      <sz val="11"/>
      <color theme="1"/>
      <name val="Calibri"/>
      <family val="2"/>
    </font>
    <font>
      <u/>
      <sz val="10"/>
      <color rgb="FF1155CC"/>
      <name val="Arial"/>
      <family val="2"/>
    </font>
    <font>
      <sz val="12"/>
      <color theme="1"/>
      <name val="Calibri"/>
      <family val="2"/>
    </font>
    <font>
      <sz val="11"/>
      <color theme="1"/>
      <name val="Times"/>
      <family val="1"/>
    </font>
    <font>
      <sz val="11"/>
      <color theme="1"/>
      <name val="Docs-Calibri"/>
    </font>
    <font>
      <sz val="11"/>
      <color theme="1"/>
      <name val="Inconsolata"/>
    </font>
    <font>
      <u/>
      <sz val="11"/>
      <color rgb="FF1155CC"/>
      <name val="Calibri"/>
      <family val="2"/>
    </font>
    <font>
      <sz val="12"/>
      <color theme="1"/>
      <name val="Times New Roman"/>
      <family val="1"/>
    </font>
    <font>
      <sz val="10"/>
      <color rgb="FF000000"/>
      <name val="Calibri"/>
      <family val="2"/>
      <scheme val="minor"/>
    </font>
    <font>
      <sz val="10"/>
      <color theme="1"/>
      <name val="Calibri"/>
      <family val="2"/>
      <scheme val="minor"/>
    </font>
    <font>
      <b/>
      <sz val="10"/>
      <color theme="1"/>
      <name val="Calibri"/>
      <family val="2"/>
      <scheme val="minor"/>
    </font>
    <font>
      <sz val="10"/>
      <color rgb="FF231F20"/>
      <name val="Calibri"/>
      <family val="2"/>
      <scheme val="minor"/>
    </font>
    <font>
      <i/>
      <sz val="10"/>
      <color rgb="FF231F20"/>
      <name val="Calibri"/>
      <family val="2"/>
      <scheme val="minor"/>
    </font>
    <font>
      <i/>
      <sz val="10"/>
      <color theme="1"/>
      <name val="Calibri"/>
      <family val="2"/>
      <scheme val="minor"/>
    </font>
    <font>
      <sz val="10"/>
      <color theme="1"/>
      <name val="Arial"/>
      <family val="2"/>
    </font>
    <font>
      <sz val="11"/>
      <color rgb="FF000000"/>
      <name val="Inconsolata"/>
    </font>
    <font>
      <u/>
      <sz val="10"/>
      <color rgb="FF0000FF"/>
      <name val="Arial"/>
      <family val="2"/>
    </font>
    <font>
      <sz val="10"/>
      <color rgb="FF222222"/>
      <name val="Arial"/>
      <family val="2"/>
    </font>
    <font>
      <sz val="10"/>
      <color rgb="FF222222"/>
      <name val="Roboto"/>
    </font>
    <font>
      <sz val="11"/>
      <color rgb="FF000000"/>
      <name val="Calibri"/>
      <family val="2"/>
    </font>
    <font>
      <b/>
      <sz val="11"/>
      <color theme="1"/>
      <name val="Cambria"/>
      <family val="1"/>
    </font>
    <font>
      <sz val="10"/>
      <name val="Arial"/>
      <family val="2"/>
    </font>
    <font>
      <sz val="10"/>
      <color rgb="FF000000"/>
      <name val="Arial"/>
      <family val="2"/>
    </font>
    <font>
      <sz val="11"/>
      <color theme="1"/>
      <name val="Calibri"/>
      <family val="2"/>
    </font>
    <font>
      <i/>
      <sz val="11"/>
      <color theme="1"/>
      <name val="Calibri"/>
      <family val="2"/>
    </font>
    <font>
      <b/>
      <sz val="11"/>
      <color theme="1"/>
      <name val="Calibri"/>
      <family val="2"/>
    </font>
    <font>
      <u/>
      <sz val="10"/>
      <color rgb="FF1155CC"/>
      <name val="Arial"/>
      <family val="2"/>
    </font>
    <font>
      <sz val="10"/>
      <color theme="1"/>
      <name val="Roboto"/>
    </font>
    <font>
      <sz val="10"/>
      <color theme="1"/>
      <name val="NexusSan"/>
    </font>
    <font>
      <sz val="11"/>
      <color theme="1"/>
      <name val="Arial"/>
      <family val="2"/>
    </font>
    <font>
      <sz val="10"/>
      <color rgb="FF0000FF"/>
      <name val="Arial"/>
      <family val="2"/>
    </font>
  </fonts>
  <fills count="9">
    <fill>
      <patternFill patternType="none"/>
    </fill>
    <fill>
      <patternFill patternType="gray125"/>
    </fill>
    <fill>
      <patternFill patternType="solid">
        <fgColor theme="0"/>
        <bgColor theme="0"/>
      </patternFill>
    </fill>
    <fill>
      <patternFill patternType="solid">
        <fgColor theme="7"/>
        <bgColor theme="7"/>
      </patternFill>
    </fill>
    <fill>
      <patternFill patternType="solid">
        <fgColor rgb="FFFFFFFF"/>
        <bgColor rgb="FFFFFFFF"/>
      </patternFill>
    </fill>
    <fill>
      <patternFill patternType="solid">
        <fgColor rgb="FFDEEAF6"/>
        <bgColor rgb="FFDEEAF6"/>
      </patternFill>
    </fill>
    <fill>
      <patternFill patternType="solid">
        <fgColor rgb="FFE5E5E5"/>
        <bgColor rgb="FFE5E5E5"/>
      </patternFill>
    </fill>
    <fill>
      <patternFill patternType="solid">
        <fgColor rgb="FFE6E7E8"/>
        <bgColor rgb="FFE6E7E8"/>
      </patternFill>
    </fill>
    <fill>
      <patternFill patternType="solid">
        <fgColor rgb="FFDFEAF7"/>
        <bgColor rgb="FFDFEAF7"/>
      </patternFill>
    </fill>
  </fills>
  <borders count="19">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000000"/>
      </left>
      <right style="medium">
        <color rgb="FFCCCCCC"/>
      </right>
      <top style="medium">
        <color rgb="FFCCCCCC"/>
      </top>
      <bottom style="medium">
        <color rgb="FFCCCCCC"/>
      </bottom>
      <diagonal/>
    </border>
    <border>
      <left style="thin">
        <color rgb="FF000000"/>
      </left>
      <right style="thin">
        <color rgb="FF000000"/>
      </right>
      <top style="thin">
        <color rgb="FF000000"/>
      </top>
      <bottom style="thin">
        <color rgb="FF000000"/>
      </bottom>
      <diagonal/>
    </border>
    <border>
      <left style="thin">
        <color rgb="FFBFBFBF"/>
      </left>
      <right style="thin">
        <color rgb="FFBFBFBF"/>
      </right>
      <top style="thin">
        <color rgb="FFBFBFBF"/>
      </top>
      <bottom style="thin">
        <color rgb="FFBFBFBF"/>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BFBFBF"/>
      </right>
      <top/>
      <bottom style="thin">
        <color rgb="FFBFBFBF"/>
      </bottom>
      <diagonal/>
    </border>
    <border>
      <left/>
      <right style="thin">
        <color rgb="FF000000"/>
      </right>
      <top/>
      <bottom style="thin">
        <color rgb="FFBFBFBF"/>
      </bottom>
      <diagonal/>
    </border>
    <border>
      <left style="thin">
        <color rgb="FFBFBFBF"/>
      </left>
      <right style="thin">
        <color rgb="FF000000"/>
      </right>
      <top/>
      <bottom style="thin">
        <color rgb="FFBFBFBF"/>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style="thin">
        <color rgb="FFBFBFBF"/>
      </left>
      <right style="thin">
        <color rgb="FFBFBFBF"/>
      </right>
      <top style="thin">
        <color rgb="FFBFBFBF"/>
      </top>
      <bottom/>
      <diagonal/>
    </border>
    <border>
      <left/>
      <right/>
      <top/>
      <bottom style="thin">
        <color rgb="FF000000"/>
      </bottom>
      <diagonal/>
    </border>
  </borders>
  <cellStyleXfs count="2">
    <xf numFmtId="0" fontId="0" fillId="0" borderId="0"/>
    <xf numFmtId="0" fontId="11" fillId="0" borderId="0"/>
  </cellStyleXfs>
  <cellXfs count="153">
    <xf numFmtId="0" fontId="0" fillId="0" borderId="0" xfId="0"/>
    <xf numFmtId="0" fontId="1" fillId="0" borderId="0" xfId="0" applyFont="1"/>
    <xf numFmtId="0" fontId="3" fillId="0" borderId="0" xfId="0" applyFont="1"/>
    <xf numFmtId="9" fontId="2" fillId="0" borderId="0" xfId="0" applyNumberFormat="1" applyFont="1"/>
    <xf numFmtId="0" fontId="4" fillId="0" borderId="0" xfId="0" applyFont="1"/>
    <xf numFmtId="0" fontId="5" fillId="0" borderId="0" xfId="0" applyFont="1"/>
    <xf numFmtId="0" fontId="6" fillId="0" borderId="0" xfId="0" applyFont="1"/>
    <xf numFmtId="0" fontId="2" fillId="0" borderId="0" xfId="0" applyFont="1"/>
    <xf numFmtId="164" fontId="0" fillId="0" borderId="0" xfId="0" applyNumberFormat="1"/>
    <xf numFmtId="165" fontId="0" fillId="0" borderId="0" xfId="0" applyNumberFormat="1"/>
    <xf numFmtId="9" fontId="3" fillId="0" borderId="0" xfId="0" applyNumberFormat="1" applyFont="1"/>
    <xf numFmtId="14" fontId="2" fillId="0" borderId="0" xfId="0" applyNumberFormat="1" applyFont="1"/>
    <xf numFmtId="0" fontId="9" fillId="0" borderId="0" xfId="0" applyFont="1"/>
    <xf numFmtId="0" fontId="2" fillId="0" borderId="0" xfId="0" applyFont="1" applyAlignment="1">
      <alignment wrapText="1"/>
    </xf>
    <xf numFmtId="0" fontId="3" fillId="0" borderId="0" xfId="0" applyFont="1" applyAlignment="1">
      <alignment wrapText="1"/>
    </xf>
    <xf numFmtId="0" fontId="10" fillId="0" borderId="0" xfId="0" applyFont="1"/>
    <xf numFmtId="0" fontId="7" fillId="0" borderId="0" xfId="0" applyFont="1"/>
    <xf numFmtId="0" fontId="8" fillId="0" borderId="0" xfId="0" applyFont="1"/>
    <xf numFmtId="3" fontId="2" fillId="0" borderId="0" xfId="0" applyNumberFormat="1" applyFont="1"/>
    <xf numFmtId="0" fontId="2" fillId="0" borderId="1" xfId="0" applyFont="1" applyBorder="1" applyAlignment="1">
      <alignment horizontal="right" wrapText="1"/>
    </xf>
    <xf numFmtId="0" fontId="2" fillId="0" borderId="1" xfId="0" applyFont="1" applyBorder="1" applyAlignment="1">
      <alignment wrapText="1"/>
    </xf>
    <xf numFmtId="0" fontId="1" fillId="0" borderId="1" xfId="0" applyFont="1" applyBorder="1" applyAlignment="1">
      <alignment wrapText="1"/>
    </xf>
    <xf numFmtId="0" fontId="2" fillId="0" borderId="4" xfId="0" applyFont="1" applyBorder="1" applyAlignment="1">
      <alignment horizontal="right" wrapText="1"/>
    </xf>
    <xf numFmtId="0" fontId="3" fillId="0" borderId="1" xfId="0" applyFont="1" applyBorder="1" applyAlignment="1">
      <alignment horizontal="right" wrapText="1"/>
    </xf>
    <xf numFmtId="0" fontId="11" fillId="0" borderId="0" xfId="1"/>
    <xf numFmtId="0" fontId="12" fillId="2" borderId="0" xfId="1" applyFont="1" applyFill="1"/>
    <xf numFmtId="0" fontId="12" fillId="3" borderId="0" xfId="1" applyFont="1" applyFill="1"/>
    <xf numFmtId="0" fontId="12" fillId="0" borderId="0" xfId="1" applyFont="1"/>
    <xf numFmtId="0" fontId="12" fillId="0" borderId="5" xfId="1" applyFont="1" applyBorder="1" applyAlignment="1">
      <alignment horizontal="center" vertical="top"/>
    </xf>
    <xf numFmtId="0" fontId="13" fillId="0" borderId="5" xfId="1" applyFont="1" applyBorder="1" applyAlignment="1">
      <alignment vertical="top"/>
    </xf>
    <xf numFmtId="0" fontId="12" fillId="3" borderId="5" xfId="1" applyFont="1" applyFill="1" applyBorder="1" applyAlignment="1">
      <alignment vertical="top"/>
    </xf>
    <xf numFmtId="0" fontId="12" fillId="0" borderId="5" xfId="1" applyFont="1" applyBorder="1" applyAlignment="1">
      <alignment vertical="top"/>
    </xf>
    <xf numFmtId="0" fontId="12" fillId="3" borderId="5" xfId="1" applyFont="1" applyFill="1" applyBorder="1" applyAlignment="1">
      <alignment horizontal="center" vertical="top"/>
    </xf>
    <xf numFmtId="0" fontId="14" fillId="3" borderId="5" xfId="1" applyFont="1" applyFill="1" applyBorder="1" applyAlignment="1">
      <alignment horizontal="right" vertical="top"/>
    </xf>
    <xf numFmtId="0" fontId="14" fillId="3" borderId="5" xfId="1" applyFont="1" applyFill="1" applyBorder="1" applyAlignment="1">
      <alignment horizontal="center" vertical="top"/>
    </xf>
    <xf numFmtId="0" fontId="14" fillId="0" borderId="5" xfId="1" applyFont="1" applyBorder="1" applyAlignment="1">
      <alignment vertical="top"/>
    </xf>
    <xf numFmtId="0" fontId="12" fillId="0" borderId="0" xfId="1" applyFont="1" applyAlignment="1">
      <alignment vertical="top"/>
    </xf>
    <xf numFmtId="0" fontId="14" fillId="3" borderId="0" xfId="1" applyFont="1" applyFill="1" applyAlignment="1">
      <alignment horizontal="center" vertical="top"/>
    </xf>
    <xf numFmtId="0" fontId="14" fillId="0" borderId="0" xfId="1" applyFont="1" applyAlignment="1">
      <alignment vertical="top"/>
    </xf>
    <xf numFmtId="0" fontId="12" fillId="0" borderId="6" xfId="1" applyFont="1" applyBorder="1" applyAlignment="1">
      <alignment vertical="top"/>
    </xf>
    <xf numFmtId="0" fontId="14" fillId="0" borderId="6" xfId="1" applyFont="1" applyBorder="1" applyAlignment="1">
      <alignment horizontal="right" vertical="top"/>
    </xf>
    <xf numFmtId="0" fontId="14" fillId="0" borderId="6" xfId="1" applyFont="1" applyBorder="1" applyAlignment="1">
      <alignment horizontal="center" vertical="top"/>
    </xf>
    <xf numFmtId="0" fontId="14" fillId="0" borderId="6" xfId="1" applyFont="1" applyBorder="1" applyAlignment="1">
      <alignment vertical="top"/>
    </xf>
    <xf numFmtId="0" fontId="14" fillId="0" borderId="5" xfId="1" applyFont="1" applyBorder="1" applyAlignment="1">
      <alignment horizontal="right" vertical="top"/>
    </xf>
    <xf numFmtId="0" fontId="14" fillId="0" borderId="5" xfId="1" applyFont="1" applyBorder="1" applyAlignment="1">
      <alignment horizontal="center" vertical="top"/>
    </xf>
    <xf numFmtId="0" fontId="15" fillId="0" borderId="5" xfId="1" applyFont="1" applyBorder="1" applyAlignment="1">
      <alignment vertical="top"/>
    </xf>
    <xf numFmtId="0" fontId="16" fillId="0" borderId="0" xfId="1" applyFont="1" applyAlignment="1">
      <alignment horizontal="center"/>
    </xf>
    <xf numFmtId="0" fontId="12" fillId="0" borderId="0" xfId="1" applyFont="1" applyAlignment="1">
      <alignment horizontal="center"/>
    </xf>
    <xf numFmtId="0" fontId="12" fillId="3" borderId="6" xfId="1" applyFont="1" applyFill="1" applyBorder="1" applyAlignment="1">
      <alignment vertical="top"/>
    </xf>
    <xf numFmtId="9" fontId="12" fillId="0" borderId="0" xfId="1" applyNumberFormat="1" applyFont="1"/>
    <xf numFmtId="10" fontId="17" fillId="0" borderId="7" xfId="1" applyNumberFormat="1" applyFont="1" applyBorder="1" applyAlignment="1">
      <alignment horizontal="right" vertical="top"/>
    </xf>
    <xf numFmtId="10" fontId="17" fillId="0" borderId="7" xfId="1" applyNumberFormat="1" applyFont="1" applyBorder="1" applyAlignment="1">
      <alignment vertical="top"/>
    </xf>
    <xf numFmtId="10" fontId="17" fillId="0" borderId="8" xfId="1" applyNumberFormat="1" applyFont="1" applyBorder="1" applyAlignment="1">
      <alignment horizontal="right" vertical="top"/>
    </xf>
    <xf numFmtId="4" fontId="12" fillId="3" borderId="0" xfId="1" applyNumberFormat="1" applyFont="1" applyFill="1"/>
    <xf numFmtId="4" fontId="17" fillId="0" borderId="7" xfId="1" applyNumberFormat="1" applyFont="1" applyBorder="1" applyAlignment="1">
      <alignment horizontal="right" vertical="top"/>
    </xf>
    <xf numFmtId="4" fontId="12" fillId="0" borderId="0" xfId="1" applyNumberFormat="1" applyFont="1"/>
    <xf numFmtId="0" fontId="17" fillId="0" borderId="9" xfId="1" applyFont="1" applyBorder="1" applyAlignment="1">
      <alignment horizontal="right" vertical="top"/>
    </xf>
    <xf numFmtId="0" fontId="17" fillId="0" borderId="7" xfId="1" applyFont="1" applyBorder="1" applyAlignment="1">
      <alignment horizontal="right" vertical="top"/>
    </xf>
    <xf numFmtId="0" fontId="17" fillId="0" borderId="7" xfId="1" applyFont="1" applyBorder="1" applyAlignment="1">
      <alignment horizontal="center" vertical="top"/>
    </xf>
    <xf numFmtId="0" fontId="17" fillId="0" borderId="10" xfId="1" applyFont="1" applyBorder="1" applyAlignment="1">
      <alignment horizontal="center" vertical="top"/>
    </xf>
    <xf numFmtId="0" fontId="17" fillId="0" borderId="11" xfId="1" applyFont="1" applyBorder="1" applyAlignment="1">
      <alignment horizontal="right" vertical="top"/>
    </xf>
    <xf numFmtId="0" fontId="17" fillId="0" borderId="12" xfId="1" applyFont="1" applyBorder="1" applyAlignment="1">
      <alignment horizontal="right" vertical="top"/>
    </xf>
    <xf numFmtId="0" fontId="17" fillId="0" borderId="12" xfId="1" applyFont="1" applyBorder="1" applyAlignment="1">
      <alignment horizontal="center" vertical="top"/>
    </xf>
    <xf numFmtId="0" fontId="17" fillId="0" borderId="5" xfId="1" applyFont="1" applyBorder="1" applyAlignment="1">
      <alignment horizontal="right" vertical="top"/>
    </xf>
    <xf numFmtId="0" fontId="12" fillId="0" borderId="5" xfId="1" applyFont="1" applyBorder="1" applyAlignment="1">
      <alignment horizontal="right" vertical="top"/>
    </xf>
    <xf numFmtId="0" fontId="18" fillId="4" borderId="0" xfId="1" applyFont="1" applyFill="1" applyAlignment="1">
      <alignment horizontal="left"/>
    </xf>
    <xf numFmtId="0" fontId="19" fillId="0" borderId="0" xfId="1" applyFont="1"/>
    <xf numFmtId="0" fontId="18" fillId="4" borderId="0" xfId="1" applyFont="1" applyFill="1"/>
    <xf numFmtId="0" fontId="20" fillId="4" borderId="0" xfId="1" applyFont="1" applyFill="1"/>
    <xf numFmtId="0" fontId="21" fillId="4" borderId="7" xfId="1" applyFont="1" applyFill="1" applyBorder="1" applyAlignment="1">
      <alignment vertical="top"/>
    </xf>
    <xf numFmtId="0" fontId="21" fillId="4" borderId="8" xfId="1" applyFont="1" applyFill="1" applyBorder="1" applyAlignment="1">
      <alignment vertical="top"/>
    </xf>
    <xf numFmtId="0" fontId="21" fillId="4" borderId="13" xfId="1" applyFont="1" applyFill="1" applyBorder="1" applyAlignment="1">
      <alignment vertical="top"/>
    </xf>
    <xf numFmtId="0" fontId="21" fillId="4" borderId="14" xfId="1" applyFont="1" applyFill="1" applyBorder="1" applyAlignment="1">
      <alignment vertical="top"/>
    </xf>
    <xf numFmtId="0" fontId="21" fillId="4" borderId="12" xfId="1" applyFont="1" applyFill="1" applyBorder="1" applyAlignment="1">
      <alignment vertical="top"/>
    </xf>
    <xf numFmtId="0" fontId="21" fillId="4" borderId="5" xfId="1" applyFont="1" applyFill="1" applyBorder="1" applyAlignment="1">
      <alignment vertical="top"/>
    </xf>
    <xf numFmtId="0" fontId="17" fillId="0" borderId="0" xfId="1" applyFont="1" applyAlignment="1">
      <alignment horizontal="right"/>
    </xf>
    <xf numFmtId="0" fontId="12" fillId="5" borderId="6" xfId="1" applyFont="1" applyFill="1" applyBorder="1" applyAlignment="1">
      <alignment horizontal="right" vertical="top"/>
    </xf>
    <xf numFmtId="0" fontId="12" fillId="5" borderId="6" xfId="1" applyFont="1" applyFill="1" applyBorder="1" applyAlignment="1">
      <alignment vertical="top"/>
    </xf>
    <xf numFmtId="0" fontId="22" fillId="0" borderId="0" xfId="1" applyFont="1" applyAlignment="1">
      <alignment horizontal="right"/>
    </xf>
    <xf numFmtId="0" fontId="23" fillId="0" borderId="7" xfId="1" applyFont="1" applyBorder="1" applyAlignment="1">
      <alignment horizontal="center" vertical="top"/>
    </xf>
    <xf numFmtId="0" fontId="23" fillId="0" borderId="12" xfId="1" applyFont="1" applyBorder="1" applyAlignment="1">
      <alignment horizontal="center" vertical="top"/>
    </xf>
    <xf numFmtId="0" fontId="23" fillId="0" borderId="5" xfId="1" applyFont="1" applyBorder="1" applyAlignment="1">
      <alignment horizontal="center" vertical="top"/>
    </xf>
    <xf numFmtId="0" fontId="16" fillId="6" borderId="5" xfId="1" applyFont="1" applyFill="1" applyBorder="1" applyAlignment="1">
      <alignment vertical="top"/>
    </xf>
    <xf numFmtId="0" fontId="12" fillId="7" borderId="5" xfId="1" applyFont="1" applyFill="1" applyBorder="1" applyAlignment="1">
      <alignment horizontal="right" vertical="top"/>
    </xf>
    <xf numFmtId="0" fontId="12" fillId="7" borderId="6" xfId="1" applyFont="1" applyFill="1" applyBorder="1" applyAlignment="1">
      <alignment horizontal="center" vertical="top"/>
    </xf>
    <xf numFmtId="0" fontId="12" fillId="7" borderId="6" xfId="1" applyFont="1" applyFill="1" applyBorder="1" applyAlignment="1">
      <alignment vertical="top"/>
    </xf>
    <xf numFmtId="0" fontId="12" fillId="7" borderId="6" xfId="1" applyFont="1" applyFill="1" applyBorder="1" applyAlignment="1">
      <alignment horizontal="right" vertical="top"/>
    </xf>
    <xf numFmtId="0" fontId="12" fillId="7" borderId="5" xfId="1" applyFont="1" applyFill="1" applyBorder="1" applyAlignment="1">
      <alignment vertical="top"/>
    </xf>
    <xf numFmtId="0" fontId="12" fillId="0" borderId="6" xfId="1" applyFont="1" applyBorder="1" applyAlignment="1">
      <alignment horizontal="center" vertical="top"/>
    </xf>
    <xf numFmtId="0" fontId="12" fillId="0" borderId="6" xfId="1" applyFont="1" applyBorder="1" applyAlignment="1">
      <alignment horizontal="right" vertical="top"/>
    </xf>
    <xf numFmtId="0" fontId="12" fillId="7" borderId="5" xfId="1" applyFont="1" applyFill="1" applyBorder="1" applyAlignment="1">
      <alignment horizontal="center" vertical="top"/>
    </xf>
    <xf numFmtId="10" fontId="12" fillId="0" borderId="0" xfId="1" applyNumberFormat="1" applyFont="1"/>
    <xf numFmtId="0" fontId="25" fillId="4" borderId="0" xfId="1" applyFont="1" applyFill="1" applyAlignment="1">
      <alignment horizontal="left"/>
    </xf>
    <xf numFmtId="0" fontId="13" fillId="0" borderId="0" xfId="1" applyFont="1"/>
    <xf numFmtId="0" fontId="14" fillId="0" borderId="0" xfId="1" applyFont="1"/>
    <xf numFmtId="3" fontId="12" fillId="0" borderId="0" xfId="1" applyNumberFormat="1" applyFont="1"/>
    <xf numFmtId="0" fontId="12" fillId="0" borderId="0" xfId="1" applyFont="1" applyAlignment="1">
      <alignment horizontal="center" vertical="top"/>
    </xf>
    <xf numFmtId="0" fontId="12" fillId="0" borderId="0" xfId="1" applyFont="1" applyAlignment="1">
      <alignment horizontal="right" vertical="top"/>
    </xf>
    <xf numFmtId="0" fontId="16" fillId="8" borderId="5" xfId="1" applyFont="1" applyFill="1" applyBorder="1" applyAlignment="1">
      <alignment horizontal="right" vertical="top"/>
    </xf>
    <xf numFmtId="0" fontId="16" fillId="8" borderId="5" xfId="1" applyFont="1" applyFill="1" applyBorder="1" applyAlignment="1">
      <alignment horizontal="center" vertical="top"/>
    </xf>
    <xf numFmtId="10" fontId="12" fillId="8" borderId="5" xfId="1" applyNumberFormat="1" applyFont="1" applyFill="1" applyBorder="1" applyAlignment="1">
      <alignment horizontal="center" vertical="top"/>
    </xf>
    <xf numFmtId="0" fontId="22" fillId="3" borderId="0" xfId="1" applyFont="1" applyFill="1" applyAlignment="1">
      <alignment horizontal="right"/>
    </xf>
    <xf numFmtId="0" fontId="22" fillId="0" borderId="0" xfId="1" applyFont="1"/>
    <xf numFmtId="9" fontId="22" fillId="0" borderId="0" xfId="1" applyNumberFormat="1" applyFont="1" applyAlignment="1">
      <alignment horizontal="right"/>
    </xf>
    <xf numFmtId="1" fontId="22" fillId="0" borderId="0" xfId="1" applyNumberFormat="1" applyFont="1"/>
    <xf numFmtId="1" fontId="12" fillId="3" borderId="0" xfId="1" applyNumberFormat="1" applyFont="1" applyFill="1"/>
    <xf numFmtId="1" fontId="22" fillId="3" borderId="0" xfId="1" applyNumberFormat="1" applyFont="1" applyFill="1"/>
    <xf numFmtId="1" fontId="22" fillId="2" borderId="0" xfId="1" applyNumberFormat="1" applyFont="1" applyFill="1"/>
    <xf numFmtId="0" fontId="22" fillId="2" borderId="0" xfId="1" applyFont="1" applyFill="1"/>
    <xf numFmtId="0" fontId="26" fillId="0" borderId="0" xfId="1" applyFont="1" applyAlignment="1">
      <alignment vertical="top"/>
    </xf>
    <xf numFmtId="0" fontId="22" fillId="0" borderId="7" xfId="1" applyFont="1" applyBorder="1" applyAlignment="1">
      <alignment horizontal="center"/>
    </xf>
    <xf numFmtId="0" fontId="22" fillId="0" borderId="18" xfId="1" applyFont="1" applyBorder="1" applyAlignment="1">
      <alignment horizontal="center"/>
    </xf>
    <xf numFmtId="0" fontId="26" fillId="0" borderId="7" xfId="1" applyFont="1" applyBorder="1"/>
    <xf numFmtId="0" fontId="22" fillId="0" borderId="13" xfId="1" applyFont="1" applyBorder="1" applyAlignment="1">
      <alignment horizontal="center"/>
    </xf>
    <xf numFmtId="0" fontId="22" fillId="0" borderId="0" xfId="1" applyFont="1" applyAlignment="1">
      <alignment horizontal="center"/>
    </xf>
    <xf numFmtId="0" fontId="26" fillId="0" borderId="13" xfId="1" applyFont="1" applyBorder="1"/>
    <xf numFmtId="0" fontId="27" fillId="0" borderId="7" xfId="1" applyFont="1" applyBorder="1" applyAlignment="1">
      <alignment horizontal="center"/>
    </xf>
    <xf numFmtId="0" fontId="27" fillId="0" borderId="18" xfId="1" applyFont="1" applyBorder="1" applyAlignment="1">
      <alignment horizontal="center"/>
    </xf>
    <xf numFmtId="0" fontId="28" fillId="0" borderId="7" xfId="1" applyFont="1" applyBorder="1"/>
    <xf numFmtId="0" fontId="12" fillId="0" borderId="13" xfId="1" applyFont="1" applyBorder="1"/>
    <xf numFmtId="0" fontId="17" fillId="0" borderId="0" xfId="1" applyFont="1"/>
    <xf numFmtId="0" fontId="29" fillId="0" borderId="0" xfId="1" applyFont="1"/>
    <xf numFmtId="0" fontId="30" fillId="4" borderId="0" xfId="1" applyFont="1" applyFill="1"/>
    <xf numFmtId="0" fontId="17" fillId="4" borderId="0" xfId="1" applyFont="1" applyFill="1"/>
    <xf numFmtId="0" fontId="31" fillId="4" borderId="0" xfId="1" applyFont="1" applyFill="1"/>
    <xf numFmtId="0" fontId="17" fillId="0" borderId="5" xfId="1" applyFont="1" applyBorder="1"/>
    <xf numFmtId="0" fontId="30" fillId="4" borderId="5" xfId="1" applyFont="1" applyFill="1" applyBorder="1"/>
    <xf numFmtId="0" fontId="32" fillId="0" borderId="0" xfId="1" applyFont="1"/>
    <xf numFmtId="0" fontId="2" fillId="0" borderId="1" xfId="0" applyFont="1" applyBorder="1"/>
    <xf numFmtId="0" fontId="3" fillId="0" borderId="0" xfId="0" applyFont="1" applyAlignment="1">
      <alignment horizontal="right" wrapText="1"/>
    </xf>
    <xf numFmtId="0" fontId="3" fillId="0" borderId="1" xfId="0" applyFont="1" applyBorder="1"/>
    <xf numFmtId="0" fontId="2" fillId="0" borderId="0" xfId="0" applyFont="1" applyAlignment="1">
      <alignment horizontal="right" wrapText="1"/>
    </xf>
    <xf numFmtId="0" fontId="2" fillId="0" borderId="2" xfId="0" applyFont="1" applyBorder="1"/>
    <xf numFmtId="0" fontId="2" fillId="0" borderId="0" xfId="0" applyFont="1" applyAlignment="1">
      <alignment vertical="center"/>
    </xf>
    <xf numFmtId="0" fontId="2" fillId="0" borderId="3" xfId="0" applyFont="1" applyBorder="1"/>
    <xf numFmtId="14" fontId="2" fillId="0" borderId="0" xfId="0" applyNumberFormat="1" applyFont="1" applyAlignment="1">
      <alignment wrapText="1"/>
    </xf>
    <xf numFmtId="14" fontId="2" fillId="0" borderId="1" xfId="0" applyNumberFormat="1" applyFont="1" applyBorder="1"/>
    <xf numFmtId="0" fontId="25" fillId="0" borderId="0" xfId="0" applyFont="1"/>
    <xf numFmtId="0" fontId="2" fillId="0" borderId="0" xfId="1" applyFont="1"/>
    <xf numFmtId="0" fontId="33" fillId="0" borderId="0" xfId="1" applyFont="1"/>
    <xf numFmtId="0" fontId="12" fillId="8" borderId="17" xfId="1" applyFont="1" applyFill="1" applyBorder="1" applyAlignment="1">
      <alignment vertical="top"/>
    </xf>
    <xf numFmtId="0" fontId="24" fillId="0" borderId="16" xfId="1" applyFont="1" applyBorder="1"/>
    <xf numFmtId="0" fontId="24" fillId="0" borderId="15" xfId="1" applyFont="1" applyBorder="1"/>
    <xf numFmtId="0" fontId="12" fillId="0" borderId="0" xfId="1" applyFont="1"/>
    <xf numFmtId="0" fontId="11" fillId="0" borderId="0" xfId="1"/>
    <xf numFmtId="0" fontId="23" fillId="0" borderId="14" xfId="1" applyFont="1" applyBorder="1" applyAlignment="1">
      <alignment horizontal="center" vertical="top"/>
    </xf>
    <xf numFmtId="0" fontId="24" fillId="0" borderId="8" xfId="1" applyFont="1" applyBorder="1"/>
    <xf numFmtId="0" fontId="28" fillId="0" borderId="0" xfId="1" applyFont="1" applyAlignment="1">
      <alignment horizontal="center"/>
    </xf>
    <xf numFmtId="0" fontId="24" fillId="0" borderId="13" xfId="1" applyFont="1" applyBorder="1"/>
    <xf numFmtId="0" fontId="26" fillId="0" borderId="0" xfId="1" applyFont="1" applyAlignment="1">
      <alignment horizontal="center"/>
    </xf>
    <xf numFmtId="0" fontId="27" fillId="0" borderId="13" xfId="1" applyFont="1" applyBorder="1" applyAlignment="1">
      <alignment horizontal="center"/>
    </xf>
    <xf numFmtId="0" fontId="24" fillId="0" borderId="7" xfId="1" applyFont="1" applyBorder="1"/>
    <xf numFmtId="0" fontId="24" fillId="0" borderId="14" xfId="1" applyFont="1" applyBorder="1"/>
  </cellXfs>
  <cellStyles count="2">
    <cellStyle name="Normal" xfId="0" builtinId="0"/>
    <cellStyle name="Normal 2" xfId="1" xr:uid="{813A98C9-6D29-0043-9BE7-425D0F91C8F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22</xdr:col>
      <xdr:colOff>400050</xdr:colOff>
      <xdr:row>124</xdr:row>
      <xdr:rowOff>190500</xdr:rowOff>
    </xdr:from>
    <xdr:ext cx="4248150" cy="4476750"/>
    <xdr:pic>
      <xdr:nvPicPr>
        <xdr:cNvPr id="2" name="image5.png" title="Image">
          <a:extLst>
            <a:ext uri="{FF2B5EF4-FFF2-40B4-BE49-F238E27FC236}">
              <a16:creationId xmlns:a16="http://schemas.microsoft.com/office/drawing/2014/main" id="{9582C650-4E44-4946-BE04-D980C59FF806}"/>
            </a:ext>
          </a:extLst>
        </xdr:cNvPr>
        <xdr:cNvPicPr preferRelativeResize="0"/>
      </xdr:nvPicPr>
      <xdr:blipFill>
        <a:blip xmlns:r="http://schemas.openxmlformats.org/officeDocument/2006/relationships" r:embed="rId1" cstate="print"/>
        <a:stretch>
          <a:fillRect/>
        </a:stretch>
      </xdr:blipFill>
      <xdr:spPr>
        <a:xfrm>
          <a:off x="21634450" y="20637500"/>
          <a:ext cx="4248150" cy="4476750"/>
        </a:xfrm>
        <a:prstGeom prst="rect">
          <a:avLst/>
        </a:prstGeom>
        <a:noFill/>
      </xdr:spPr>
    </xdr:pic>
    <xdr:clientData fLocksWithSheet="0"/>
  </xdr:oneCellAnchor>
  <xdr:oneCellAnchor>
    <xdr:from>
      <xdr:col>20</xdr:col>
      <xdr:colOff>352425</xdr:colOff>
      <xdr:row>165</xdr:row>
      <xdr:rowOff>104775</xdr:rowOff>
    </xdr:from>
    <xdr:ext cx="5200650" cy="4057650"/>
    <xdr:pic>
      <xdr:nvPicPr>
        <xdr:cNvPr id="3" name="image4.png" title="Image">
          <a:extLst>
            <a:ext uri="{FF2B5EF4-FFF2-40B4-BE49-F238E27FC236}">
              <a16:creationId xmlns:a16="http://schemas.microsoft.com/office/drawing/2014/main" id="{C0A0CFEE-0BA0-7042-9D65-C9899E6DC995}"/>
            </a:ext>
          </a:extLst>
        </xdr:cNvPr>
        <xdr:cNvPicPr preferRelativeResize="0"/>
      </xdr:nvPicPr>
      <xdr:blipFill>
        <a:blip xmlns:r="http://schemas.openxmlformats.org/officeDocument/2006/relationships" r:embed="rId2" cstate="print"/>
        <a:stretch>
          <a:fillRect/>
        </a:stretch>
      </xdr:blipFill>
      <xdr:spPr>
        <a:xfrm>
          <a:off x="19656425" y="27346275"/>
          <a:ext cx="5200650" cy="4057650"/>
        </a:xfrm>
        <a:prstGeom prst="rect">
          <a:avLst/>
        </a:prstGeom>
        <a:noFill/>
      </xdr:spPr>
    </xdr:pic>
    <xdr:clientData fLocksWithSheet="0"/>
  </xdr:oneCellAnchor>
  <xdr:oneCellAnchor>
    <xdr:from>
      <xdr:col>6</xdr:col>
      <xdr:colOff>447675</xdr:colOff>
      <xdr:row>38</xdr:row>
      <xdr:rowOff>180975</xdr:rowOff>
    </xdr:from>
    <xdr:ext cx="2905125" cy="5553075"/>
    <xdr:pic>
      <xdr:nvPicPr>
        <xdr:cNvPr id="4" name="image1.png" title="Image">
          <a:extLst>
            <a:ext uri="{FF2B5EF4-FFF2-40B4-BE49-F238E27FC236}">
              <a16:creationId xmlns:a16="http://schemas.microsoft.com/office/drawing/2014/main" id="{D1280AAD-CA5F-1347-80D3-571F040EECD9}"/>
            </a:ext>
          </a:extLst>
        </xdr:cNvPr>
        <xdr:cNvPicPr preferRelativeResize="0"/>
      </xdr:nvPicPr>
      <xdr:blipFill>
        <a:blip xmlns:r="http://schemas.openxmlformats.org/officeDocument/2006/relationships" r:embed="rId3" cstate="print"/>
        <a:stretch>
          <a:fillRect/>
        </a:stretch>
      </xdr:blipFill>
      <xdr:spPr>
        <a:xfrm>
          <a:off x="6238875" y="6442075"/>
          <a:ext cx="2905125" cy="5553075"/>
        </a:xfrm>
        <a:prstGeom prst="rect">
          <a:avLst/>
        </a:prstGeom>
        <a:noFill/>
      </xdr:spPr>
    </xdr:pic>
    <xdr:clientData fLocksWithSheet="0"/>
  </xdr:oneCellAnchor>
  <xdr:oneCellAnchor>
    <xdr:from>
      <xdr:col>9</xdr:col>
      <xdr:colOff>323850</xdr:colOff>
      <xdr:row>39</xdr:row>
      <xdr:rowOff>142875</xdr:rowOff>
    </xdr:from>
    <xdr:ext cx="2495550" cy="5391150"/>
    <xdr:pic>
      <xdr:nvPicPr>
        <xdr:cNvPr id="5" name="image3.png" title="Image">
          <a:extLst>
            <a:ext uri="{FF2B5EF4-FFF2-40B4-BE49-F238E27FC236}">
              <a16:creationId xmlns:a16="http://schemas.microsoft.com/office/drawing/2014/main" id="{90A8926A-A88E-C24A-8D72-3755D917431B}"/>
            </a:ext>
          </a:extLst>
        </xdr:cNvPr>
        <xdr:cNvPicPr preferRelativeResize="0"/>
      </xdr:nvPicPr>
      <xdr:blipFill>
        <a:blip xmlns:r="http://schemas.openxmlformats.org/officeDocument/2006/relationships" r:embed="rId4" cstate="print"/>
        <a:stretch>
          <a:fillRect/>
        </a:stretch>
      </xdr:blipFill>
      <xdr:spPr>
        <a:xfrm>
          <a:off x="9010650" y="6581775"/>
          <a:ext cx="2495550" cy="5391150"/>
        </a:xfrm>
        <a:prstGeom prst="rect">
          <a:avLst/>
        </a:prstGeom>
        <a:noFill/>
      </xdr:spPr>
    </xdr:pic>
    <xdr:clientData fLocksWithSheet="0"/>
  </xdr:oneCellAnchor>
  <xdr:oneCellAnchor>
    <xdr:from>
      <xdr:col>8</xdr:col>
      <xdr:colOff>695325</xdr:colOff>
      <xdr:row>350</xdr:row>
      <xdr:rowOff>95250</xdr:rowOff>
    </xdr:from>
    <xdr:ext cx="7505700" cy="2943225"/>
    <xdr:pic>
      <xdr:nvPicPr>
        <xdr:cNvPr id="6" name="image14.png" title="Image">
          <a:extLst>
            <a:ext uri="{FF2B5EF4-FFF2-40B4-BE49-F238E27FC236}">
              <a16:creationId xmlns:a16="http://schemas.microsoft.com/office/drawing/2014/main" id="{68488E39-4DBE-A04C-84B6-0B1677F1CA3D}"/>
            </a:ext>
          </a:extLst>
        </xdr:cNvPr>
        <xdr:cNvPicPr preferRelativeResize="0"/>
      </xdr:nvPicPr>
      <xdr:blipFill>
        <a:blip xmlns:r="http://schemas.openxmlformats.org/officeDocument/2006/relationships" r:embed="rId5" cstate="print"/>
        <a:stretch>
          <a:fillRect/>
        </a:stretch>
      </xdr:blipFill>
      <xdr:spPr>
        <a:xfrm>
          <a:off x="8416925" y="57880250"/>
          <a:ext cx="7505700" cy="2943225"/>
        </a:xfrm>
        <a:prstGeom prst="rect">
          <a:avLst/>
        </a:prstGeom>
        <a:noFill/>
      </xdr:spPr>
    </xdr:pic>
    <xdr:clientData fLocksWithSheet="0"/>
  </xdr:oneCellAnchor>
  <xdr:oneCellAnchor>
    <xdr:from>
      <xdr:col>0</xdr:col>
      <xdr:colOff>657225</xdr:colOff>
      <xdr:row>365</xdr:row>
      <xdr:rowOff>152400</xdr:rowOff>
    </xdr:from>
    <xdr:ext cx="7372350" cy="3324225"/>
    <xdr:pic>
      <xdr:nvPicPr>
        <xdr:cNvPr id="7" name="image6.png" title="Image">
          <a:extLst>
            <a:ext uri="{FF2B5EF4-FFF2-40B4-BE49-F238E27FC236}">
              <a16:creationId xmlns:a16="http://schemas.microsoft.com/office/drawing/2014/main" id="{AF21E15A-95B6-9242-9954-8725A9C67CD7}"/>
            </a:ext>
          </a:extLst>
        </xdr:cNvPr>
        <xdr:cNvPicPr preferRelativeResize="0"/>
      </xdr:nvPicPr>
      <xdr:blipFill>
        <a:blip xmlns:r="http://schemas.openxmlformats.org/officeDocument/2006/relationships" r:embed="rId6" cstate="print"/>
        <a:stretch>
          <a:fillRect/>
        </a:stretch>
      </xdr:blipFill>
      <xdr:spPr>
        <a:xfrm>
          <a:off x="657225" y="60413900"/>
          <a:ext cx="7372350" cy="3324225"/>
        </a:xfrm>
        <a:prstGeom prst="rect">
          <a:avLst/>
        </a:prstGeom>
        <a:noFill/>
      </xdr:spPr>
    </xdr:pic>
    <xdr:clientData fLocksWithSheet="0"/>
  </xdr:oneCellAnchor>
  <xdr:oneCellAnchor>
    <xdr:from>
      <xdr:col>0</xdr:col>
      <xdr:colOff>847725</xdr:colOff>
      <xdr:row>350</xdr:row>
      <xdr:rowOff>38100</xdr:rowOff>
    </xdr:from>
    <xdr:ext cx="7181850" cy="2886075"/>
    <xdr:pic>
      <xdr:nvPicPr>
        <xdr:cNvPr id="8" name="image13.png" title="Image">
          <a:extLst>
            <a:ext uri="{FF2B5EF4-FFF2-40B4-BE49-F238E27FC236}">
              <a16:creationId xmlns:a16="http://schemas.microsoft.com/office/drawing/2014/main" id="{7862B954-9706-5A4E-9548-D665EC5235DE}"/>
            </a:ext>
          </a:extLst>
        </xdr:cNvPr>
        <xdr:cNvPicPr preferRelativeResize="0"/>
      </xdr:nvPicPr>
      <xdr:blipFill>
        <a:blip xmlns:r="http://schemas.openxmlformats.org/officeDocument/2006/relationships" r:embed="rId7" cstate="print"/>
        <a:stretch>
          <a:fillRect/>
        </a:stretch>
      </xdr:blipFill>
      <xdr:spPr>
        <a:xfrm>
          <a:off x="847725" y="57823100"/>
          <a:ext cx="7181850" cy="2886075"/>
        </a:xfrm>
        <a:prstGeom prst="rect">
          <a:avLst/>
        </a:prstGeom>
        <a:noFill/>
      </xdr:spPr>
    </xdr:pic>
    <xdr:clientData fLocksWithSheet="0"/>
  </xdr:oneCellAnchor>
  <xdr:oneCellAnchor>
    <xdr:from>
      <xdr:col>8</xdr:col>
      <xdr:colOff>723900</xdr:colOff>
      <xdr:row>367</xdr:row>
      <xdr:rowOff>19050</xdr:rowOff>
    </xdr:from>
    <xdr:ext cx="7448550" cy="3257550"/>
    <xdr:pic>
      <xdr:nvPicPr>
        <xdr:cNvPr id="9" name="image8.png" title="Image">
          <a:extLst>
            <a:ext uri="{FF2B5EF4-FFF2-40B4-BE49-F238E27FC236}">
              <a16:creationId xmlns:a16="http://schemas.microsoft.com/office/drawing/2014/main" id="{1FBBCAA7-36EB-B141-9020-C172D5CF197A}"/>
            </a:ext>
          </a:extLst>
        </xdr:cNvPr>
        <xdr:cNvPicPr preferRelativeResize="0"/>
      </xdr:nvPicPr>
      <xdr:blipFill>
        <a:blip xmlns:r="http://schemas.openxmlformats.org/officeDocument/2006/relationships" r:embed="rId8" cstate="print"/>
        <a:stretch>
          <a:fillRect/>
        </a:stretch>
      </xdr:blipFill>
      <xdr:spPr>
        <a:xfrm>
          <a:off x="8445500" y="60610750"/>
          <a:ext cx="7448550" cy="3257550"/>
        </a:xfrm>
        <a:prstGeom prst="rect">
          <a:avLst/>
        </a:prstGeom>
        <a:noFill/>
      </xdr:spPr>
    </xdr:pic>
    <xdr:clientData fLocksWithSheet="0"/>
  </xdr:oneCellAnchor>
  <xdr:oneCellAnchor>
    <xdr:from>
      <xdr:col>16</xdr:col>
      <xdr:colOff>942975</xdr:colOff>
      <xdr:row>350</xdr:row>
      <xdr:rowOff>38100</xdr:rowOff>
    </xdr:from>
    <xdr:ext cx="8086725" cy="3209925"/>
    <xdr:pic>
      <xdr:nvPicPr>
        <xdr:cNvPr id="10" name="image9.png" title="Image">
          <a:extLst>
            <a:ext uri="{FF2B5EF4-FFF2-40B4-BE49-F238E27FC236}">
              <a16:creationId xmlns:a16="http://schemas.microsoft.com/office/drawing/2014/main" id="{9DF7E38D-5A61-7E47-AA2E-DA48B9B86774}"/>
            </a:ext>
          </a:extLst>
        </xdr:cNvPr>
        <xdr:cNvPicPr preferRelativeResize="0"/>
      </xdr:nvPicPr>
      <xdr:blipFill>
        <a:blip xmlns:r="http://schemas.openxmlformats.org/officeDocument/2006/relationships" r:embed="rId9" cstate="print"/>
        <a:stretch>
          <a:fillRect/>
        </a:stretch>
      </xdr:blipFill>
      <xdr:spPr>
        <a:xfrm>
          <a:off x="16386175" y="57823100"/>
          <a:ext cx="8086725" cy="3209925"/>
        </a:xfrm>
        <a:prstGeom prst="rect">
          <a:avLst/>
        </a:prstGeom>
        <a:noFill/>
      </xdr:spPr>
    </xdr:pic>
    <xdr:clientData fLocksWithSheet="0"/>
  </xdr:oneCellAnchor>
  <xdr:oneCellAnchor>
    <xdr:from>
      <xdr:col>16</xdr:col>
      <xdr:colOff>942975</xdr:colOff>
      <xdr:row>367</xdr:row>
      <xdr:rowOff>152400</xdr:rowOff>
    </xdr:from>
    <xdr:ext cx="8010525" cy="3514725"/>
    <xdr:pic>
      <xdr:nvPicPr>
        <xdr:cNvPr id="11" name="image7.png" title="Image">
          <a:extLst>
            <a:ext uri="{FF2B5EF4-FFF2-40B4-BE49-F238E27FC236}">
              <a16:creationId xmlns:a16="http://schemas.microsoft.com/office/drawing/2014/main" id="{5342259F-C5C7-3F48-9455-EA974CEB71CA}"/>
            </a:ext>
          </a:extLst>
        </xdr:cNvPr>
        <xdr:cNvPicPr preferRelativeResize="0"/>
      </xdr:nvPicPr>
      <xdr:blipFill>
        <a:blip xmlns:r="http://schemas.openxmlformats.org/officeDocument/2006/relationships" r:embed="rId10" cstate="print"/>
        <a:stretch>
          <a:fillRect/>
        </a:stretch>
      </xdr:blipFill>
      <xdr:spPr>
        <a:xfrm>
          <a:off x="16386175" y="60744100"/>
          <a:ext cx="8010525" cy="3514725"/>
        </a:xfrm>
        <a:prstGeom prst="rect">
          <a:avLst/>
        </a:prstGeom>
        <a:noFill/>
      </xdr:spPr>
    </xdr:pic>
    <xdr:clientData fLocksWithSheet="0"/>
  </xdr:oneCellAnchor>
  <xdr:oneCellAnchor>
    <xdr:from>
      <xdr:col>12</xdr:col>
      <xdr:colOff>190500</xdr:colOff>
      <xdr:row>418</xdr:row>
      <xdr:rowOff>133350</xdr:rowOff>
    </xdr:from>
    <xdr:ext cx="5334000" cy="2381250"/>
    <xdr:pic>
      <xdr:nvPicPr>
        <xdr:cNvPr id="12" name="image2.png" title="Image">
          <a:extLst>
            <a:ext uri="{FF2B5EF4-FFF2-40B4-BE49-F238E27FC236}">
              <a16:creationId xmlns:a16="http://schemas.microsoft.com/office/drawing/2014/main" id="{B2AEBD9D-7CF2-3A48-9F38-CBA88C927596}"/>
            </a:ext>
          </a:extLst>
        </xdr:cNvPr>
        <xdr:cNvPicPr preferRelativeResize="0"/>
      </xdr:nvPicPr>
      <xdr:blipFill>
        <a:blip xmlns:r="http://schemas.openxmlformats.org/officeDocument/2006/relationships" r:embed="rId11" cstate="print"/>
        <a:stretch>
          <a:fillRect/>
        </a:stretch>
      </xdr:blipFill>
      <xdr:spPr>
        <a:xfrm>
          <a:off x="11772900" y="69145150"/>
          <a:ext cx="5334000" cy="2381250"/>
        </a:xfrm>
        <a:prstGeom prst="rect">
          <a:avLst/>
        </a:prstGeom>
        <a:noFill/>
      </xdr:spPr>
    </xdr:pic>
    <xdr:clientData fLocksWithSheet="0"/>
  </xdr:oneCellAnchor>
  <xdr:oneCellAnchor>
    <xdr:from>
      <xdr:col>14</xdr:col>
      <xdr:colOff>161925</xdr:colOff>
      <xdr:row>441</xdr:row>
      <xdr:rowOff>76200</xdr:rowOff>
    </xdr:from>
    <xdr:ext cx="5314950" cy="6896100"/>
    <xdr:pic>
      <xdr:nvPicPr>
        <xdr:cNvPr id="13" name="image15.png" title="Image">
          <a:extLst>
            <a:ext uri="{FF2B5EF4-FFF2-40B4-BE49-F238E27FC236}">
              <a16:creationId xmlns:a16="http://schemas.microsoft.com/office/drawing/2014/main" id="{97A8EBEB-8319-0D4F-AF32-A893B32B2DE4}"/>
            </a:ext>
          </a:extLst>
        </xdr:cNvPr>
        <xdr:cNvPicPr preferRelativeResize="0"/>
      </xdr:nvPicPr>
      <xdr:blipFill>
        <a:blip xmlns:r="http://schemas.openxmlformats.org/officeDocument/2006/relationships" r:embed="rId12" cstate="print"/>
        <a:stretch>
          <a:fillRect/>
        </a:stretch>
      </xdr:blipFill>
      <xdr:spPr>
        <a:xfrm>
          <a:off x="13674725" y="72885300"/>
          <a:ext cx="5314950" cy="6896100"/>
        </a:xfrm>
        <a:prstGeom prst="rect">
          <a:avLst/>
        </a:prstGeom>
        <a:noFill/>
      </xdr:spPr>
    </xdr:pic>
    <xdr:clientData fLocksWithSheet="0"/>
  </xdr:oneCellAnchor>
  <xdr:oneCellAnchor>
    <xdr:from>
      <xdr:col>11</xdr:col>
      <xdr:colOff>219075</xdr:colOff>
      <xdr:row>478</xdr:row>
      <xdr:rowOff>9525</xdr:rowOff>
    </xdr:from>
    <xdr:ext cx="8086725" cy="4333875"/>
    <xdr:pic>
      <xdr:nvPicPr>
        <xdr:cNvPr id="14" name="image11.png" title="Image">
          <a:extLst>
            <a:ext uri="{FF2B5EF4-FFF2-40B4-BE49-F238E27FC236}">
              <a16:creationId xmlns:a16="http://schemas.microsoft.com/office/drawing/2014/main" id="{27B33880-749E-AA4E-AEB4-7B671B3C13B9}"/>
            </a:ext>
          </a:extLst>
        </xdr:cNvPr>
        <xdr:cNvPicPr preferRelativeResize="0"/>
      </xdr:nvPicPr>
      <xdr:blipFill>
        <a:blip xmlns:r="http://schemas.openxmlformats.org/officeDocument/2006/relationships" r:embed="rId13" cstate="print"/>
        <a:stretch>
          <a:fillRect/>
        </a:stretch>
      </xdr:blipFill>
      <xdr:spPr>
        <a:xfrm>
          <a:off x="10836275" y="78927325"/>
          <a:ext cx="8086725" cy="4333875"/>
        </a:xfrm>
        <a:prstGeom prst="rect">
          <a:avLst/>
        </a:prstGeom>
        <a:noFill/>
      </xdr:spPr>
    </xdr:pic>
    <xdr:clientData fLocksWithSheet="0"/>
  </xdr:oneCellAnchor>
  <xdr:oneCellAnchor>
    <xdr:from>
      <xdr:col>5</xdr:col>
      <xdr:colOff>914400</xdr:colOff>
      <xdr:row>548</xdr:row>
      <xdr:rowOff>180975</xdr:rowOff>
    </xdr:from>
    <xdr:ext cx="3467100" cy="4867275"/>
    <xdr:pic>
      <xdr:nvPicPr>
        <xdr:cNvPr id="15" name="image10.png" title="Image">
          <a:extLst>
            <a:ext uri="{FF2B5EF4-FFF2-40B4-BE49-F238E27FC236}">
              <a16:creationId xmlns:a16="http://schemas.microsoft.com/office/drawing/2014/main" id="{D3FA6B2A-9E9A-E941-91BB-2C82EB932F51}"/>
            </a:ext>
          </a:extLst>
        </xdr:cNvPr>
        <xdr:cNvPicPr preferRelativeResize="0"/>
      </xdr:nvPicPr>
      <xdr:blipFill>
        <a:blip xmlns:r="http://schemas.openxmlformats.org/officeDocument/2006/relationships" r:embed="rId14" cstate="print"/>
        <a:stretch>
          <a:fillRect/>
        </a:stretch>
      </xdr:blipFill>
      <xdr:spPr>
        <a:xfrm>
          <a:off x="5740400" y="90643075"/>
          <a:ext cx="3467100" cy="486727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copus-com.proxy-ub.rug.nl/authid/detail.uri?origin=resultslist&amp;authorId=57198227368&amp;zone=" TargetMode="External"/><Relationship Id="rId13" Type="http://schemas.openxmlformats.org/officeDocument/2006/relationships/hyperlink" Target="https://www.ncbi.nlm.nih.gov/pmc/articles/PMC7670232/" TargetMode="External"/><Relationship Id="rId18" Type="http://schemas.openxmlformats.org/officeDocument/2006/relationships/hyperlink" Target="https://ajph-aphapublications-org.proxy-ub.rug.nl/doi/pdf/10.2105%2FAJPH.2020.305975" TargetMode="External"/><Relationship Id="rId26" Type="http://schemas.openxmlformats.org/officeDocument/2006/relationships/hyperlink" Target="https://www.ncbi.nlm.nih.gov/pmc/articles/PMC7574786/" TargetMode="External"/><Relationship Id="rId3" Type="http://schemas.openxmlformats.org/officeDocument/2006/relationships/hyperlink" Target="https://bmjopen.bmj.com/content/11/4/e045176" TargetMode="External"/><Relationship Id="rId21" Type="http://schemas.openxmlformats.org/officeDocument/2006/relationships/hyperlink" Target="https://www-liebertpub-com.proxy-ub.rug.nl/doi/pdf/10.1089/jwh.2020.8710" TargetMode="External"/><Relationship Id="rId7" Type="http://schemas.openxmlformats.org/officeDocument/2006/relationships/hyperlink" Target="https://pubmed.ncbi.nlm.nih.gov/33347956/" TargetMode="External"/><Relationship Id="rId12" Type="http://schemas.openxmlformats.org/officeDocument/2006/relationships/hyperlink" Target="https://www-scopus-com.proxy-ub.rug.nl/authid/detail.uri?origin=resultslist&amp;authorId=57220161625&amp;zone=" TargetMode="External"/><Relationship Id="rId17" Type="http://schemas.openxmlformats.org/officeDocument/2006/relationships/hyperlink" Target="https://elifesciences.org/articles/58807" TargetMode="External"/><Relationship Id="rId25" Type="http://schemas.openxmlformats.org/officeDocument/2006/relationships/hyperlink" Target="https://jamanetwork.com/journals/jamasurgery/fullarticle/2769186" TargetMode="External"/><Relationship Id="rId2" Type="http://schemas.openxmlformats.org/officeDocument/2006/relationships/hyperlink" Target="https://pubmed.ncbi.nlm.nih.gov/33527397/" TargetMode="External"/><Relationship Id="rId16" Type="http://schemas.openxmlformats.org/officeDocument/2006/relationships/hyperlink" Target="https://www-scopus-com.proxy-ub.rug.nl/authid/detail.uri?origin=resultslist&amp;authorId=55042486100&amp;zone=" TargetMode="External"/><Relationship Id="rId20" Type="http://schemas.openxmlformats.org/officeDocument/2006/relationships/hyperlink" Target="https://www-scopus-com.proxy-ub.rug.nl/authid/detail.uri?origin=resultslist&amp;authorId=55919002500&amp;zone=" TargetMode="External"/><Relationship Id="rId29" Type="http://schemas.openxmlformats.org/officeDocument/2006/relationships/hyperlink" Target="https://www.natureindex.com/news-blog/decline-women-scientist-research-publishing-production-coronavirus-pandemic" TargetMode="External"/><Relationship Id="rId1" Type="http://schemas.openxmlformats.org/officeDocument/2006/relationships/hyperlink" Target="https://pubmed.ncbi.nlm.nih.gov/?term=Ipe+TS&amp;cauthor_id=33527397" TargetMode="External"/><Relationship Id="rId6" Type="http://schemas.openxmlformats.org/officeDocument/2006/relationships/hyperlink" Target="https://www-scopus-com.proxy-ub.rug.nl/authid/detail.uri?origin=resultslist&amp;authorId=57195905364&amp;zone=" TargetMode="External"/><Relationship Id="rId11" Type="http://schemas.openxmlformats.org/officeDocument/2006/relationships/hyperlink" Target="https://journals.sagepub.com/doi/full/10.1177/23780231211006977" TargetMode="External"/><Relationship Id="rId24" Type="http://schemas.openxmlformats.org/officeDocument/2006/relationships/hyperlink" Target="http://dx.doi.org/10.1016/j.jacr.2021.01.011" TargetMode="External"/><Relationship Id="rId5" Type="http://schemas.openxmlformats.org/officeDocument/2006/relationships/hyperlink" Target="https://www-ncbi-nlm-nih-gov.proxy-ub.rug.nl/pmc/articles/PMC8043146/" TargetMode="External"/><Relationship Id="rId15" Type="http://schemas.openxmlformats.org/officeDocument/2006/relationships/hyperlink" Target="https://www-ahajournals-org.proxy-ub.rug.nl/doi/pdf/10.1161/JAHA.120.019005" TargetMode="External"/><Relationship Id="rId23" Type="http://schemas.openxmlformats.org/officeDocument/2006/relationships/hyperlink" Target="https://jamanetwork.com/journals/jamanetworkopen/fullarticle/2770728?utm_source=For_The_Media&amp;utm_medium=referral&amp;utm_campaign=ftm_links&amp;utm_term=091720" TargetMode="External"/><Relationship Id="rId28" Type="http://schemas.openxmlformats.org/officeDocument/2006/relationships/hyperlink" Target="https://www.repository.cam.ac.uk/bitstream/handle/1810/310888/cwpe2038.pdf?sequence=1&amp;isAllowed=y" TargetMode="External"/><Relationship Id="rId10" Type="http://schemas.openxmlformats.org/officeDocument/2006/relationships/hyperlink" Target="https://www-scopus-com.proxy-ub.rug.nl/authid/detail.uri?origin=resultslist&amp;authorId=57222987520&amp;zone=" TargetMode="External"/><Relationship Id="rId19" Type="http://schemas.openxmlformats.org/officeDocument/2006/relationships/hyperlink" Target="https://onlinelibrary-wiley-com.proxy-ub.rug.nl/doi/pdfdirect/10.1002/rth2.12399" TargetMode="External"/><Relationship Id="rId4" Type="http://schemas.openxmlformats.org/officeDocument/2006/relationships/hyperlink" Target="https://www-scopus-com.proxy-ub.rug.nl/authid/detail.uri?origin=resultslist&amp;authorId=57211800132&amp;zone=" TargetMode="External"/><Relationship Id="rId9" Type="http://schemas.openxmlformats.org/officeDocument/2006/relationships/hyperlink" Target="https://www.ncbi.nlm.nih.gov/pmc/articles/PMC7857347/" TargetMode="External"/><Relationship Id="rId14" Type="http://schemas.openxmlformats.org/officeDocument/2006/relationships/hyperlink" Target="https://www-scopus-com.proxy-ub.rug.nl/authid/detail.uri?origin=resultslist&amp;authorId=55771629000&amp;zone=" TargetMode="External"/><Relationship Id="rId22" Type="http://schemas.openxmlformats.org/officeDocument/2006/relationships/hyperlink" Target="https://www.nature.com/articles/s41386-020-00869-4" TargetMode="External"/><Relationship Id="rId27" Type="http://schemas.openxmlformats.org/officeDocument/2006/relationships/hyperlink" Target="https://poseidon01.ssrn.com/delivery.php?ID=125017092064003019110007025086112112041074054049036036007019125101098120006072109124124027025103026004058022096077011008115091104038028011067080069019094074064103123088041042081028082003083009024082118001070031086104124091127086121008112076075122091112&amp;EXT=pdf&amp;INDEX=TRUE" TargetMode="External"/><Relationship Id="rId30" Type="http://schemas.openxmlformats.org/officeDocument/2006/relationships/hyperlink" Target="https://www.nature.com/articles/s41550-020-01258-z"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handbook-5-1.cochrane.org/chapter_7/table_7_7_a_formulae_for_combining_groups.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947A-9EA6-0741-9E0C-0F88407DF1FC}">
  <dimension ref="A1:AW1044"/>
  <sheetViews>
    <sheetView topLeftCell="U1" workbookViewId="0">
      <pane ySplit="1" topLeftCell="A114" activePane="bottomLeft" state="frozen"/>
      <selection pane="bottomLeft" activeCell="X1" sqref="X1"/>
    </sheetView>
  </sheetViews>
  <sheetFormatPr baseColWidth="10" defaultColWidth="12.6640625" defaultRowHeight="16"/>
  <cols>
    <col min="5" max="5" width="35.1640625" customWidth="1"/>
    <col min="16" max="16" width="22.83203125" customWidth="1"/>
    <col min="36" max="36" width="12.6640625" style="8"/>
    <col min="41" max="41" width="16.33203125" style="9" customWidth="1"/>
  </cols>
  <sheetData>
    <row r="1" spans="1:49" ht="33" thickBot="1">
      <c r="A1" s="1" t="s">
        <v>0</v>
      </c>
      <c r="B1" s="1" t="s">
        <v>1</v>
      </c>
      <c r="C1" s="1" t="s">
        <v>2</v>
      </c>
      <c r="D1" s="1" t="s">
        <v>620</v>
      </c>
      <c r="E1" s="1" t="s">
        <v>3</v>
      </c>
      <c r="F1" s="1" t="s">
        <v>4</v>
      </c>
      <c r="G1" s="1" t="s">
        <v>595</v>
      </c>
      <c r="H1" s="1" t="s">
        <v>5</v>
      </c>
      <c r="I1" s="1" t="s">
        <v>596</v>
      </c>
      <c r="J1" s="1" t="s">
        <v>1109</v>
      </c>
      <c r="K1" s="1" t="s">
        <v>6</v>
      </c>
      <c r="L1" s="1" t="s">
        <v>7</v>
      </c>
      <c r="M1" s="1" t="s">
        <v>8</v>
      </c>
      <c r="N1" s="1" t="s">
        <v>9</v>
      </c>
      <c r="O1" s="1" t="s">
        <v>592</v>
      </c>
      <c r="P1" s="1" t="s">
        <v>10</v>
      </c>
      <c r="Q1" s="1" t="s">
        <v>11</v>
      </c>
      <c r="R1" s="1" t="s">
        <v>1110</v>
      </c>
      <c r="S1" s="1" t="s">
        <v>12</v>
      </c>
      <c r="T1" s="1" t="s">
        <v>13</v>
      </c>
      <c r="U1" s="1" t="s">
        <v>1143</v>
      </c>
      <c r="V1" s="1" t="s">
        <v>14</v>
      </c>
      <c r="W1" s="1" t="s">
        <v>1144</v>
      </c>
      <c r="X1" s="1" t="s">
        <v>1149</v>
      </c>
      <c r="Y1" s="1" t="s">
        <v>15</v>
      </c>
      <c r="Z1" s="1" t="s">
        <v>16</v>
      </c>
      <c r="AA1" s="1" t="s">
        <v>1151</v>
      </c>
      <c r="AB1" s="1" t="s">
        <v>1150</v>
      </c>
      <c r="AC1" s="1" t="s">
        <v>17</v>
      </c>
      <c r="AD1" s="1" t="s">
        <v>18</v>
      </c>
      <c r="AE1" s="1" t="s">
        <v>1135</v>
      </c>
      <c r="AF1" s="1" t="s">
        <v>1136</v>
      </c>
      <c r="AG1" s="1" t="s">
        <v>1137</v>
      </c>
      <c r="AH1" s="1" t="s">
        <v>1138</v>
      </c>
      <c r="AI1" s="1" t="s">
        <v>1139</v>
      </c>
      <c r="AJ1" s="1" t="s">
        <v>19</v>
      </c>
      <c r="AK1" s="1" t="s">
        <v>1140</v>
      </c>
      <c r="AL1" s="1" t="s">
        <v>1141</v>
      </c>
      <c r="AM1" s="1" t="s">
        <v>20</v>
      </c>
      <c r="AN1" s="21" t="s">
        <v>21</v>
      </c>
      <c r="AO1" s="1" t="s">
        <v>1142</v>
      </c>
      <c r="AP1" s="1" t="s">
        <v>22</v>
      </c>
      <c r="AQ1" s="1" t="s">
        <v>23</v>
      </c>
      <c r="AR1" s="1" t="s">
        <v>24</v>
      </c>
      <c r="AS1" s="1" t="s">
        <v>1146</v>
      </c>
      <c r="AT1" s="1" t="s">
        <v>1147</v>
      </c>
      <c r="AU1" s="1" t="s">
        <v>25</v>
      </c>
      <c r="AV1" s="1" t="s">
        <v>26</v>
      </c>
      <c r="AW1" s="1" t="s">
        <v>27</v>
      </c>
    </row>
    <row r="2" spans="1:49" ht="17" thickBot="1">
      <c r="A2" s="7">
        <v>1</v>
      </c>
      <c r="B2" s="7">
        <v>1</v>
      </c>
      <c r="C2" s="7" t="s">
        <v>28</v>
      </c>
      <c r="D2" s="7">
        <v>2021</v>
      </c>
      <c r="E2" s="7" t="s">
        <v>29</v>
      </c>
      <c r="F2" s="7" t="s">
        <v>30</v>
      </c>
      <c r="G2" s="7">
        <v>12</v>
      </c>
      <c r="H2" s="7" t="s">
        <v>31</v>
      </c>
      <c r="I2" s="7">
        <v>12</v>
      </c>
      <c r="J2" s="7" t="s">
        <v>80</v>
      </c>
      <c r="K2" s="7" t="s">
        <v>32</v>
      </c>
      <c r="L2" s="7" t="s">
        <v>67</v>
      </c>
      <c r="M2" s="7" t="s">
        <v>33</v>
      </c>
      <c r="N2" s="7" t="s">
        <v>34</v>
      </c>
      <c r="O2" s="7" t="s">
        <v>34</v>
      </c>
      <c r="P2" s="7" t="s">
        <v>600</v>
      </c>
      <c r="Q2" s="7" t="s">
        <v>35</v>
      </c>
      <c r="R2" s="7" t="s">
        <v>35</v>
      </c>
      <c r="S2" s="7" t="s">
        <v>36</v>
      </c>
      <c r="T2" s="7">
        <v>0.45100000000000001</v>
      </c>
      <c r="U2" s="7">
        <v>483232</v>
      </c>
      <c r="V2" s="7">
        <v>0.377</v>
      </c>
      <c r="W2" s="2">
        <v>42898</v>
      </c>
      <c r="X2" s="7" t="s">
        <v>80</v>
      </c>
      <c r="Y2" s="10">
        <v>0.9</v>
      </c>
      <c r="Z2" s="7" t="s">
        <v>37</v>
      </c>
      <c r="AA2" s="137" t="s">
        <v>80</v>
      </c>
      <c r="AB2" s="2" t="s">
        <v>80</v>
      </c>
      <c r="AC2" s="7" t="s">
        <v>38</v>
      </c>
      <c r="AD2" s="7" t="s">
        <v>39</v>
      </c>
      <c r="AE2" s="7" t="s">
        <v>40</v>
      </c>
      <c r="AF2" s="2" t="s">
        <v>40</v>
      </c>
      <c r="AG2" s="2" t="s">
        <v>40</v>
      </c>
      <c r="AH2" s="7">
        <v>-0.16850000000000001</v>
      </c>
      <c r="AI2" s="7">
        <v>-0.16850000000000001</v>
      </c>
      <c r="AJ2" s="7">
        <v>-0.16850000000000001</v>
      </c>
      <c r="AK2" s="7">
        <v>3.3000000000000003E-5</v>
      </c>
      <c r="AL2" s="7">
        <v>3.3000000000000003E-5</v>
      </c>
      <c r="AM2" s="7">
        <f>-0.1797 - -0.1573</f>
        <v>-2.2400000000000003E-2</v>
      </c>
      <c r="AN2" s="22">
        <v>5.7445626470000004E-3</v>
      </c>
      <c r="AO2" s="7">
        <v>3.3000000000000003E-5</v>
      </c>
      <c r="AP2" s="2">
        <v>526130</v>
      </c>
      <c r="AQ2" s="11">
        <v>44404</v>
      </c>
      <c r="AR2" s="7" t="s">
        <v>1152</v>
      </c>
      <c r="AS2" s="7" t="s">
        <v>42</v>
      </c>
      <c r="AT2" s="7" t="s">
        <v>43</v>
      </c>
      <c r="AU2" s="7" t="s">
        <v>44</v>
      </c>
      <c r="AV2" s="7" t="s">
        <v>45</v>
      </c>
      <c r="AW2" s="7" t="s">
        <v>44</v>
      </c>
    </row>
    <row r="3" spans="1:49" ht="17" thickBot="1">
      <c r="A3" s="7">
        <v>2</v>
      </c>
      <c r="B3" s="7">
        <v>1</v>
      </c>
      <c r="C3" s="7" t="s">
        <v>28</v>
      </c>
      <c r="D3" s="7">
        <v>2021</v>
      </c>
      <c r="E3" s="7" t="s">
        <v>29</v>
      </c>
      <c r="F3" s="7" t="s">
        <v>30</v>
      </c>
      <c r="G3" s="7">
        <v>12</v>
      </c>
      <c r="H3" s="7" t="s">
        <v>31</v>
      </c>
      <c r="I3" s="7">
        <v>12</v>
      </c>
      <c r="J3" s="7" t="s">
        <v>80</v>
      </c>
      <c r="K3" s="7" t="s">
        <v>32</v>
      </c>
      <c r="L3" s="7" t="s">
        <v>67</v>
      </c>
      <c r="M3" s="7" t="s">
        <v>33</v>
      </c>
      <c r="N3" s="7" t="s">
        <v>34</v>
      </c>
      <c r="O3" s="7" t="s">
        <v>34</v>
      </c>
      <c r="P3" s="7" t="s">
        <v>601</v>
      </c>
      <c r="Q3" s="7" t="s">
        <v>35</v>
      </c>
      <c r="R3" s="7" t="s">
        <v>35</v>
      </c>
      <c r="S3" s="7" t="s">
        <v>36</v>
      </c>
      <c r="T3" s="7">
        <v>0.31900000000000001</v>
      </c>
      <c r="U3" s="7">
        <v>483232</v>
      </c>
      <c r="V3" s="7">
        <v>0.30499999999999999</v>
      </c>
      <c r="W3" s="2">
        <v>42898</v>
      </c>
      <c r="X3" s="7" t="s">
        <v>80</v>
      </c>
      <c r="Y3" s="10">
        <v>0.9</v>
      </c>
      <c r="Z3" s="7" t="s">
        <v>37</v>
      </c>
      <c r="AA3" s="137" t="s">
        <v>80</v>
      </c>
      <c r="AB3" s="2" t="s">
        <v>80</v>
      </c>
      <c r="AC3" s="7" t="s">
        <v>38</v>
      </c>
      <c r="AD3" s="7" t="s">
        <v>46</v>
      </c>
      <c r="AE3" s="7" t="s">
        <v>40</v>
      </c>
      <c r="AF3" s="2" t="s">
        <v>40</v>
      </c>
      <c r="AG3" s="2" t="s">
        <v>40</v>
      </c>
      <c r="AH3" s="7">
        <v>-3.5999999999999997E-2</v>
      </c>
      <c r="AI3" s="7">
        <v>-3.5999999999999997E-2</v>
      </c>
      <c r="AJ3" s="7">
        <v>-3.5999999999999997E-2</v>
      </c>
      <c r="AK3" s="7">
        <v>3.6000000000000001E-5</v>
      </c>
      <c r="AL3" s="7">
        <v>3.6000000000000001E-5</v>
      </c>
      <c r="AM3" s="7">
        <f>-0.0478 - -0.0242</f>
        <v>-2.3600000000000003E-2</v>
      </c>
      <c r="AN3" s="22">
        <v>6.0000000000000001E-3</v>
      </c>
      <c r="AO3" s="7">
        <v>3.6000000000000001E-5</v>
      </c>
      <c r="AP3" s="2">
        <v>526130</v>
      </c>
      <c r="AQ3" s="11">
        <v>44404</v>
      </c>
      <c r="AR3" s="7" t="s">
        <v>1152</v>
      </c>
      <c r="AS3" s="7" t="s">
        <v>42</v>
      </c>
      <c r="AT3" s="7" t="s">
        <v>47</v>
      </c>
      <c r="AU3" s="7" t="s">
        <v>44</v>
      </c>
      <c r="AV3" s="7" t="s">
        <v>45</v>
      </c>
      <c r="AW3" s="7" t="s">
        <v>44</v>
      </c>
    </row>
    <row r="4" spans="1:49" ht="17" thickBot="1">
      <c r="A4" s="7">
        <v>3</v>
      </c>
      <c r="B4" s="7">
        <v>2</v>
      </c>
      <c r="C4" s="7" t="s">
        <v>48</v>
      </c>
      <c r="D4" s="7">
        <v>2021</v>
      </c>
      <c r="E4" s="7" t="s">
        <v>49</v>
      </c>
      <c r="F4" s="7" t="s">
        <v>50</v>
      </c>
      <c r="G4" s="7">
        <v>1</v>
      </c>
      <c r="H4" s="7" t="s">
        <v>51</v>
      </c>
      <c r="I4" s="7">
        <v>1</v>
      </c>
      <c r="J4" s="7" t="s">
        <v>80</v>
      </c>
      <c r="K4" s="7" t="s">
        <v>52</v>
      </c>
      <c r="L4" s="7" t="s">
        <v>244</v>
      </c>
      <c r="M4" s="7" t="s">
        <v>33</v>
      </c>
      <c r="N4" s="7" t="s">
        <v>53</v>
      </c>
      <c r="O4" s="7" t="s">
        <v>53</v>
      </c>
      <c r="P4" s="7" t="s">
        <v>602</v>
      </c>
      <c r="Q4" s="7" t="s">
        <v>54</v>
      </c>
      <c r="R4" s="7" t="s">
        <v>35</v>
      </c>
      <c r="S4" s="7" t="s">
        <v>55</v>
      </c>
      <c r="T4" t="s">
        <v>80</v>
      </c>
      <c r="U4" t="s">
        <v>80</v>
      </c>
      <c r="V4" t="s">
        <v>80</v>
      </c>
      <c r="W4" t="s">
        <v>80</v>
      </c>
      <c r="X4" s="7" t="s">
        <v>80</v>
      </c>
      <c r="Y4" s="7" t="s">
        <v>56</v>
      </c>
      <c r="Z4" s="7" t="s">
        <v>1134</v>
      </c>
      <c r="AA4" s="137" t="s">
        <v>80</v>
      </c>
      <c r="AB4" s="2" t="s">
        <v>80</v>
      </c>
      <c r="AC4" s="7" t="s">
        <v>38</v>
      </c>
      <c r="AD4" s="7" t="s">
        <v>57</v>
      </c>
      <c r="AE4" s="7" t="s">
        <v>58</v>
      </c>
      <c r="AF4" s="7" t="s">
        <v>590</v>
      </c>
      <c r="AG4" s="7" t="s">
        <v>590</v>
      </c>
      <c r="AH4" s="7">
        <v>-0.13800000000000001</v>
      </c>
      <c r="AI4" s="7">
        <v>-0.13800000000000001</v>
      </c>
      <c r="AJ4" s="7">
        <v>-0.13800000000000001</v>
      </c>
      <c r="AK4" s="7">
        <v>6.149E-3</v>
      </c>
      <c r="AL4" s="2">
        <v>6.149E-3</v>
      </c>
      <c r="AM4" s="7">
        <f>-0.2917 - 0.0157</f>
        <v>-0.30740000000000001</v>
      </c>
      <c r="AN4" s="19">
        <v>7.8415559679999997E-2</v>
      </c>
      <c r="AO4" s="7">
        <v>6.149E-3</v>
      </c>
      <c r="AP4" s="2">
        <v>845</v>
      </c>
      <c r="AQ4" s="11">
        <v>44404</v>
      </c>
      <c r="AR4" s="7" t="s">
        <v>1152</v>
      </c>
      <c r="AS4" s="7" t="s">
        <v>59</v>
      </c>
      <c r="AT4" s="7" t="s">
        <v>60</v>
      </c>
      <c r="AU4" s="7" t="s">
        <v>44</v>
      </c>
      <c r="AV4" s="7" t="s">
        <v>61</v>
      </c>
      <c r="AW4" s="7" t="s">
        <v>44</v>
      </c>
    </row>
    <row r="5" spans="1:49" ht="17" thickBot="1">
      <c r="A5" s="7">
        <v>4</v>
      </c>
      <c r="B5" s="7">
        <v>3</v>
      </c>
      <c r="C5" s="7" t="s">
        <v>62</v>
      </c>
      <c r="D5" s="7">
        <v>2021</v>
      </c>
      <c r="E5" s="7" t="s">
        <v>63</v>
      </c>
      <c r="F5" s="7" t="s">
        <v>64</v>
      </c>
      <c r="G5" s="7" t="s">
        <v>80</v>
      </c>
      <c r="H5" s="7" t="s">
        <v>65</v>
      </c>
      <c r="I5" s="7" t="s">
        <v>80</v>
      </c>
      <c r="J5" s="7" t="s">
        <v>80</v>
      </c>
      <c r="K5" s="7" t="s">
        <v>66</v>
      </c>
      <c r="L5" s="7" t="s">
        <v>67</v>
      </c>
      <c r="M5" s="7" t="s">
        <v>33</v>
      </c>
      <c r="N5" s="7" t="s">
        <v>53</v>
      </c>
      <c r="O5" s="7" t="s">
        <v>53</v>
      </c>
      <c r="P5" s="7" t="s">
        <v>602</v>
      </c>
      <c r="Q5" s="7" t="s">
        <v>68</v>
      </c>
      <c r="R5" s="7" t="s">
        <v>35</v>
      </c>
      <c r="S5" s="7" t="s">
        <v>69</v>
      </c>
      <c r="T5" s="7">
        <v>0.54159999999999997</v>
      </c>
      <c r="U5" s="7">
        <v>493</v>
      </c>
      <c r="V5" s="7">
        <v>0.47989999999999999</v>
      </c>
      <c r="W5" s="7">
        <v>848</v>
      </c>
      <c r="X5" s="7" t="s">
        <v>80</v>
      </c>
      <c r="Y5" s="3">
        <v>0.95</v>
      </c>
      <c r="Z5" s="7" t="s">
        <v>70</v>
      </c>
      <c r="AA5" s="137" t="s">
        <v>80</v>
      </c>
      <c r="AB5" s="2" t="s">
        <v>80</v>
      </c>
      <c r="AC5" s="7" t="s">
        <v>71</v>
      </c>
      <c r="AD5" s="7" t="s">
        <v>72</v>
      </c>
      <c r="AE5" s="7" t="s">
        <v>58</v>
      </c>
      <c r="AF5" s="7" t="s">
        <v>58</v>
      </c>
      <c r="AG5" s="7" t="s">
        <v>58</v>
      </c>
      <c r="AH5" s="7">
        <v>-0.1361</v>
      </c>
      <c r="AI5" s="7">
        <v>-0.1361</v>
      </c>
      <c r="AJ5" s="7">
        <v>-0.1361</v>
      </c>
      <c r="AK5" s="7">
        <v>3.9199999999999999E-3</v>
      </c>
      <c r="AL5" s="2">
        <v>3.9199999999999999E-3</v>
      </c>
      <c r="AM5" s="7">
        <f>-0.2589 - -0.0134</f>
        <v>-0.24550000000000002</v>
      </c>
      <c r="AN5" s="22">
        <v>6.2609903369999997E-2</v>
      </c>
      <c r="AO5" s="7">
        <v>3.9199999999999999E-3</v>
      </c>
      <c r="AP5" s="7">
        <v>1341</v>
      </c>
      <c r="AQ5" s="11">
        <v>44404</v>
      </c>
      <c r="AR5" s="7" t="s">
        <v>1152</v>
      </c>
      <c r="AS5" s="7" t="s">
        <v>550</v>
      </c>
      <c r="AT5" s="4" t="s">
        <v>551</v>
      </c>
      <c r="AU5" s="7" t="s">
        <v>44</v>
      </c>
      <c r="AV5" s="7" t="s">
        <v>73</v>
      </c>
      <c r="AW5" s="7" t="s">
        <v>44</v>
      </c>
    </row>
    <row r="6" spans="1:49" ht="17" thickBot="1">
      <c r="A6" s="7">
        <v>5</v>
      </c>
      <c r="B6" s="7">
        <v>4</v>
      </c>
      <c r="C6" s="7" t="s">
        <v>74</v>
      </c>
      <c r="D6" s="7">
        <v>2021</v>
      </c>
      <c r="E6" s="7" t="s">
        <v>75</v>
      </c>
      <c r="F6" s="7" t="s">
        <v>76</v>
      </c>
      <c r="G6" s="7">
        <v>6</v>
      </c>
      <c r="H6" s="7" t="s">
        <v>77</v>
      </c>
      <c r="I6" s="7">
        <v>3</v>
      </c>
      <c r="J6" s="7" t="s">
        <v>80</v>
      </c>
      <c r="K6" s="7" t="s">
        <v>78</v>
      </c>
      <c r="L6" s="7" t="s">
        <v>244</v>
      </c>
      <c r="M6" s="7" t="s">
        <v>33</v>
      </c>
      <c r="N6" s="7" t="s">
        <v>53</v>
      </c>
      <c r="O6" s="7" t="s">
        <v>53</v>
      </c>
      <c r="P6" s="7" t="s">
        <v>600</v>
      </c>
      <c r="Q6" s="7" t="s">
        <v>79</v>
      </c>
      <c r="R6" s="7" t="s">
        <v>35</v>
      </c>
      <c r="S6" s="7" t="s">
        <v>55</v>
      </c>
      <c r="T6" s="7">
        <v>0.316</v>
      </c>
      <c r="U6" s="7">
        <v>3711</v>
      </c>
      <c r="V6" s="7">
        <v>0.32300000000000001</v>
      </c>
      <c r="W6" s="2">
        <v>2248</v>
      </c>
      <c r="X6" s="7" t="s">
        <v>80</v>
      </c>
      <c r="Y6" s="7" t="s">
        <v>80</v>
      </c>
      <c r="Z6" s="12" t="s">
        <v>81</v>
      </c>
      <c r="AA6" s="137" t="s">
        <v>80</v>
      </c>
      <c r="AB6" s="2" t="s">
        <v>80</v>
      </c>
      <c r="AC6" s="7" t="s">
        <v>38</v>
      </c>
      <c r="AD6" s="7" t="s">
        <v>82</v>
      </c>
      <c r="AE6" s="7" t="s">
        <v>58</v>
      </c>
      <c r="AF6" s="7" t="s">
        <v>58</v>
      </c>
      <c r="AG6" s="7" t="s">
        <v>58</v>
      </c>
      <c r="AH6" s="7">
        <v>1.7000000000000001E-2</v>
      </c>
      <c r="AI6" s="7">
        <v>1.7000000000000001E-2</v>
      </c>
      <c r="AJ6" s="7">
        <v>1.7000000000000001E-2</v>
      </c>
      <c r="AK6" s="7">
        <v>9.9799999999999997E-4</v>
      </c>
      <c r="AL6" s="2">
        <v>9.9799999999999997E-4</v>
      </c>
      <c r="AM6" s="7">
        <f>-0.0449 - 0.0789</f>
        <v>-0.12379999999999999</v>
      </c>
      <c r="AN6" s="19">
        <v>3.1591137999999998E-2</v>
      </c>
      <c r="AO6" s="7">
        <v>9.9799999999999997E-4</v>
      </c>
      <c r="AP6" s="7">
        <v>5959</v>
      </c>
      <c r="AQ6" s="11">
        <v>44404</v>
      </c>
      <c r="AR6" s="7" t="s">
        <v>1152</v>
      </c>
      <c r="AS6" s="7" t="s">
        <v>83</v>
      </c>
      <c r="AT6" s="7" t="s">
        <v>84</v>
      </c>
      <c r="AU6" s="7" t="s">
        <v>44</v>
      </c>
      <c r="AV6" s="7" t="s">
        <v>552</v>
      </c>
      <c r="AW6" s="7" t="s">
        <v>44</v>
      </c>
    </row>
    <row r="7" spans="1:49" ht="17" thickBot="1">
      <c r="A7" s="7">
        <v>6</v>
      </c>
      <c r="B7" s="7">
        <v>4</v>
      </c>
      <c r="C7" s="7" t="s">
        <v>74</v>
      </c>
      <c r="D7" s="7">
        <v>2021</v>
      </c>
      <c r="E7" s="7" t="s">
        <v>75</v>
      </c>
      <c r="F7" s="7" t="s">
        <v>76</v>
      </c>
      <c r="G7" s="7">
        <v>6</v>
      </c>
      <c r="H7" s="7" t="s">
        <v>77</v>
      </c>
      <c r="I7" s="7">
        <v>3</v>
      </c>
      <c r="J7" s="7" t="s">
        <v>80</v>
      </c>
      <c r="K7" s="7" t="s">
        <v>78</v>
      </c>
      <c r="L7" s="7" t="s">
        <v>244</v>
      </c>
      <c r="M7" s="7" t="s">
        <v>33</v>
      </c>
      <c r="N7" s="7" t="s">
        <v>53</v>
      </c>
      <c r="O7" s="7" t="s">
        <v>53</v>
      </c>
      <c r="P7" s="7" t="s">
        <v>601</v>
      </c>
      <c r="Q7" s="7" t="s">
        <v>79</v>
      </c>
      <c r="R7" s="7" t="s">
        <v>35</v>
      </c>
      <c r="S7" s="7" t="s">
        <v>55</v>
      </c>
      <c r="T7" s="7">
        <v>0.193</v>
      </c>
      <c r="U7" s="7">
        <v>3711</v>
      </c>
      <c r="V7" s="7">
        <v>0.20699999999999999</v>
      </c>
      <c r="W7" s="2">
        <v>2248</v>
      </c>
      <c r="X7" s="7" t="s">
        <v>80</v>
      </c>
      <c r="Y7" s="7" t="s">
        <v>80</v>
      </c>
      <c r="Z7" s="12" t="s">
        <v>81</v>
      </c>
      <c r="AA7" s="137" t="s">
        <v>80</v>
      </c>
      <c r="AB7" s="2" t="s">
        <v>80</v>
      </c>
      <c r="AC7" s="7" t="s">
        <v>38</v>
      </c>
      <c r="AD7" s="7" t="s">
        <v>85</v>
      </c>
      <c r="AE7" s="7" t="s">
        <v>58</v>
      </c>
      <c r="AF7" s="7" t="s">
        <v>58</v>
      </c>
      <c r="AG7" s="7" t="s">
        <v>58</v>
      </c>
      <c r="AH7" s="7">
        <v>4.7E-2</v>
      </c>
      <c r="AI7" s="7">
        <v>4.7E-2</v>
      </c>
      <c r="AJ7" s="7">
        <v>4.7E-2</v>
      </c>
      <c r="AK7" s="7">
        <v>1.3500000000000001E-3</v>
      </c>
      <c r="AL7" s="2">
        <v>1.3500000000000001E-3</v>
      </c>
      <c r="AM7" s="7">
        <f>-0.025 - 0.119</f>
        <v>-0.14399999999999999</v>
      </c>
      <c r="AN7" s="19">
        <v>3.674234614E-2</v>
      </c>
      <c r="AO7" s="7">
        <v>1.3500000000000001E-3</v>
      </c>
      <c r="AP7" s="7">
        <v>5959</v>
      </c>
      <c r="AQ7" s="11">
        <v>44404</v>
      </c>
      <c r="AR7" s="7" t="s">
        <v>1152</v>
      </c>
      <c r="AS7" s="7" t="s">
        <v>83</v>
      </c>
      <c r="AT7" s="7" t="s">
        <v>84</v>
      </c>
      <c r="AU7" s="7" t="s">
        <v>44</v>
      </c>
      <c r="AV7" s="7" t="s">
        <v>552</v>
      </c>
      <c r="AW7" s="7" t="s">
        <v>44</v>
      </c>
    </row>
    <row r="8" spans="1:49" ht="409.6" thickBot="1">
      <c r="A8" s="7">
        <v>10</v>
      </c>
      <c r="B8" s="7">
        <v>6</v>
      </c>
      <c r="C8" s="7" t="s">
        <v>97</v>
      </c>
      <c r="D8" s="7">
        <v>2020</v>
      </c>
      <c r="E8" s="7" t="s">
        <v>98</v>
      </c>
      <c r="F8" s="7" t="s">
        <v>99</v>
      </c>
      <c r="G8" s="7">
        <v>1</v>
      </c>
      <c r="H8" s="7" t="s">
        <v>100</v>
      </c>
      <c r="I8" s="7">
        <v>1</v>
      </c>
      <c r="J8" s="7" t="s">
        <v>80</v>
      </c>
      <c r="K8" s="2" t="s">
        <v>213</v>
      </c>
      <c r="L8" s="2" t="s">
        <v>120</v>
      </c>
      <c r="M8" s="7" t="s">
        <v>33</v>
      </c>
      <c r="N8" s="7" t="s">
        <v>53</v>
      </c>
      <c r="O8" s="7" t="s">
        <v>101</v>
      </c>
      <c r="P8" s="7" t="s">
        <v>604</v>
      </c>
      <c r="Q8" s="7" t="s">
        <v>35</v>
      </c>
      <c r="R8" s="7" t="s">
        <v>35</v>
      </c>
      <c r="S8" s="7" t="s">
        <v>102</v>
      </c>
      <c r="T8" s="7">
        <v>0.372</v>
      </c>
      <c r="U8" s="7">
        <v>18047</v>
      </c>
      <c r="V8" s="7">
        <v>0.38100000000000001</v>
      </c>
      <c r="W8" s="2">
        <v>24755</v>
      </c>
      <c r="X8" s="7" t="s">
        <v>80</v>
      </c>
      <c r="Y8" s="7" t="s">
        <v>80</v>
      </c>
      <c r="Z8" s="7" t="s">
        <v>103</v>
      </c>
      <c r="AA8" s="137" t="s">
        <v>80</v>
      </c>
      <c r="AB8" s="2" t="s">
        <v>80</v>
      </c>
      <c r="AC8" s="7" t="s">
        <v>71</v>
      </c>
      <c r="AD8" s="7" t="s">
        <v>104</v>
      </c>
      <c r="AE8" s="7" t="s">
        <v>58</v>
      </c>
      <c r="AF8" s="2" t="s">
        <v>40</v>
      </c>
      <c r="AG8" s="2" t="s">
        <v>40</v>
      </c>
      <c r="AH8" s="7">
        <v>2.1100000000000001E-2</v>
      </c>
      <c r="AI8" s="7">
        <v>-1.95E-2</v>
      </c>
      <c r="AJ8" s="7">
        <v>-1.95E-2</v>
      </c>
      <c r="AK8" s="7">
        <v>1.0900000000000001E-4</v>
      </c>
      <c r="AL8" s="2">
        <v>1.0900000000000001E-4</v>
      </c>
      <c r="AM8" s="7">
        <f>-0.0399 - 0.0009</f>
        <v>-4.0799999999999996E-2</v>
      </c>
      <c r="AN8" s="19">
        <v>1.044030651E-2</v>
      </c>
      <c r="AO8" s="7">
        <v>1.0900000000000001E-4</v>
      </c>
      <c r="AP8" s="2">
        <v>67337</v>
      </c>
      <c r="AQ8" s="11">
        <v>44404</v>
      </c>
      <c r="AR8" s="7" t="s">
        <v>1152</v>
      </c>
      <c r="AS8" s="7" t="s">
        <v>105</v>
      </c>
      <c r="AT8" s="13" t="s">
        <v>555</v>
      </c>
      <c r="AU8" s="7" t="s">
        <v>44</v>
      </c>
      <c r="AV8" s="7" t="s">
        <v>44</v>
      </c>
      <c r="AW8" s="7" t="s">
        <v>44</v>
      </c>
    </row>
    <row r="9" spans="1:49" ht="17" thickBot="1">
      <c r="A9" s="7">
        <v>11</v>
      </c>
      <c r="B9" s="7">
        <v>6</v>
      </c>
      <c r="C9" s="7" t="s">
        <v>97</v>
      </c>
      <c r="D9" s="7">
        <v>2020</v>
      </c>
      <c r="E9" s="7" t="s">
        <v>98</v>
      </c>
      <c r="F9" s="7" t="s">
        <v>99</v>
      </c>
      <c r="G9" s="7">
        <v>1</v>
      </c>
      <c r="H9" s="7" t="s">
        <v>100</v>
      </c>
      <c r="I9" s="7">
        <v>1</v>
      </c>
      <c r="J9" s="7" t="s">
        <v>80</v>
      </c>
      <c r="K9" s="2" t="s">
        <v>213</v>
      </c>
      <c r="L9" s="2" t="s">
        <v>120</v>
      </c>
      <c r="M9" s="7" t="s">
        <v>33</v>
      </c>
      <c r="N9" s="7" t="s">
        <v>53</v>
      </c>
      <c r="O9" s="7" t="s">
        <v>101</v>
      </c>
      <c r="P9" s="7" t="s">
        <v>605</v>
      </c>
      <c r="Q9" s="7" t="s">
        <v>35</v>
      </c>
      <c r="R9" s="7" t="s">
        <v>35</v>
      </c>
      <c r="S9" s="7" t="s">
        <v>102</v>
      </c>
      <c r="T9" s="7">
        <v>0.218</v>
      </c>
      <c r="U9" s="7">
        <v>78</v>
      </c>
      <c r="V9" s="7">
        <v>0.215</v>
      </c>
      <c r="W9" s="2">
        <v>107</v>
      </c>
      <c r="X9" s="7" t="s">
        <v>80</v>
      </c>
      <c r="Y9" s="7" t="s">
        <v>80</v>
      </c>
      <c r="Z9" s="7" t="s">
        <v>103</v>
      </c>
      <c r="AA9" s="137" t="s">
        <v>80</v>
      </c>
      <c r="AB9" s="2" t="s">
        <v>80</v>
      </c>
      <c r="AC9" s="7" t="s">
        <v>71</v>
      </c>
      <c r="AD9" s="7" t="s">
        <v>106</v>
      </c>
      <c r="AE9" s="7" t="s">
        <v>58</v>
      </c>
      <c r="AF9" s="2" t="s">
        <v>40</v>
      </c>
      <c r="AG9" s="2" t="s">
        <v>40</v>
      </c>
      <c r="AH9" s="7">
        <v>-9.7999999999999997E-3</v>
      </c>
      <c r="AI9" s="7">
        <v>-3.0499999999999999E-2</v>
      </c>
      <c r="AJ9" s="7">
        <v>-3.0499999999999999E-2</v>
      </c>
      <c r="AK9" s="7">
        <v>3.6540000000000001E-3</v>
      </c>
      <c r="AL9" s="2">
        <v>3.6570000000000001E-3</v>
      </c>
      <c r="AM9" s="7">
        <f>-0.149 - 0.0881</f>
        <v>-0.23709999999999998</v>
      </c>
      <c r="AN9" s="19">
        <v>6.047313453E-2</v>
      </c>
      <c r="AO9" s="7">
        <v>3.6570000000000001E-3</v>
      </c>
      <c r="AP9" s="2">
        <v>2831</v>
      </c>
      <c r="AQ9" s="11">
        <v>44404</v>
      </c>
      <c r="AR9" s="7" t="s">
        <v>1152</v>
      </c>
      <c r="AS9" s="7" t="s">
        <v>105</v>
      </c>
      <c r="AT9" s="7" t="s">
        <v>47</v>
      </c>
      <c r="AU9" s="7" t="s">
        <v>44</v>
      </c>
      <c r="AV9" s="7" t="s">
        <v>44</v>
      </c>
      <c r="AW9" s="7" t="s">
        <v>44</v>
      </c>
    </row>
    <row r="10" spans="1:49" ht="17" thickBot="1">
      <c r="A10" s="7">
        <v>12</v>
      </c>
      <c r="B10" s="7">
        <v>6</v>
      </c>
      <c r="C10" s="7" t="s">
        <v>97</v>
      </c>
      <c r="D10" s="7">
        <v>2020</v>
      </c>
      <c r="E10" s="7" t="s">
        <v>98</v>
      </c>
      <c r="F10" s="7" t="s">
        <v>99</v>
      </c>
      <c r="G10" s="7">
        <v>1</v>
      </c>
      <c r="H10" s="7" t="s">
        <v>100</v>
      </c>
      <c r="I10" s="7">
        <v>1</v>
      </c>
      <c r="J10" s="7" t="s">
        <v>80</v>
      </c>
      <c r="K10" s="2" t="s">
        <v>213</v>
      </c>
      <c r="L10" s="2" t="s">
        <v>120</v>
      </c>
      <c r="M10" s="7" t="s">
        <v>33</v>
      </c>
      <c r="N10" s="7" t="s">
        <v>53</v>
      </c>
      <c r="O10" s="7" t="s">
        <v>101</v>
      </c>
      <c r="P10" s="7" t="s">
        <v>600</v>
      </c>
      <c r="Q10" s="7" t="s">
        <v>35</v>
      </c>
      <c r="R10" s="7" t="s">
        <v>35</v>
      </c>
      <c r="S10" s="7" t="s">
        <v>102</v>
      </c>
      <c r="T10" s="7">
        <v>0.38800000000000001</v>
      </c>
      <c r="U10" s="7">
        <v>245</v>
      </c>
      <c r="V10" s="7">
        <v>0.42099999999999999</v>
      </c>
      <c r="W10" s="2">
        <v>309</v>
      </c>
      <c r="X10" s="7" t="s">
        <v>80</v>
      </c>
      <c r="Y10" s="7" t="s">
        <v>80</v>
      </c>
      <c r="Z10" s="7" t="s">
        <v>103</v>
      </c>
      <c r="AA10" s="137" t="s">
        <v>80</v>
      </c>
      <c r="AB10" s="2" t="s">
        <v>80</v>
      </c>
      <c r="AC10" s="7" t="s">
        <v>71</v>
      </c>
      <c r="AD10" s="7" t="s">
        <v>107</v>
      </c>
      <c r="AE10" s="7" t="s">
        <v>58</v>
      </c>
      <c r="AF10" s="2" t="s">
        <v>40</v>
      </c>
      <c r="AG10" s="2" t="s">
        <v>40</v>
      </c>
      <c r="AH10" s="7">
        <v>7.5600000000000001E-2</v>
      </c>
      <c r="AI10" s="7">
        <v>4.3499999999999997E-2</v>
      </c>
      <c r="AJ10" s="7">
        <v>4.3499999999999997E-2</v>
      </c>
      <c r="AK10" s="7">
        <v>4.8700000000000002E-4</v>
      </c>
      <c r="AL10" s="2">
        <v>4.8700000000000002E-4</v>
      </c>
      <c r="AM10" s="7" t="s">
        <v>108</v>
      </c>
      <c r="AN10" s="19">
        <v>2.2068076490000001E-2</v>
      </c>
      <c r="AO10" s="7">
        <v>4.8700000000000002E-4</v>
      </c>
      <c r="AP10" s="2">
        <v>14792</v>
      </c>
      <c r="AQ10" s="11">
        <v>44404</v>
      </c>
      <c r="AR10" s="7" t="s">
        <v>1152</v>
      </c>
      <c r="AS10" s="7" t="s">
        <v>105</v>
      </c>
      <c r="AT10" s="7" t="s">
        <v>47</v>
      </c>
      <c r="AU10" s="7" t="s">
        <v>44</v>
      </c>
      <c r="AV10" s="7" t="s">
        <v>44</v>
      </c>
      <c r="AW10" s="7" t="s">
        <v>44</v>
      </c>
    </row>
    <row r="11" spans="1:49" ht="17" thickBot="1">
      <c r="A11" s="7">
        <v>13</v>
      </c>
      <c r="B11" s="7">
        <v>6</v>
      </c>
      <c r="C11" s="7" t="s">
        <v>97</v>
      </c>
      <c r="D11" s="7">
        <v>2020</v>
      </c>
      <c r="E11" s="7" t="s">
        <v>98</v>
      </c>
      <c r="F11" s="7" t="s">
        <v>99</v>
      </c>
      <c r="G11" s="7">
        <v>1</v>
      </c>
      <c r="H11" s="7" t="s">
        <v>100</v>
      </c>
      <c r="I11" s="7">
        <v>1</v>
      </c>
      <c r="J11" s="7" t="s">
        <v>80</v>
      </c>
      <c r="K11" s="2" t="s">
        <v>213</v>
      </c>
      <c r="L11" s="2" t="s">
        <v>120</v>
      </c>
      <c r="M11" s="7" t="s">
        <v>33</v>
      </c>
      <c r="N11" s="7" t="s">
        <v>53</v>
      </c>
      <c r="O11" s="7" t="s">
        <v>101</v>
      </c>
      <c r="P11" s="7" t="s">
        <v>603</v>
      </c>
      <c r="Q11" s="7" t="s">
        <v>35</v>
      </c>
      <c r="R11" s="7" t="s">
        <v>35</v>
      </c>
      <c r="S11" s="7" t="s">
        <v>102</v>
      </c>
      <c r="T11" s="7">
        <v>0.39800000000000002</v>
      </c>
      <c r="U11" s="7">
        <v>13033</v>
      </c>
      <c r="V11" s="7">
        <v>0.39700000000000002</v>
      </c>
      <c r="W11" s="2">
        <v>18445</v>
      </c>
      <c r="X11" s="7" t="s">
        <v>80</v>
      </c>
      <c r="Y11" s="7" t="s">
        <v>80</v>
      </c>
      <c r="Z11" s="7" t="s">
        <v>103</v>
      </c>
      <c r="AA11" s="137" t="s">
        <v>80</v>
      </c>
      <c r="AB11" s="2" t="s">
        <v>80</v>
      </c>
      <c r="AC11" s="7" t="s">
        <v>71</v>
      </c>
      <c r="AD11" s="7" t="s">
        <v>109</v>
      </c>
      <c r="AE11" s="7" t="s">
        <v>58</v>
      </c>
      <c r="AF11" s="2" t="s">
        <v>40</v>
      </c>
      <c r="AG11" s="2" t="s">
        <v>40</v>
      </c>
      <c r="AH11" s="7">
        <v>-3.7199999999999997E-2</v>
      </c>
      <c r="AI11" s="7">
        <v>-1.2500000000000001E-2</v>
      </c>
      <c r="AJ11" s="7">
        <v>-1.2500000000000001E-2</v>
      </c>
      <c r="AK11" s="7">
        <v>1.92E-4</v>
      </c>
      <c r="AL11" s="2">
        <v>1.92E-4</v>
      </c>
      <c r="AM11" s="7">
        <f>-0.0396 -0.0147</f>
        <v>-5.4300000000000001E-2</v>
      </c>
      <c r="AN11" s="19">
        <v>1.385640646E-2</v>
      </c>
      <c r="AO11" s="7">
        <v>1.92E-4</v>
      </c>
      <c r="AP11" s="2">
        <v>35043</v>
      </c>
      <c r="AQ11" s="11">
        <v>44404</v>
      </c>
      <c r="AR11" s="7" t="s">
        <v>1152</v>
      </c>
      <c r="AS11" s="7" t="s">
        <v>105</v>
      </c>
      <c r="AT11" s="7" t="s">
        <v>47</v>
      </c>
      <c r="AU11" s="7" t="s">
        <v>44</v>
      </c>
      <c r="AV11" s="7" t="s">
        <v>44</v>
      </c>
      <c r="AW11" s="7" t="s">
        <v>44</v>
      </c>
    </row>
    <row r="12" spans="1:49" ht="17" thickBot="1">
      <c r="A12" s="7">
        <v>14</v>
      </c>
      <c r="B12" s="7">
        <v>6</v>
      </c>
      <c r="C12" s="7" t="s">
        <v>97</v>
      </c>
      <c r="D12" s="7">
        <v>2020</v>
      </c>
      <c r="E12" s="7" t="s">
        <v>98</v>
      </c>
      <c r="F12" s="7" t="s">
        <v>99</v>
      </c>
      <c r="G12" s="7">
        <v>1</v>
      </c>
      <c r="H12" s="7" t="s">
        <v>100</v>
      </c>
      <c r="I12" s="7">
        <v>1</v>
      </c>
      <c r="J12" s="7" t="s">
        <v>80</v>
      </c>
      <c r="K12" s="2" t="s">
        <v>213</v>
      </c>
      <c r="L12" s="2" t="s">
        <v>120</v>
      </c>
      <c r="M12" s="7" t="s">
        <v>33</v>
      </c>
      <c r="N12" s="7" t="s">
        <v>53</v>
      </c>
      <c r="O12" s="7" t="s">
        <v>101</v>
      </c>
      <c r="P12" s="7" t="s">
        <v>601</v>
      </c>
      <c r="Q12" s="7" t="s">
        <v>35</v>
      </c>
      <c r="R12" s="7" t="s">
        <v>35</v>
      </c>
      <c r="S12" s="7" t="s">
        <v>102</v>
      </c>
      <c r="T12" s="7">
        <v>0.26700000000000002</v>
      </c>
      <c r="U12" s="7">
        <v>2515</v>
      </c>
      <c r="V12" s="7">
        <v>0.254</v>
      </c>
      <c r="W12" s="2">
        <v>3156</v>
      </c>
      <c r="X12" s="7" t="s">
        <v>80</v>
      </c>
      <c r="Y12" s="7" t="s">
        <v>80</v>
      </c>
      <c r="Z12" s="7" t="s">
        <v>103</v>
      </c>
      <c r="AA12" s="137" t="s">
        <v>80</v>
      </c>
      <c r="AB12" s="2" t="s">
        <v>80</v>
      </c>
      <c r="AC12" s="7" t="s">
        <v>71</v>
      </c>
      <c r="AD12" s="7" t="s">
        <v>110</v>
      </c>
      <c r="AE12" s="7" t="s">
        <v>58</v>
      </c>
      <c r="AF12" s="2" t="s">
        <v>40</v>
      </c>
      <c r="AG12" s="2" t="s">
        <v>40</v>
      </c>
      <c r="AH12" s="7">
        <v>-1.9900000000000001E-2</v>
      </c>
      <c r="AI12" s="7">
        <v>-5.2200000000000003E-2</v>
      </c>
      <c r="AJ12" s="7">
        <v>-5.2200000000000003E-2</v>
      </c>
      <c r="AK12" s="7">
        <v>5.53E-4</v>
      </c>
      <c r="AL12" s="2">
        <v>5.53E-4</v>
      </c>
      <c r="AM12" s="7">
        <f>-0.0983 - -0.0062</f>
        <v>-9.2100000000000001E-2</v>
      </c>
      <c r="AN12" s="19">
        <v>2.3515952029999999E-2</v>
      </c>
      <c r="AO12" s="7">
        <v>5.53E-4</v>
      </c>
      <c r="AP12" s="2">
        <v>15132</v>
      </c>
      <c r="AQ12" s="11">
        <v>44404</v>
      </c>
      <c r="AR12" s="7" t="s">
        <v>1152</v>
      </c>
      <c r="AS12" s="7" t="s">
        <v>105</v>
      </c>
      <c r="AT12" s="7" t="s">
        <v>47</v>
      </c>
      <c r="AU12" s="7" t="s">
        <v>44</v>
      </c>
      <c r="AV12" s="7" t="s">
        <v>44</v>
      </c>
      <c r="AW12" s="7" t="s">
        <v>44</v>
      </c>
    </row>
    <row r="13" spans="1:49" ht="17" thickBot="1">
      <c r="A13" s="7">
        <v>15</v>
      </c>
      <c r="B13" s="7">
        <v>6</v>
      </c>
      <c r="C13" s="7" t="s">
        <v>97</v>
      </c>
      <c r="D13" s="7">
        <v>2020</v>
      </c>
      <c r="E13" s="7" t="s">
        <v>98</v>
      </c>
      <c r="F13" s="7" t="s">
        <v>99</v>
      </c>
      <c r="G13" s="7">
        <v>1</v>
      </c>
      <c r="H13" s="7" t="s">
        <v>100</v>
      </c>
      <c r="I13" s="7">
        <v>1</v>
      </c>
      <c r="J13" s="7" t="s">
        <v>80</v>
      </c>
      <c r="K13" s="2" t="s">
        <v>111</v>
      </c>
      <c r="L13" s="7" t="s">
        <v>599</v>
      </c>
      <c r="M13" s="7" t="s">
        <v>33</v>
      </c>
      <c r="N13" s="7" t="s">
        <v>53</v>
      </c>
      <c r="O13" s="7" t="s">
        <v>101</v>
      </c>
      <c r="P13" s="7" t="s">
        <v>604</v>
      </c>
      <c r="Q13" s="7" t="s">
        <v>35</v>
      </c>
      <c r="R13" s="7" t="s">
        <v>35</v>
      </c>
      <c r="S13" s="7" t="s">
        <v>102</v>
      </c>
      <c r="T13" s="7">
        <v>0.21299999999999999</v>
      </c>
      <c r="U13" s="7">
        <v>32561</v>
      </c>
      <c r="V13" s="7">
        <v>0.20699999999999999</v>
      </c>
      <c r="W13" s="2">
        <v>34390</v>
      </c>
      <c r="X13" s="7" t="s">
        <v>80</v>
      </c>
      <c r="Y13" s="7" t="s">
        <v>80</v>
      </c>
      <c r="Z13" s="7" t="s">
        <v>103</v>
      </c>
      <c r="AA13" s="137" t="s">
        <v>80</v>
      </c>
      <c r="AB13" s="2" t="s">
        <v>80</v>
      </c>
      <c r="AC13" s="7" t="s">
        <v>71</v>
      </c>
      <c r="AD13" s="7" t="s">
        <v>112</v>
      </c>
      <c r="AE13" s="7" t="s">
        <v>58</v>
      </c>
      <c r="AF13" s="2" t="s">
        <v>40</v>
      </c>
      <c r="AG13" s="2" t="s">
        <v>40</v>
      </c>
      <c r="AH13" s="7">
        <v>-2.3E-3</v>
      </c>
      <c r="AI13" s="7">
        <v>-1.18E-2</v>
      </c>
      <c r="AJ13" s="7">
        <v>-1.18E-2</v>
      </c>
      <c r="AK13" s="7">
        <v>1.22E-4</v>
      </c>
      <c r="AL13" s="2">
        <v>1.22E-4</v>
      </c>
      <c r="AM13" s="7">
        <f>-0.0334 - 0.0099</f>
        <v>-4.3299999999999998E-2</v>
      </c>
      <c r="AN13" s="19">
        <v>1.104536102E-2</v>
      </c>
      <c r="AO13" s="7">
        <v>1.22E-4</v>
      </c>
      <c r="AP13" s="2">
        <v>43116</v>
      </c>
      <c r="AQ13" s="11">
        <v>44404</v>
      </c>
      <c r="AR13" s="7" t="s">
        <v>1152</v>
      </c>
      <c r="AS13" s="7" t="s">
        <v>105</v>
      </c>
      <c r="AT13" s="7" t="s">
        <v>47</v>
      </c>
      <c r="AU13" s="7" t="s">
        <v>44</v>
      </c>
      <c r="AV13" s="7" t="s">
        <v>44</v>
      </c>
      <c r="AW13" s="7" t="s">
        <v>44</v>
      </c>
    </row>
    <row r="14" spans="1:49" ht="17" thickBot="1">
      <c r="A14" s="7">
        <v>16</v>
      </c>
      <c r="B14" s="7">
        <v>6</v>
      </c>
      <c r="C14" s="7" t="s">
        <v>97</v>
      </c>
      <c r="D14" s="7">
        <v>2020</v>
      </c>
      <c r="E14" s="7" t="s">
        <v>98</v>
      </c>
      <c r="F14" s="7" t="s">
        <v>99</v>
      </c>
      <c r="G14" s="7">
        <v>1</v>
      </c>
      <c r="H14" s="7" t="s">
        <v>100</v>
      </c>
      <c r="I14" s="7">
        <v>1</v>
      </c>
      <c r="J14" s="7" t="s">
        <v>80</v>
      </c>
      <c r="K14" s="2" t="s">
        <v>111</v>
      </c>
      <c r="L14" s="7" t="s">
        <v>599</v>
      </c>
      <c r="M14" s="7" t="s">
        <v>33</v>
      </c>
      <c r="N14" s="7" t="s">
        <v>53</v>
      </c>
      <c r="O14" s="7" t="s">
        <v>101</v>
      </c>
      <c r="P14" s="7" t="s">
        <v>605</v>
      </c>
      <c r="Q14" s="7" t="s">
        <v>35</v>
      </c>
      <c r="R14" s="7" t="s">
        <v>35</v>
      </c>
      <c r="S14" s="7" t="s">
        <v>102</v>
      </c>
      <c r="T14" s="7">
        <v>0.14000000000000001</v>
      </c>
      <c r="U14" s="7">
        <v>1352</v>
      </c>
      <c r="V14" s="7">
        <v>0.13400000000000001</v>
      </c>
      <c r="W14" s="2">
        <v>1474</v>
      </c>
      <c r="X14" s="7" t="s">
        <v>80</v>
      </c>
      <c r="Y14" s="7" t="s">
        <v>80</v>
      </c>
      <c r="Z14" s="7" t="s">
        <v>103</v>
      </c>
      <c r="AA14" s="137" t="s">
        <v>80</v>
      </c>
      <c r="AB14" s="2" t="s">
        <v>80</v>
      </c>
      <c r="AC14" s="7" t="s">
        <v>71</v>
      </c>
      <c r="AD14" s="7" t="s">
        <v>113</v>
      </c>
      <c r="AE14" s="7" t="s">
        <v>58</v>
      </c>
      <c r="AF14" s="2" t="s">
        <v>40</v>
      </c>
      <c r="AG14" s="2" t="s">
        <v>40</v>
      </c>
      <c r="AH14" s="7">
        <v>-2.8000000000000001E-2</v>
      </c>
      <c r="AI14" s="7">
        <v>-7.3000000000000001E-3</v>
      </c>
      <c r="AJ14" s="7">
        <v>-7.3000000000000001E-3</v>
      </c>
      <c r="AK14" s="7">
        <v>3.9579999999999997E-2</v>
      </c>
      <c r="AL14" s="2">
        <v>3.9574999999999999E-2</v>
      </c>
      <c r="AM14" s="7">
        <f>-0.3972 - 0.3826</f>
        <v>-0.77980000000000005</v>
      </c>
      <c r="AN14" s="19">
        <v>0.19893466260000001</v>
      </c>
      <c r="AO14" s="7">
        <v>3.9574999999999999E-2</v>
      </c>
      <c r="AP14" s="2">
        <v>187</v>
      </c>
      <c r="AQ14" s="11">
        <v>44404</v>
      </c>
      <c r="AR14" s="7" t="s">
        <v>1152</v>
      </c>
      <c r="AS14" s="7" t="s">
        <v>105</v>
      </c>
      <c r="AT14" s="7" t="s">
        <v>47</v>
      </c>
      <c r="AU14" s="7" t="s">
        <v>44</v>
      </c>
      <c r="AV14" s="7" t="s">
        <v>44</v>
      </c>
      <c r="AW14" s="7" t="s">
        <v>44</v>
      </c>
    </row>
    <row r="15" spans="1:49" ht="17" thickBot="1">
      <c r="A15" s="7">
        <v>17</v>
      </c>
      <c r="B15" s="7">
        <v>6</v>
      </c>
      <c r="C15" s="7" t="s">
        <v>97</v>
      </c>
      <c r="D15" s="7">
        <v>2020</v>
      </c>
      <c r="E15" s="7" t="s">
        <v>98</v>
      </c>
      <c r="F15" s="7" t="s">
        <v>99</v>
      </c>
      <c r="G15" s="7">
        <v>1</v>
      </c>
      <c r="H15" s="7" t="s">
        <v>100</v>
      </c>
      <c r="I15" s="7">
        <v>1</v>
      </c>
      <c r="J15" s="7" t="s">
        <v>80</v>
      </c>
      <c r="K15" s="2" t="s">
        <v>111</v>
      </c>
      <c r="L15" s="7" t="s">
        <v>599</v>
      </c>
      <c r="M15" s="7" t="s">
        <v>33</v>
      </c>
      <c r="N15" s="7" t="s">
        <v>53</v>
      </c>
      <c r="O15" s="7" t="s">
        <v>101</v>
      </c>
      <c r="P15" s="7" t="s">
        <v>600</v>
      </c>
      <c r="Q15" s="7" t="s">
        <v>35</v>
      </c>
      <c r="R15" s="7" t="s">
        <v>35</v>
      </c>
      <c r="S15" s="7" t="s">
        <v>102</v>
      </c>
      <c r="T15" s="7">
        <v>0.21199999999999999</v>
      </c>
      <c r="U15" s="7">
        <v>7083</v>
      </c>
      <c r="V15" s="7">
        <v>0.21099999999999999</v>
      </c>
      <c r="W15" s="2">
        <v>7708</v>
      </c>
      <c r="X15" s="7" t="s">
        <v>80</v>
      </c>
      <c r="Y15" s="7" t="s">
        <v>80</v>
      </c>
      <c r="Z15" s="7" t="s">
        <v>103</v>
      </c>
      <c r="AA15" s="137" t="s">
        <v>80</v>
      </c>
      <c r="AB15" s="2" t="s">
        <v>80</v>
      </c>
      <c r="AC15" s="7" t="s">
        <v>71</v>
      </c>
      <c r="AD15" s="7" t="s">
        <v>113</v>
      </c>
      <c r="AE15" s="7" t="s">
        <v>58</v>
      </c>
      <c r="AF15" s="2" t="s">
        <v>40</v>
      </c>
      <c r="AG15" s="2" t="s">
        <v>40</v>
      </c>
      <c r="AH15" s="7">
        <v>-3.3E-3</v>
      </c>
      <c r="AI15" s="7">
        <v>7.6200000000000004E-2</v>
      </c>
      <c r="AJ15" s="7">
        <v>7.6200000000000004E-2</v>
      </c>
      <c r="AK15" s="7">
        <v>9.2299999999999999E-4</v>
      </c>
      <c r="AL15" s="2">
        <v>9.2299999999999999E-4</v>
      </c>
      <c r="AM15" s="7" t="s">
        <v>114</v>
      </c>
      <c r="AN15" s="22">
        <v>3.0380915059999999E-2</v>
      </c>
      <c r="AO15" s="7">
        <v>9.2299999999999999E-4</v>
      </c>
      <c r="AP15" s="2">
        <v>5553</v>
      </c>
      <c r="AQ15" s="11">
        <v>44404</v>
      </c>
      <c r="AR15" s="7" t="s">
        <v>1152</v>
      </c>
      <c r="AS15" s="7" t="s">
        <v>105</v>
      </c>
      <c r="AT15" s="7" t="s">
        <v>47</v>
      </c>
      <c r="AU15" s="7" t="s">
        <v>44</v>
      </c>
      <c r="AV15" s="7" t="s">
        <v>44</v>
      </c>
      <c r="AW15" s="7" t="s">
        <v>44</v>
      </c>
    </row>
    <row r="16" spans="1:49" ht="17" thickBot="1">
      <c r="A16" s="7">
        <v>18</v>
      </c>
      <c r="B16" s="7">
        <v>6</v>
      </c>
      <c r="C16" s="7" t="s">
        <v>97</v>
      </c>
      <c r="D16" s="7">
        <v>2020</v>
      </c>
      <c r="E16" s="7" t="s">
        <v>98</v>
      </c>
      <c r="F16" s="7" t="s">
        <v>99</v>
      </c>
      <c r="G16" s="7">
        <v>1</v>
      </c>
      <c r="H16" s="7" t="s">
        <v>100</v>
      </c>
      <c r="I16" s="7">
        <v>1</v>
      </c>
      <c r="J16" s="7" t="s">
        <v>80</v>
      </c>
      <c r="K16" s="2" t="s">
        <v>111</v>
      </c>
      <c r="L16" s="7" t="s">
        <v>599</v>
      </c>
      <c r="M16" s="7" t="s">
        <v>33</v>
      </c>
      <c r="N16" s="7" t="s">
        <v>53</v>
      </c>
      <c r="O16" s="7" t="s">
        <v>101</v>
      </c>
      <c r="P16" s="7" t="s">
        <v>603</v>
      </c>
      <c r="Q16" s="7" t="s">
        <v>35</v>
      </c>
      <c r="R16" s="7" t="s">
        <v>35</v>
      </c>
      <c r="S16" s="7" t="s">
        <v>102</v>
      </c>
      <c r="T16" s="7">
        <v>0.22500000000000001</v>
      </c>
      <c r="U16" s="7">
        <v>16864</v>
      </c>
      <c r="V16" s="7">
        <v>0.223</v>
      </c>
      <c r="W16" s="2">
        <v>17301</v>
      </c>
      <c r="X16" s="7" t="s">
        <v>80</v>
      </c>
      <c r="Y16" s="7" t="s">
        <v>80</v>
      </c>
      <c r="Z16" s="7" t="s">
        <v>103</v>
      </c>
      <c r="AA16" s="137" t="s">
        <v>80</v>
      </c>
      <c r="AB16" s="2" t="s">
        <v>80</v>
      </c>
      <c r="AC16" s="7" t="s">
        <v>71</v>
      </c>
      <c r="AD16" s="7" t="s">
        <v>115</v>
      </c>
      <c r="AE16" s="7" t="s">
        <v>58</v>
      </c>
      <c r="AF16" s="2" t="s">
        <v>40</v>
      </c>
      <c r="AG16" s="2" t="s">
        <v>40</v>
      </c>
      <c r="AH16" s="7">
        <v>-6.3E-3</v>
      </c>
      <c r="AI16" s="7">
        <v>-1.5E-3</v>
      </c>
      <c r="AJ16" s="7">
        <v>-1.5E-3</v>
      </c>
      <c r="AK16" s="7">
        <v>1.65E-4</v>
      </c>
      <c r="AL16" s="2">
        <v>1.65E-4</v>
      </c>
      <c r="AM16" s="7">
        <f>-0.0267 - 0.0236</f>
        <v>-5.0299999999999997E-2</v>
      </c>
      <c r="AN16" s="19">
        <v>1.2845232579999999E-2</v>
      </c>
      <c r="AO16" s="7">
        <v>1.65E-4</v>
      </c>
      <c r="AP16" s="2">
        <v>31701</v>
      </c>
      <c r="AQ16" s="11">
        <v>44404</v>
      </c>
      <c r="AR16" s="7" t="s">
        <v>1152</v>
      </c>
      <c r="AS16" s="7" t="s">
        <v>105</v>
      </c>
      <c r="AT16" s="7" t="s">
        <v>47</v>
      </c>
      <c r="AU16" s="7" t="s">
        <v>44</v>
      </c>
      <c r="AV16" s="7" t="s">
        <v>44</v>
      </c>
      <c r="AW16" s="7" t="s">
        <v>44</v>
      </c>
    </row>
    <row r="17" spans="1:49" ht="17" thickBot="1">
      <c r="A17" s="7">
        <v>19</v>
      </c>
      <c r="B17" s="7">
        <v>6</v>
      </c>
      <c r="C17" s="7" t="s">
        <v>97</v>
      </c>
      <c r="D17" s="7">
        <v>2020</v>
      </c>
      <c r="E17" s="7" t="s">
        <v>98</v>
      </c>
      <c r="F17" s="7" t="s">
        <v>99</v>
      </c>
      <c r="G17" s="7">
        <v>1</v>
      </c>
      <c r="H17" s="7" t="s">
        <v>100</v>
      </c>
      <c r="I17" s="7">
        <v>1</v>
      </c>
      <c r="J17" s="7" t="s">
        <v>80</v>
      </c>
      <c r="K17" s="2" t="s">
        <v>111</v>
      </c>
      <c r="L17" s="7" t="s">
        <v>599</v>
      </c>
      <c r="M17" s="7" t="s">
        <v>33</v>
      </c>
      <c r="N17" s="7" t="s">
        <v>53</v>
      </c>
      <c r="O17" s="7" t="s">
        <v>101</v>
      </c>
      <c r="P17" s="7" t="s">
        <v>601</v>
      </c>
      <c r="Q17" s="7" t="s">
        <v>35</v>
      </c>
      <c r="R17" s="7" t="s">
        <v>35</v>
      </c>
      <c r="S17" s="7" t="s">
        <v>102</v>
      </c>
      <c r="T17" s="7">
        <v>0.188</v>
      </c>
      <c r="U17" s="7">
        <v>7276</v>
      </c>
      <c r="V17" s="7">
        <v>0.17499999999999999</v>
      </c>
      <c r="W17" s="2">
        <v>7925</v>
      </c>
      <c r="X17" s="7" t="s">
        <v>80</v>
      </c>
      <c r="Y17" s="7" t="s">
        <v>80</v>
      </c>
      <c r="Z17" s="7" t="s">
        <v>103</v>
      </c>
      <c r="AA17" s="137" t="s">
        <v>80</v>
      </c>
      <c r="AB17" s="2" t="s">
        <v>80</v>
      </c>
      <c r="AC17" s="7" t="s">
        <v>71</v>
      </c>
      <c r="AD17" s="7" t="s">
        <v>116</v>
      </c>
      <c r="AE17" s="7" t="s">
        <v>58</v>
      </c>
      <c r="AF17" s="2" t="s">
        <v>40</v>
      </c>
      <c r="AG17" s="2" t="s">
        <v>40</v>
      </c>
      <c r="AH17" s="7">
        <v>-4.8300000000000003E-2</v>
      </c>
      <c r="AI17" s="7">
        <v>-4.2900000000000001E-2</v>
      </c>
      <c r="AJ17" s="7">
        <v>-4.2900000000000001E-2</v>
      </c>
      <c r="AK17" s="7">
        <v>1.1199999999999999E-3</v>
      </c>
      <c r="AL17" s="2">
        <v>1.121E-3</v>
      </c>
      <c r="AM17" s="7">
        <f>-0.1085 - 0.0228</f>
        <v>-0.1313</v>
      </c>
      <c r="AN17" s="19">
        <v>3.3466401059999998E-2</v>
      </c>
      <c r="AO17" s="7">
        <v>1.1199999999999999E-3</v>
      </c>
      <c r="AP17" s="2">
        <v>5689</v>
      </c>
      <c r="AQ17" s="11">
        <v>44404</v>
      </c>
      <c r="AR17" s="7" t="s">
        <v>1152</v>
      </c>
      <c r="AS17" s="7" t="s">
        <v>105</v>
      </c>
      <c r="AT17" s="7" t="s">
        <v>47</v>
      </c>
      <c r="AU17" s="7" t="s">
        <v>44</v>
      </c>
      <c r="AV17" s="7" t="s">
        <v>44</v>
      </c>
      <c r="AW17" s="7" t="s">
        <v>44</v>
      </c>
    </row>
    <row r="18" spans="1:49" ht="17" thickBot="1">
      <c r="A18" s="7">
        <v>24</v>
      </c>
      <c r="B18" s="7">
        <v>11</v>
      </c>
      <c r="C18" s="7" t="s">
        <v>160</v>
      </c>
      <c r="D18" s="7">
        <v>2021</v>
      </c>
      <c r="E18" s="7" t="s">
        <v>161</v>
      </c>
      <c r="F18" s="7" t="s">
        <v>162</v>
      </c>
      <c r="G18" s="7">
        <v>14.5</v>
      </c>
      <c r="H18" s="7" t="s">
        <v>163</v>
      </c>
      <c r="I18" s="7">
        <v>6.5</v>
      </c>
      <c r="J18" s="7" t="s">
        <v>80</v>
      </c>
      <c r="K18" s="7" t="s">
        <v>164</v>
      </c>
      <c r="L18" s="7" t="s">
        <v>120</v>
      </c>
      <c r="M18" s="7" t="s">
        <v>33</v>
      </c>
      <c r="N18" s="7" t="s">
        <v>53</v>
      </c>
      <c r="O18" s="7" t="s">
        <v>101</v>
      </c>
      <c r="P18" s="7" t="s">
        <v>600</v>
      </c>
      <c r="Q18" s="7" t="s">
        <v>35</v>
      </c>
      <c r="R18" s="7" t="s">
        <v>35</v>
      </c>
      <c r="S18" s="7" t="s">
        <v>165</v>
      </c>
      <c r="T18" s="7">
        <v>0.36699999999999999</v>
      </c>
      <c r="U18" s="2">
        <v>13156.66</v>
      </c>
      <c r="V18" s="7">
        <v>0.37</v>
      </c>
      <c r="W18" s="2">
        <v>495.62599999999998</v>
      </c>
      <c r="X18" s="7" t="s">
        <v>80</v>
      </c>
      <c r="Y18" s="10">
        <v>0.8</v>
      </c>
      <c r="Z18" s="7" t="s">
        <v>200</v>
      </c>
      <c r="AA18" s="137" t="s">
        <v>80</v>
      </c>
      <c r="AB18" s="2" t="s">
        <v>80</v>
      </c>
      <c r="AC18" s="7" t="s">
        <v>71</v>
      </c>
      <c r="AD18" s="7" t="s">
        <v>558</v>
      </c>
      <c r="AE18" s="7" t="s">
        <v>436</v>
      </c>
      <c r="AF18" s="7" t="s">
        <v>166</v>
      </c>
      <c r="AG18" s="7" t="s">
        <v>166</v>
      </c>
      <c r="AH18" s="2">
        <v>3.3E-3</v>
      </c>
      <c r="AI18" s="7">
        <v>3.3E-3</v>
      </c>
      <c r="AJ18" s="7">
        <v>3.3E-3</v>
      </c>
      <c r="AK18" s="7">
        <v>2.0939999999999999E-3</v>
      </c>
      <c r="AL18" s="2">
        <v>2.0939999999999999E-3</v>
      </c>
      <c r="AM18" s="7">
        <f>-0.0864 - 0.093</f>
        <v>-0.1794</v>
      </c>
      <c r="AN18" s="19">
        <v>4.5760244749999998E-2</v>
      </c>
      <c r="AO18" s="7">
        <v>2.0939999999999999E-3</v>
      </c>
      <c r="AP18" s="2">
        <v>13652.286</v>
      </c>
      <c r="AQ18" s="11">
        <v>44404</v>
      </c>
      <c r="AR18" s="7" t="s">
        <v>1153</v>
      </c>
      <c r="AS18" s="7" t="s">
        <v>167</v>
      </c>
      <c r="AT18" s="7" t="s">
        <v>168</v>
      </c>
      <c r="AU18" s="7" t="s">
        <v>44</v>
      </c>
      <c r="AV18" s="7" t="s">
        <v>169</v>
      </c>
      <c r="AW18" s="7" t="s">
        <v>44</v>
      </c>
    </row>
    <row r="19" spans="1:49" ht="17" thickBot="1">
      <c r="A19" s="7">
        <v>25</v>
      </c>
      <c r="B19" s="7">
        <v>11</v>
      </c>
      <c r="C19" s="7" t="s">
        <v>160</v>
      </c>
      <c r="D19" s="7">
        <v>2021</v>
      </c>
      <c r="E19" s="7" t="s">
        <v>161</v>
      </c>
      <c r="F19" s="7" t="s">
        <v>162</v>
      </c>
      <c r="G19" s="7">
        <v>14.5</v>
      </c>
      <c r="H19" s="7" t="s">
        <v>163</v>
      </c>
      <c r="I19" s="7">
        <v>6.5</v>
      </c>
      <c r="J19" s="7" t="s">
        <v>80</v>
      </c>
      <c r="K19" s="7" t="s">
        <v>164</v>
      </c>
      <c r="L19" s="7" t="s">
        <v>120</v>
      </c>
      <c r="M19" s="7" t="s">
        <v>33</v>
      </c>
      <c r="N19" s="7" t="s">
        <v>53</v>
      </c>
      <c r="O19" s="7" t="s">
        <v>101</v>
      </c>
      <c r="P19" s="7" t="s">
        <v>601</v>
      </c>
      <c r="Q19" s="7" t="s">
        <v>35</v>
      </c>
      <c r="R19" s="7" t="s">
        <v>35</v>
      </c>
      <c r="S19" s="7" t="s">
        <v>165</v>
      </c>
      <c r="T19" s="7">
        <v>0.23499999999999999</v>
      </c>
      <c r="U19" s="2">
        <v>13156.66</v>
      </c>
      <c r="V19" s="7">
        <v>0.23300000000000001</v>
      </c>
      <c r="W19" s="2">
        <v>495.62599999999998</v>
      </c>
      <c r="X19" s="7" t="s">
        <v>80</v>
      </c>
      <c r="Y19" s="10">
        <v>0.8</v>
      </c>
      <c r="Z19" s="7" t="s">
        <v>200</v>
      </c>
      <c r="AA19" s="137" t="s">
        <v>80</v>
      </c>
      <c r="AB19" s="2" t="s">
        <v>80</v>
      </c>
      <c r="AC19" s="7" t="s">
        <v>71</v>
      </c>
      <c r="AD19" s="7" t="s">
        <v>559</v>
      </c>
      <c r="AE19" s="7" t="s">
        <v>436</v>
      </c>
      <c r="AF19" s="7" t="s">
        <v>166</v>
      </c>
      <c r="AG19" s="7" t="s">
        <v>166</v>
      </c>
      <c r="AH19" s="2">
        <v>-2.5000000000000001E-3</v>
      </c>
      <c r="AI19" s="7">
        <v>-2.5000000000000001E-3</v>
      </c>
      <c r="AJ19" s="7">
        <v>-2.5000000000000001E-3</v>
      </c>
      <c r="AK19" s="7">
        <v>2.0939999999999999E-3</v>
      </c>
      <c r="AL19" s="2">
        <v>2.0939999999999999E-3</v>
      </c>
      <c r="AM19" s="7">
        <f>-0.0922 - 0.0871</f>
        <v>-0.17930000000000001</v>
      </c>
      <c r="AN19" s="19">
        <v>4.5760244749999998E-2</v>
      </c>
      <c r="AO19" s="7">
        <v>2.0939999999999999E-3</v>
      </c>
      <c r="AP19" s="2">
        <v>13652.286</v>
      </c>
      <c r="AQ19" s="11">
        <v>44404</v>
      </c>
      <c r="AR19" s="7" t="s">
        <v>1153</v>
      </c>
      <c r="AS19" s="7" t="s">
        <v>167</v>
      </c>
      <c r="AT19" s="7" t="s">
        <v>168</v>
      </c>
      <c r="AU19" s="7" t="s">
        <v>44</v>
      </c>
      <c r="AV19" s="7" t="s">
        <v>169</v>
      </c>
      <c r="AW19" s="7" t="s">
        <v>44</v>
      </c>
    </row>
    <row r="20" spans="1:49" ht="17" thickBot="1">
      <c r="A20" s="7">
        <v>26</v>
      </c>
      <c r="B20" s="7">
        <v>11</v>
      </c>
      <c r="C20" s="7" t="s">
        <v>160</v>
      </c>
      <c r="D20" s="7">
        <v>2021</v>
      </c>
      <c r="E20" s="7" t="s">
        <v>161</v>
      </c>
      <c r="F20" s="7" t="s">
        <v>162</v>
      </c>
      <c r="G20" s="7">
        <v>14.5</v>
      </c>
      <c r="H20" s="7" t="s">
        <v>163</v>
      </c>
      <c r="I20" s="7">
        <v>6.5</v>
      </c>
      <c r="J20" s="7" t="s">
        <v>80</v>
      </c>
      <c r="K20" s="7" t="s">
        <v>164</v>
      </c>
      <c r="L20" s="7" t="s">
        <v>120</v>
      </c>
      <c r="M20" s="7" t="s">
        <v>33</v>
      </c>
      <c r="N20" s="7" t="s">
        <v>53</v>
      </c>
      <c r="O20" s="7" t="s">
        <v>101</v>
      </c>
      <c r="P20" s="7" t="s">
        <v>604</v>
      </c>
      <c r="Q20" s="7" t="s">
        <v>35</v>
      </c>
      <c r="R20" s="7" t="s">
        <v>35</v>
      </c>
      <c r="S20" s="7" t="s">
        <v>165</v>
      </c>
      <c r="T20" s="7">
        <v>0.34200000000000003</v>
      </c>
      <c r="U20" s="2">
        <v>13156.66</v>
      </c>
      <c r="V20" s="7">
        <v>0.34399999999999997</v>
      </c>
      <c r="W20" s="2">
        <v>495.62599999999998</v>
      </c>
      <c r="X20" s="7" t="s">
        <v>80</v>
      </c>
      <c r="Y20" s="10">
        <v>0.8</v>
      </c>
      <c r="Z20" s="7" t="s">
        <v>200</v>
      </c>
      <c r="AA20" s="137" t="s">
        <v>80</v>
      </c>
      <c r="AB20" s="2" t="s">
        <v>80</v>
      </c>
      <c r="AC20" s="7" t="s">
        <v>71</v>
      </c>
      <c r="AD20" s="7" t="s">
        <v>560</v>
      </c>
      <c r="AE20" s="7" t="s">
        <v>436</v>
      </c>
      <c r="AF20" s="7" t="s">
        <v>166</v>
      </c>
      <c r="AG20" s="7" t="s">
        <v>166</v>
      </c>
      <c r="AH20" s="2">
        <v>5.8999999999999999E-3</v>
      </c>
      <c r="AI20" s="7">
        <v>5.8999999999999999E-3</v>
      </c>
      <c r="AJ20" s="7">
        <v>5.8999999999999999E-3</v>
      </c>
      <c r="AK20" s="7">
        <v>2.0939999999999999E-3</v>
      </c>
      <c r="AL20" s="2">
        <v>2.0939999999999999E-3</v>
      </c>
      <c r="AM20" s="7">
        <f>-0.0838- 0.0956</f>
        <v>-0.1794</v>
      </c>
      <c r="AN20" s="19">
        <v>4.5760244749999998E-2</v>
      </c>
      <c r="AO20" s="7">
        <v>2.0939999999999999E-3</v>
      </c>
      <c r="AP20" s="2">
        <v>13652.286</v>
      </c>
      <c r="AQ20" s="11">
        <v>44404</v>
      </c>
      <c r="AR20" s="7" t="s">
        <v>1153</v>
      </c>
      <c r="AS20" s="7" t="s">
        <v>167</v>
      </c>
      <c r="AT20" s="7" t="s">
        <v>168</v>
      </c>
      <c r="AU20" s="7" t="s">
        <v>44</v>
      </c>
      <c r="AV20" s="7" t="s">
        <v>169</v>
      </c>
      <c r="AW20" s="7" t="s">
        <v>44</v>
      </c>
    </row>
    <row r="21" spans="1:49" ht="17" thickBot="1">
      <c r="A21" s="7">
        <v>27</v>
      </c>
      <c r="B21" s="7">
        <v>11</v>
      </c>
      <c r="C21" s="7" t="s">
        <v>160</v>
      </c>
      <c r="D21" s="7">
        <v>2021</v>
      </c>
      <c r="E21" s="7" t="s">
        <v>161</v>
      </c>
      <c r="F21" s="7" t="s">
        <v>162</v>
      </c>
      <c r="G21" s="7">
        <v>14.5</v>
      </c>
      <c r="H21" s="7" t="s">
        <v>163</v>
      </c>
      <c r="I21" s="7">
        <v>6.5</v>
      </c>
      <c r="J21" s="7" t="s">
        <v>80</v>
      </c>
      <c r="K21" s="7" t="s">
        <v>164</v>
      </c>
      <c r="L21" s="7" t="s">
        <v>120</v>
      </c>
      <c r="M21" s="7" t="s">
        <v>33</v>
      </c>
      <c r="N21" s="7" t="s">
        <v>53</v>
      </c>
      <c r="O21" s="7" t="s">
        <v>101</v>
      </c>
      <c r="P21" s="7" t="s">
        <v>605</v>
      </c>
      <c r="Q21" s="7" t="s">
        <v>35</v>
      </c>
      <c r="R21" s="7" t="s">
        <v>35</v>
      </c>
      <c r="S21" s="7" t="s">
        <v>165</v>
      </c>
      <c r="T21" s="7">
        <v>0.20899999999999999</v>
      </c>
      <c r="U21" s="2">
        <v>13156.66</v>
      </c>
      <c r="V21" s="7">
        <v>0.16500000000000001</v>
      </c>
      <c r="W21" s="2">
        <v>495.62599999999998</v>
      </c>
      <c r="X21" s="7" t="s">
        <v>80</v>
      </c>
      <c r="Y21" s="10">
        <v>0.8</v>
      </c>
      <c r="Z21" s="7" t="s">
        <v>200</v>
      </c>
      <c r="AA21" s="137" t="s">
        <v>80</v>
      </c>
      <c r="AB21" s="2" t="s">
        <v>80</v>
      </c>
      <c r="AC21" s="7" t="s">
        <v>71</v>
      </c>
      <c r="AD21" s="7" t="s">
        <v>561</v>
      </c>
      <c r="AE21" s="7" t="s">
        <v>436</v>
      </c>
      <c r="AF21" s="7" t="s">
        <v>166</v>
      </c>
      <c r="AG21" s="7" t="s">
        <v>166</v>
      </c>
      <c r="AH21" s="2">
        <v>-1.12E-2</v>
      </c>
      <c r="AI21" s="7">
        <v>-1.12E-2</v>
      </c>
      <c r="AJ21" s="7">
        <v>-1.12E-2</v>
      </c>
      <c r="AK21" s="7">
        <v>2.0939999999999999E-3</v>
      </c>
      <c r="AL21" s="2">
        <v>2.0939999999999999E-3</v>
      </c>
      <c r="AM21" s="7">
        <f>-0.1008- 0.0785</f>
        <v>-0.17930000000000001</v>
      </c>
      <c r="AN21" s="19">
        <v>4.5760244749999998E-2</v>
      </c>
      <c r="AO21" s="7">
        <v>2.0939999999999999E-3</v>
      </c>
      <c r="AP21" s="2">
        <v>13652.286</v>
      </c>
      <c r="AQ21" s="11">
        <v>44404</v>
      </c>
      <c r="AR21" s="7" t="s">
        <v>1153</v>
      </c>
      <c r="AS21" s="7" t="s">
        <v>167</v>
      </c>
      <c r="AT21" s="7" t="s">
        <v>168</v>
      </c>
      <c r="AU21" s="7" t="s">
        <v>44</v>
      </c>
      <c r="AV21" s="7" t="s">
        <v>169</v>
      </c>
      <c r="AW21" s="7" t="s">
        <v>44</v>
      </c>
    </row>
    <row r="22" spans="1:49" ht="17" thickBot="1">
      <c r="A22" s="7">
        <v>28</v>
      </c>
      <c r="B22" s="7">
        <v>11</v>
      </c>
      <c r="C22" s="7" t="s">
        <v>160</v>
      </c>
      <c r="D22" s="7">
        <v>2021</v>
      </c>
      <c r="E22" s="7" t="s">
        <v>161</v>
      </c>
      <c r="F22" s="7" t="s">
        <v>162</v>
      </c>
      <c r="G22" s="7">
        <v>14.5</v>
      </c>
      <c r="H22" s="7" t="s">
        <v>163</v>
      </c>
      <c r="I22" s="7">
        <v>6.5</v>
      </c>
      <c r="J22" s="7" t="s">
        <v>80</v>
      </c>
      <c r="K22" s="7" t="s">
        <v>170</v>
      </c>
      <c r="L22" s="7" t="s">
        <v>244</v>
      </c>
      <c r="M22" s="7" t="s">
        <v>33</v>
      </c>
      <c r="N22" s="7" t="s">
        <v>53</v>
      </c>
      <c r="O22" s="7" t="s">
        <v>101</v>
      </c>
      <c r="P22" s="7" t="s">
        <v>600</v>
      </c>
      <c r="Q22" s="7" t="s">
        <v>35</v>
      </c>
      <c r="R22" s="7" t="s">
        <v>35</v>
      </c>
      <c r="S22" s="7" t="s">
        <v>165</v>
      </c>
      <c r="T22" s="7">
        <v>0.33500000000000002</v>
      </c>
      <c r="U22" s="2">
        <v>2165.893</v>
      </c>
      <c r="V22" s="7">
        <v>0.3</v>
      </c>
      <c r="W22" s="2">
        <v>198.779</v>
      </c>
      <c r="X22" s="7" t="s">
        <v>80</v>
      </c>
      <c r="Y22" s="10">
        <v>0.8</v>
      </c>
      <c r="Z22" s="7" t="s">
        <v>200</v>
      </c>
      <c r="AA22" s="137" t="s">
        <v>80</v>
      </c>
      <c r="AB22" s="2" t="s">
        <v>80</v>
      </c>
      <c r="AC22" s="7" t="s">
        <v>71</v>
      </c>
      <c r="AD22" s="7" t="s">
        <v>562</v>
      </c>
      <c r="AE22" s="7" t="s">
        <v>436</v>
      </c>
      <c r="AF22" s="7" t="s">
        <v>166</v>
      </c>
      <c r="AG22" s="7" t="s">
        <v>166</v>
      </c>
      <c r="AH22" s="2">
        <v>-1.43E-2</v>
      </c>
      <c r="AI22" s="7">
        <v>-1.43E-2</v>
      </c>
      <c r="AJ22" s="7">
        <v>-1.43E-2</v>
      </c>
      <c r="AK22" s="7">
        <v>5.4920000000000004E-3</v>
      </c>
      <c r="AL22" s="2">
        <v>5.4920000000000004E-3</v>
      </c>
      <c r="AM22" s="7">
        <f>-0.1595-0.131</f>
        <v>-0.29049999999999998</v>
      </c>
      <c r="AN22" s="19">
        <v>7.4108029249999999E-2</v>
      </c>
      <c r="AO22" s="7">
        <v>5.4920000000000004E-3</v>
      </c>
      <c r="AP22" s="2">
        <v>2364.672</v>
      </c>
      <c r="AQ22" s="11">
        <v>44404</v>
      </c>
      <c r="AR22" s="7" t="s">
        <v>1153</v>
      </c>
      <c r="AS22" s="7" t="s">
        <v>167</v>
      </c>
      <c r="AT22" s="7" t="s">
        <v>168</v>
      </c>
      <c r="AU22" s="7" t="s">
        <v>44</v>
      </c>
      <c r="AV22" s="7" t="s">
        <v>169</v>
      </c>
      <c r="AW22" s="7" t="s">
        <v>44</v>
      </c>
    </row>
    <row r="23" spans="1:49" ht="17" thickBot="1">
      <c r="A23" s="7">
        <v>29</v>
      </c>
      <c r="B23" s="7">
        <v>11</v>
      </c>
      <c r="C23" s="7" t="s">
        <v>160</v>
      </c>
      <c r="D23" s="7">
        <v>2021</v>
      </c>
      <c r="E23" s="7" t="s">
        <v>161</v>
      </c>
      <c r="F23" s="7" t="s">
        <v>162</v>
      </c>
      <c r="G23" s="7">
        <v>14.5</v>
      </c>
      <c r="H23" s="7" t="s">
        <v>163</v>
      </c>
      <c r="I23" s="7">
        <v>6.5</v>
      </c>
      <c r="J23" s="7" t="s">
        <v>80</v>
      </c>
      <c r="K23" s="7" t="s">
        <v>170</v>
      </c>
      <c r="L23" s="7" t="s">
        <v>244</v>
      </c>
      <c r="M23" s="7" t="s">
        <v>33</v>
      </c>
      <c r="N23" s="7" t="s">
        <v>53</v>
      </c>
      <c r="O23" s="7" t="s">
        <v>101</v>
      </c>
      <c r="P23" s="7" t="s">
        <v>601</v>
      </c>
      <c r="Q23" s="7" t="s">
        <v>35</v>
      </c>
      <c r="R23" s="7" t="s">
        <v>35</v>
      </c>
      <c r="S23" s="7" t="s">
        <v>165</v>
      </c>
      <c r="T23" s="7">
        <v>0.309</v>
      </c>
      <c r="U23" s="2">
        <v>2165.893</v>
      </c>
      <c r="V23" s="7">
        <v>0.23</v>
      </c>
      <c r="W23" s="2">
        <v>198.779</v>
      </c>
      <c r="X23" s="7" t="s">
        <v>80</v>
      </c>
      <c r="Y23" s="10">
        <v>0.8</v>
      </c>
      <c r="Z23" s="7" t="s">
        <v>200</v>
      </c>
      <c r="AA23" s="137" t="s">
        <v>80</v>
      </c>
      <c r="AB23" s="2" t="s">
        <v>80</v>
      </c>
      <c r="AC23" s="128" t="s">
        <v>71</v>
      </c>
      <c r="AD23" s="128" t="s">
        <v>563</v>
      </c>
      <c r="AE23" s="128" t="s">
        <v>436</v>
      </c>
      <c r="AF23" s="128" t="s">
        <v>166</v>
      </c>
      <c r="AG23" s="128" t="s">
        <v>166</v>
      </c>
      <c r="AH23" s="130">
        <v>-4.6699999999999998E-2</v>
      </c>
      <c r="AI23" s="128">
        <v>-4.6699999999999998E-2</v>
      </c>
      <c r="AJ23" s="128">
        <v>-4.6699999999999998E-2</v>
      </c>
      <c r="AK23" s="128">
        <v>5.4929999999999996E-3</v>
      </c>
      <c r="AL23" s="130">
        <v>5.4929999999999996E-3</v>
      </c>
      <c r="AM23" s="132">
        <f>-0.1919-0.0986</f>
        <v>-0.29049999999999998</v>
      </c>
      <c r="AN23" s="19">
        <v>7.4114775849999995E-2</v>
      </c>
      <c r="AO23" s="128">
        <v>5.4929999999999996E-3</v>
      </c>
      <c r="AP23" s="130">
        <v>2364.672</v>
      </c>
      <c r="AQ23" s="136">
        <v>44404</v>
      </c>
      <c r="AR23" s="7" t="s">
        <v>1153</v>
      </c>
      <c r="AS23" s="7" t="s">
        <v>167</v>
      </c>
      <c r="AT23" s="7" t="s">
        <v>168</v>
      </c>
      <c r="AU23" s="7" t="s">
        <v>44</v>
      </c>
      <c r="AV23" s="7" t="s">
        <v>169</v>
      </c>
      <c r="AW23" s="7" t="s">
        <v>44</v>
      </c>
    </row>
    <row r="24" spans="1:49" ht="17" thickBot="1">
      <c r="A24" s="7">
        <v>30</v>
      </c>
      <c r="B24" s="7">
        <v>11</v>
      </c>
      <c r="C24" s="7" t="s">
        <v>160</v>
      </c>
      <c r="D24" s="7">
        <v>2021</v>
      </c>
      <c r="E24" s="7" t="s">
        <v>161</v>
      </c>
      <c r="F24" s="7" t="s">
        <v>162</v>
      </c>
      <c r="G24" s="7">
        <v>14.5</v>
      </c>
      <c r="H24" s="7" t="s">
        <v>163</v>
      </c>
      <c r="I24" s="7">
        <v>6.5</v>
      </c>
      <c r="J24" s="7" t="s">
        <v>80</v>
      </c>
      <c r="K24" s="7" t="s">
        <v>170</v>
      </c>
      <c r="L24" s="7" t="s">
        <v>244</v>
      </c>
      <c r="M24" s="7" t="s">
        <v>33</v>
      </c>
      <c r="N24" s="7" t="s">
        <v>53</v>
      </c>
      <c r="O24" s="7" t="s">
        <v>101</v>
      </c>
      <c r="P24" s="7" t="s">
        <v>604</v>
      </c>
      <c r="Q24" s="7" t="s">
        <v>35</v>
      </c>
      <c r="R24" s="7" t="s">
        <v>35</v>
      </c>
      <c r="S24" s="7" t="s">
        <v>165</v>
      </c>
      <c r="T24" s="7">
        <v>0.376</v>
      </c>
      <c r="U24" s="2">
        <v>2165.893</v>
      </c>
      <c r="V24" s="7">
        <v>0.34799999999999998</v>
      </c>
      <c r="W24" s="2">
        <v>198.779</v>
      </c>
      <c r="X24" s="7" t="s">
        <v>80</v>
      </c>
      <c r="Y24" s="10">
        <v>0.8</v>
      </c>
      <c r="Z24" s="7" t="s">
        <v>200</v>
      </c>
      <c r="AA24" s="137" t="s">
        <v>80</v>
      </c>
      <c r="AB24" s="2" t="s">
        <v>80</v>
      </c>
      <c r="AC24" s="7" t="s">
        <v>71</v>
      </c>
      <c r="AD24" s="7" t="s">
        <v>564</v>
      </c>
      <c r="AE24" s="7" t="s">
        <v>436</v>
      </c>
      <c r="AF24" s="7" t="s">
        <v>166</v>
      </c>
      <c r="AG24" s="7" t="s">
        <v>166</v>
      </c>
      <c r="AH24" s="2">
        <v>-3.9300000000000002E-2</v>
      </c>
      <c r="AI24" s="7">
        <v>-3.9300000000000002E-2</v>
      </c>
      <c r="AJ24" s="7">
        <v>-3.9300000000000002E-2</v>
      </c>
      <c r="AK24" s="7">
        <v>5.4929999999999996E-3</v>
      </c>
      <c r="AL24" s="2">
        <v>5.4929999999999996E-3</v>
      </c>
      <c r="AM24" s="7">
        <f>-0.0393- 0.106</f>
        <v>-0.14529999999999998</v>
      </c>
      <c r="AN24" s="22">
        <v>7.4114775849999995E-2</v>
      </c>
      <c r="AO24" s="7">
        <v>5.4929999999999996E-3</v>
      </c>
      <c r="AP24" s="2">
        <v>2364.672</v>
      </c>
      <c r="AQ24" s="11">
        <v>44404</v>
      </c>
      <c r="AR24" s="7" t="s">
        <v>1153</v>
      </c>
      <c r="AS24" s="7" t="s">
        <v>167</v>
      </c>
      <c r="AT24" s="7" t="s">
        <v>168</v>
      </c>
      <c r="AU24" s="7" t="s">
        <v>44</v>
      </c>
      <c r="AV24" s="7" t="s">
        <v>169</v>
      </c>
      <c r="AW24" s="7" t="s">
        <v>44</v>
      </c>
    </row>
    <row r="25" spans="1:49" ht="17" thickBot="1">
      <c r="A25" s="7">
        <v>31</v>
      </c>
      <c r="B25" s="7">
        <v>11</v>
      </c>
      <c r="C25" s="7" t="s">
        <v>160</v>
      </c>
      <c r="D25" s="7">
        <v>2021</v>
      </c>
      <c r="E25" s="7" t="s">
        <v>161</v>
      </c>
      <c r="F25" s="7" t="s">
        <v>162</v>
      </c>
      <c r="G25" s="7">
        <v>14.5</v>
      </c>
      <c r="H25" s="7" t="s">
        <v>163</v>
      </c>
      <c r="I25" s="7">
        <v>6.5</v>
      </c>
      <c r="J25" s="7" t="s">
        <v>80</v>
      </c>
      <c r="K25" s="7" t="s">
        <v>171</v>
      </c>
      <c r="L25" s="7" t="s">
        <v>67</v>
      </c>
      <c r="M25" s="7" t="s">
        <v>33</v>
      </c>
      <c r="N25" s="7" t="s">
        <v>34</v>
      </c>
      <c r="O25" s="7" t="s">
        <v>34</v>
      </c>
      <c r="P25" s="7" t="s">
        <v>600</v>
      </c>
      <c r="Q25" s="7" t="s">
        <v>35</v>
      </c>
      <c r="R25" s="7" t="s">
        <v>35</v>
      </c>
      <c r="S25" s="7" t="s">
        <v>165</v>
      </c>
      <c r="T25" s="7">
        <v>0.45800000000000002</v>
      </c>
      <c r="U25" s="2">
        <v>4770.8829999999998</v>
      </c>
      <c r="V25" s="7">
        <v>0.438</v>
      </c>
      <c r="W25" s="2">
        <v>195.95</v>
      </c>
      <c r="X25" s="7" t="s">
        <v>80</v>
      </c>
      <c r="Y25" s="10">
        <v>0.8</v>
      </c>
      <c r="Z25" s="7" t="s">
        <v>200</v>
      </c>
      <c r="AA25" s="137" t="s">
        <v>80</v>
      </c>
      <c r="AB25" s="2" t="s">
        <v>80</v>
      </c>
      <c r="AC25" s="7" t="s">
        <v>71</v>
      </c>
      <c r="AD25" s="7" t="s">
        <v>565</v>
      </c>
      <c r="AE25" s="7" t="s">
        <v>436</v>
      </c>
      <c r="AF25" s="7" t="s">
        <v>166</v>
      </c>
      <c r="AG25" s="7" t="s">
        <v>166</v>
      </c>
      <c r="AH25" s="2">
        <v>-2.6800000000000001E-2</v>
      </c>
      <c r="AI25" s="7">
        <v>-2.6800000000000001E-2</v>
      </c>
      <c r="AJ25" s="7">
        <v>-2.6800000000000001E-2</v>
      </c>
      <c r="AK25" s="7">
        <v>5.313E-3</v>
      </c>
      <c r="AL25" s="2">
        <v>5.313E-3</v>
      </c>
      <c r="AM25" s="7">
        <f>-0.1697-0.116</f>
        <v>-0.28570000000000001</v>
      </c>
      <c r="AN25" s="19">
        <v>7.2890328579999997E-2</v>
      </c>
      <c r="AO25" s="7">
        <v>5.313E-3</v>
      </c>
      <c r="AP25" s="2">
        <v>4966.8329999999996</v>
      </c>
      <c r="AQ25" s="11">
        <v>44404</v>
      </c>
      <c r="AR25" s="7" t="s">
        <v>1153</v>
      </c>
      <c r="AS25" s="7" t="s">
        <v>167</v>
      </c>
      <c r="AT25" s="7" t="s">
        <v>168</v>
      </c>
      <c r="AU25" s="7" t="s">
        <v>44</v>
      </c>
      <c r="AV25" s="7" t="s">
        <v>169</v>
      </c>
      <c r="AW25" s="7" t="s">
        <v>44</v>
      </c>
    </row>
    <row r="26" spans="1:49" ht="17" thickBot="1">
      <c r="A26" s="7">
        <v>32</v>
      </c>
      <c r="B26" s="7">
        <v>11</v>
      </c>
      <c r="C26" s="7" t="s">
        <v>160</v>
      </c>
      <c r="D26" s="7">
        <v>2021</v>
      </c>
      <c r="E26" s="7" t="s">
        <v>161</v>
      </c>
      <c r="F26" s="7" t="s">
        <v>162</v>
      </c>
      <c r="G26" s="7">
        <v>14.5</v>
      </c>
      <c r="H26" s="7" t="s">
        <v>163</v>
      </c>
      <c r="I26" s="7">
        <v>6.5</v>
      </c>
      <c r="J26" s="7" t="s">
        <v>80</v>
      </c>
      <c r="K26" s="7" t="s">
        <v>171</v>
      </c>
      <c r="L26" s="7" t="s">
        <v>67</v>
      </c>
      <c r="M26" s="7" t="s">
        <v>33</v>
      </c>
      <c r="N26" s="7" t="s">
        <v>34</v>
      </c>
      <c r="O26" s="7" t="s">
        <v>34</v>
      </c>
      <c r="P26" s="7" t="s">
        <v>601</v>
      </c>
      <c r="Q26" s="7" t="s">
        <v>35</v>
      </c>
      <c r="R26" s="7" t="s">
        <v>35</v>
      </c>
      <c r="S26" s="7" t="s">
        <v>165</v>
      </c>
      <c r="T26" s="7">
        <v>0.315</v>
      </c>
      <c r="U26" s="2">
        <v>4770.8829999999998</v>
      </c>
      <c r="V26" s="7">
        <v>0.27500000000000002</v>
      </c>
      <c r="W26" s="2">
        <v>195.95</v>
      </c>
      <c r="X26" s="7" t="s">
        <v>80</v>
      </c>
      <c r="Y26" s="10">
        <v>0.8</v>
      </c>
      <c r="Z26" s="7" t="s">
        <v>200</v>
      </c>
      <c r="AA26" s="137" t="s">
        <v>80</v>
      </c>
      <c r="AB26" s="2" t="s">
        <v>80</v>
      </c>
      <c r="AC26" s="7" t="s">
        <v>71</v>
      </c>
      <c r="AD26" s="7" t="s">
        <v>566</v>
      </c>
      <c r="AE26" s="7" t="s">
        <v>436</v>
      </c>
      <c r="AF26" s="7" t="s">
        <v>166</v>
      </c>
      <c r="AG26" s="7" t="s">
        <v>166</v>
      </c>
      <c r="AH26" s="2">
        <v>-7.3700000000000002E-2</v>
      </c>
      <c r="AI26" s="7">
        <v>-7.3700000000000002E-2</v>
      </c>
      <c r="AJ26" s="7">
        <v>-7.3700000000000002E-2</v>
      </c>
      <c r="AK26" s="7">
        <v>5.313E-3</v>
      </c>
      <c r="AL26" s="2">
        <v>5.313E-3</v>
      </c>
      <c r="AM26" s="7">
        <f>-0.2166-0.0691</f>
        <v>-0.28569999999999995</v>
      </c>
      <c r="AN26" s="19">
        <v>7.2890328579999997E-2</v>
      </c>
      <c r="AO26" s="7">
        <v>5.313E-3</v>
      </c>
      <c r="AP26" s="2">
        <v>4966.8329999999996</v>
      </c>
      <c r="AQ26" s="11">
        <v>44404</v>
      </c>
      <c r="AR26" s="7" t="s">
        <v>1153</v>
      </c>
      <c r="AS26" s="7" t="s">
        <v>167</v>
      </c>
      <c r="AT26" s="7" t="s">
        <v>168</v>
      </c>
      <c r="AU26" s="7" t="s">
        <v>44</v>
      </c>
      <c r="AV26" s="7" t="s">
        <v>169</v>
      </c>
      <c r="AW26" s="7" t="s">
        <v>44</v>
      </c>
    </row>
    <row r="27" spans="1:49" ht="17" thickBot="1">
      <c r="A27" s="7">
        <v>33</v>
      </c>
      <c r="B27" s="7">
        <v>11</v>
      </c>
      <c r="C27" s="7" t="s">
        <v>160</v>
      </c>
      <c r="D27" s="7">
        <v>2021</v>
      </c>
      <c r="E27" s="7" t="s">
        <v>161</v>
      </c>
      <c r="F27" s="7" t="s">
        <v>162</v>
      </c>
      <c r="G27" s="7">
        <v>14.5</v>
      </c>
      <c r="H27" s="7" t="s">
        <v>163</v>
      </c>
      <c r="I27" s="7">
        <v>6.5</v>
      </c>
      <c r="J27" s="7" t="s">
        <v>80</v>
      </c>
      <c r="K27" s="7" t="s">
        <v>171</v>
      </c>
      <c r="L27" s="7" t="s">
        <v>67</v>
      </c>
      <c r="M27" s="7" t="s">
        <v>33</v>
      </c>
      <c r="N27" s="7" t="s">
        <v>34</v>
      </c>
      <c r="O27" s="7" t="s">
        <v>34</v>
      </c>
      <c r="P27" s="7" t="s">
        <v>604</v>
      </c>
      <c r="Q27" s="7" t="s">
        <v>35</v>
      </c>
      <c r="R27" s="7" t="s">
        <v>35</v>
      </c>
      <c r="S27" s="7" t="s">
        <v>165</v>
      </c>
      <c r="T27" s="7">
        <v>0.39</v>
      </c>
      <c r="U27" s="2">
        <v>4770.8829999999998</v>
      </c>
      <c r="V27" s="7">
        <v>0.38200000000000001</v>
      </c>
      <c r="W27" s="2">
        <v>195.95</v>
      </c>
      <c r="X27" s="7" t="s">
        <v>80</v>
      </c>
      <c r="Y27" s="10">
        <v>0.8</v>
      </c>
      <c r="Z27" s="7" t="s">
        <v>200</v>
      </c>
      <c r="AA27" s="137" t="s">
        <v>80</v>
      </c>
      <c r="AB27" s="2" t="s">
        <v>80</v>
      </c>
      <c r="AC27" s="7" t="s">
        <v>71</v>
      </c>
      <c r="AD27" s="7" t="s">
        <v>567</v>
      </c>
      <c r="AE27" s="7" t="s">
        <v>436</v>
      </c>
      <c r="AF27" s="7" t="s">
        <v>166</v>
      </c>
      <c r="AG27" s="7" t="s">
        <v>166</v>
      </c>
      <c r="AH27" s="2">
        <v>-1.9699999999999999E-2</v>
      </c>
      <c r="AI27" s="7">
        <v>-1.9699999999999999E-2</v>
      </c>
      <c r="AJ27" s="7">
        <v>-1.9699999999999999E-2</v>
      </c>
      <c r="AK27" s="7">
        <v>5.313E-3</v>
      </c>
      <c r="AL27" s="2">
        <v>5.313E-3</v>
      </c>
      <c r="AM27" s="7">
        <f>-0.1625-0.1232</f>
        <v>-0.28570000000000001</v>
      </c>
      <c r="AN27" s="19">
        <v>7.2890328579999997E-2</v>
      </c>
      <c r="AO27" s="7">
        <v>5.313E-3</v>
      </c>
      <c r="AP27" s="2">
        <v>4966.8329999999996</v>
      </c>
      <c r="AQ27" s="11">
        <v>44404</v>
      </c>
      <c r="AR27" s="7" t="s">
        <v>1153</v>
      </c>
      <c r="AS27" s="7" t="s">
        <v>167</v>
      </c>
      <c r="AT27" s="7" t="s">
        <v>168</v>
      </c>
      <c r="AU27" s="7" t="s">
        <v>44</v>
      </c>
      <c r="AV27" s="7" t="s">
        <v>169</v>
      </c>
      <c r="AW27" s="7" t="s">
        <v>44</v>
      </c>
    </row>
    <row r="28" spans="1:49" ht="17" thickBot="1">
      <c r="A28" s="7">
        <v>34</v>
      </c>
      <c r="B28" s="7">
        <v>11</v>
      </c>
      <c r="C28" s="7" t="s">
        <v>160</v>
      </c>
      <c r="D28" s="7">
        <v>2021</v>
      </c>
      <c r="E28" s="7" t="s">
        <v>161</v>
      </c>
      <c r="F28" s="7" t="s">
        <v>162</v>
      </c>
      <c r="G28" s="7">
        <v>14.5</v>
      </c>
      <c r="H28" s="7" t="s">
        <v>163</v>
      </c>
      <c r="I28" s="7">
        <v>6.5</v>
      </c>
      <c r="J28" s="7" t="s">
        <v>80</v>
      </c>
      <c r="K28" s="7" t="s">
        <v>171</v>
      </c>
      <c r="L28" s="7" t="s">
        <v>67</v>
      </c>
      <c r="M28" s="7" t="s">
        <v>33</v>
      </c>
      <c r="N28" s="7" t="s">
        <v>34</v>
      </c>
      <c r="O28" s="7" t="s">
        <v>34</v>
      </c>
      <c r="P28" s="7" t="s">
        <v>605</v>
      </c>
      <c r="Q28" s="7" t="s">
        <v>35</v>
      </c>
      <c r="R28" s="7" t="s">
        <v>35</v>
      </c>
      <c r="S28" s="7" t="s">
        <v>165</v>
      </c>
      <c r="T28" s="7">
        <v>0.28399999999999997</v>
      </c>
      <c r="U28" s="2">
        <v>4770.8829999999998</v>
      </c>
      <c r="V28" s="7">
        <v>0.29899999999999999</v>
      </c>
      <c r="W28" s="2">
        <v>195.95</v>
      </c>
      <c r="X28" s="7" t="s">
        <v>80</v>
      </c>
      <c r="Y28" s="10">
        <v>0.8</v>
      </c>
      <c r="Z28" s="7" t="s">
        <v>200</v>
      </c>
      <c r="AA28" s="137" t="s">
        <v>80</v>
      </c>
      <c r="AB28" s="2" t="s">
        <v>80</v>
      </c>
      <c r="AC28" s="7" t="s">
        <v>71</v>
      </c>
      <c r="AD28" s="7" t="s">
        <v>568</v>
      </c>
      <c r="AE28" s="7" t="s">
        <v>436</v>
      </c>
      <c r="AF28" s="7" t="s">
        <v>166</v>
      </c>
      <c r="AG28" s="7" t="s">
        <v>166</v>
      </c>
      <c r="AH28" s="2">
        <v>5.4999999999999997E-3</v>
      </c>
      <c r="AI28" s="7">
        <v>5.4999999999999997E-3</v>
      </c>
      <c r="AJ28" s="7">
        <v>5.4999999999999997E-3</v>
      </c>
      <c r="AK28" s="7">
        <v>5.313E-3</v>
      </c>
      <c r="AL28" s="2">
        <v>5.313E-3</v>
      </c>
      <c r="AM28" s="7">
        <f>-0.1373-0.1484</f>
        <v>-0.28570000000000001</v>
      </c>
      <c r="AN28" s="19">
        <v>7.2890328579999997E-2</v>
      </c>
      <c r="AO28" s="7">
        <v>5.313E-3</v>
      </c>
      <c r="AP28" s="2">
        <v>4966.8329999999996</v>
      </c>
      <c r="AQ28" s="11">
        <v>44404</v>
      </c>
      <c r="AR28" s="7" t="s">
        <v>1153</v>
      </c>
      <c r="AS28" s="7" t="s">
        <v>167</v>
      </c>
      <c r="AT28" s="7" t="s">
        <v>168</v>
      </c>
      <c r="AU28" s="7" t="s">
        <v>44</v>
      </c>
      <c r="AV28" s="7" t="s">
        <v>169</v>
      </c>
      <c r="AW28" s="7" t="s">
        <v>44</v>
      </c>
    </row>
    <row r="29" spans="1:49" ht="17" thickBot="1">
      <c r="A29" s="7">
        <v>36</v>
      </c>
      <c r="B29" s="7">
        <v>13</v>
      </c>
      <c r="C29" s="7" t="s">
        <v>184</v>
      </c>
      <c r="D29" s="7">
        <v>2021</v>
      </c>
      <c r="E29" s="7" t="s">
        <v>185</v>
      </c>
      <c r="F29" s="7" t="s">
        <v>186</v>
      </c>
      <c r="G29" s="7">
        <v>5.5</v>
      </c>
      <c r="H29" s="7" t="s">
        <v>187</v>
      </c>
      <c r="I29" s="7">
        <v>5.5</v>
      </c>
      <c r="J29" s="7" t="s">
        <v>80</v>
      </c>
      <c r="K29" s="7" t="s">
        <v>188</v>
      </c>
      <c r="L29" s="7" t="s">
        <v>120</v>
      </c>
      <c r="M29" s="7" t="s">
        <v>33</v>
      </c>
      <c r="N29" s="7" t="s">
        <v>53</v>
      </c>
      <c r="O29" s="7" t="s">
        <v>53</v>
      </c>
      <c r="P29" s="7" t="s">
        <v>600</v>
      </c>
      <c r="Q29" s="7" t="s">
        <v>189</v>
      </c>
      <c r="R29" s="7" t="s">
        <v>35</v>
      </c>
      <c r="S29" s="7" t="s">
        <v>190</v>
      </c>
      <c r="T29" s="7">
        <v>0.39900000000000002</v>
      </c>
      <c r="U29" s="7">
        <v>2803</v>
      </c>
      <c r="V29" s="7">
        <v>0.41</v>
      </c>
      <c r="W29" s="2">
        <v>3239</v>
      </c>
      <c r="X29" s="7" t="s">
        <v>80</v>
      </c>
      <c r="Y29" s="7" t="s">
        <v>80</v>
      </c>
      <c r="Z29" s="7" t="s">
        <v>200</v>
      </c>
      <c r="AA29" s="137" t="s">
        <v>80</v>
      </c>
      <c r="AB29" s="2" t="s">
        <v>80</v>
      </c>
      <c r="AC29" s="7" t="s">
        <v>38</v>
      </c>
      <c r="AD29" s="7" t="s">
        <v>191</v>
      </c>
      <c r="AE29" s="7" t="s">
        <v>40</v>
      </c>
      <c r="AF29" s="2" t="s">
        <v>192</v>
      </c>
      <c r="AG29" s="2" t="s">
        <v>192</v>
      </c>
      <c r="AH29" s="7">
        <v>2.52E-2</v>
      </c>
      <c r="AI29" s="7">
        <v>2.52E-2</v>
      </c>
      <c r="AJ29" s="7">
        <v>2.52E-2</v>
      </c>
      <c r="AK29" s="7">
        <v>8.4000000000000003E-4</v>
      </c>
      <c r="AL29" s="7">
        <v>8.4000000000000003E-4</v>
      </c>
      <c r="AM29" s="7">
        <f>-0.0316-0.082</f>
        <v>-0.11360000000000001</v>
      </c>
      <c r="AN29" s="19">
        <v>2.8982753489999999E-2</v>
      </c>
      <c r="AO29" s="7">
        <v>8.4000000000000003E-4</v>
      </c>
      <c r="AP29" s="2">
        <v>6042</v>
      </c>
      <c r="AQ29" s="11">
        <v>44404</v>
      </c>
      <c r="AR29" s="7" t="s">
        <v>1153</v>
      </c>
      <c r="AS29" s="7" t="s">
        <v>193</v>
      </c>
      <c r="AT29" s="7" t="s">
        <v>80</v>
      </c>
      <c r="AU29" s="7" t="s">
        <v>44</v>
      </c>
      <c r="AV29" s="7" t="s">
        <v>44</v>
      </c>
      <c r="AW29" s="7" t="s">
        <v>44</v>
      </c>
    </row>
    <row r="30" spans="1:49" ht="17" thickBot="1">
      <c r="A30" s="7">
        <v>37</v>
      </c>
      <c r="B30" s="7">
        <v>13</v>
      </c>
      <c r="C30" s="7" t="s">
        <v>184</v>
      </c>
      <c r="D30" s="7">
        <v>2021</v>
      </c>
      <c r="E30" s="7" t="s">
        <v>185</v>
      </c>
      <c r="F30" s="7" t="s">
        <v>186</v>
      </c>
      <c r="G30" s="7">
        <v>5.5</v>
      </c>
      <c r="H30" s="7" t="s">
        <v>187</v>
      </c>
      <c r="I30" s="7">
        <v>5.5</v>
      </c>
      <c r="J30" s="7" t="s">
        <v>80</v>
      </c>
      <c r="K30" s="7" t="s">
        <v>188</v>
      </c>
      <c r="L30" s="7" t="s">
        <v>120</v>
      </c>
      <c r="M30" s="7" t="s">
        <v>33</v>
      </c>
      <c r="N30" s="7" t="s">
        <v>53</v>
      </c>
      <c r="O30" s="7" t="s">
        <v>53</v>
      </c>
      <c r="P30" s="7" t="s">
        <v>602</v>
      </c>
      <c r="Q30" s="7" t="s">
        <v>189</v>
      </c>
      <c r="R30" s="7" t="s">
        <v>35</v>
      </c>
      <c r="S30" s="7" t="s">
        <v>190</v>
      </c>
      <c r="T30" s="7">
        <v>0.38600000000000001</v>
      </c>
      <c r="U30" s="7">
        <v>2803</v>
      </c>
      <c r="V30" s="7">
        <v>0.40100000000000002</v>
      </c>
      <c r="W30" s="2">
        <v>3239</v>
      </c>
      <c r="X30" s="7" t="s">
        <v>80</v>
      </c>
      <c r="Y30" s="7" t="s">
        <v>80</v>
      </c>
      <c r="Z30" s="7" t="s">
        <v>200</v>
      </c>
      <c r="AA30" s="137" t="s">
        <v>80</v>
      </c>
      <c r="AB30" s="2" t="s">
        <v>80</v>
      </c>
      <c r="AC30" s="7" t="s">
        <v>38</v>
      </c>
      <c r="AD30" s="7" t="s">
        <v>194</v>
      </c>
      <c r="AE30" s="7" t="s">
        <v>40</v>
      </c>
      <c r="AF30" s="2" t="s">
        <v>192</v>
      </c>
      <c r="AG30" s="2" t="s">
        <v>192</v>
      </c>
      <c r="AH30" s="7">
        <v>3.4700000000000002E-2</v>
      </c>
      <c r="AI30" s="7">
        <v>3.4700000000000002E-2</v>
      </c>
      <c r="AJ30" s="7">
        <v>3.4700000000000002E-2</v>
      </c>
      <c r="AK30" s="2">
        <v>8.4800000000000001E-4</v>
      </c>
      <c r="AL30" s="2">
        <v>8.4800000000000001E-4</v>
      </c>
      <c r="AM30" s="2">
        <f>-0.0224-0.0917</f>
        <v>-0.11410000000000001</v>
      </c>
      <c r="AN30" s="19">
        <v>2.9120439559999999E-2</v>
      </c>
      <c r="AO30" s="7">
        <v>8.4800000000000001E-4</v>
      </c>
      <c r="AP30" s="2">
        <v>6042</v>
      </c>
      <c r="AQ30" s="11">
        <v>44404</v>
      </c>
      <c r="AR30" s="7" t="s">
        <v>1153</v>
      </c>
      <c r="AS30" s="7"/>
      <c r="AT30" s="7" t="s">
        <v>80</v>
      </c>
      <c r="AU30" s="7" t="s">
        <v>44</v>
      </c>
      <c r="AV30" s="7" t="s">
        <v>44</v>
      </c>
      <c r="AW30" s="7" t="s">
        <v>44</v>
      </c>
    </row>
    <row r="31" spans="1:49" ht="17" thickBot="1">
      <c r="A31" s="7">
        <v>38</v>
      </c>
      <c r="B31" s="7">
        <v>14</v>
      </c>
      <c r="C31" s="7" t="s">
        <v>195</v>
      </c>
      <c r="D31" s="7">
        <v>2021</v>
      </c>
      <c r="E31" s="7" t="s">
        <v>196</v>
      </c>
      <c r="F31" s="7" t="s">
        <v>197</v>
      </c>
      <c r="G31" s="7">
        <v>3</v>
      </c>
      <c r="H31" s="7" t="s">
        <v>198</v>
      </c>
      <c r="I31" s="7">
        <v>3</v>
      </c>
      <c r="J31" s="7" t="s">
        <v>80</v>
      </c>
      <c r="K31" s="7" t="s">
        <v>584</v>
      </c>
      <c r="L31" s="7" t="s">
        <v>176</v>
      </c>
      <c r="M31" s="7" t="s">
        <v>33</v>
      </c>
      <c r="N31" s="7" t="s">
        <v>53</v>
      </c>
      <c r="O31" s="7" t="s">
        <v>101</v>
      </c>
      <c r="P31" s="7" t="s">
        <v>604</v>
      </c>
      <c r="Q31" s="7" t="s">
        <v>35</v>
      </c>
      <c r="R31" s="7" t="s">
        <v>35</v>
      </c>
      <c r="S31" s="7" t="s">
        <v>199</v>
      </c>
      <c r="T31">
        <v>0.29649599999999998</v>
      </c>
      <c r="U31">
        <v>779.1</v>
      </c>
      <c r="V31">
        <v>0.26402799999999998</v>
      </c>
      <c r="W31">
        <v>1015.8</v>
      </c>
      <c r="X31" s="7" t="s">
        <v>80</v>
      </c>
      <c r="Y31" s="10">
        <v>0.8</v>
      </c>
      <c r="Z31" s="7" t="s">
        <v>200</v>
      </c>
      <c r="AA31" s="7" t="s">
        <v>1160</v>
      </c>
      <c r="AB31" s="7">
        <v>-0.15</v>
      </c>
      <c r="AC31" s="7" t="s">
        <v>38</v>
      </c>
      <c r="AD31" s="7" t="s">
        <v>80</v>
      </c>
      <c r="AE31" s="7" t="s">
        <v>80</v>
      </c>
      <c r="AF31" s="7" t="s">
        <v>80</v>
      </c>
      <c r="AG31" s="7" t="s">
        <v>80</v>
      </c>
      <c r="AH31" s="7" t="s">
        <v>80</v>
      </c>
      <c r="AI31" s="7" t="s">
        <v>80</v>
      </c>
      <c r="AJ31" s="7">
        <v>-0.15</v>
      </c>
      <c r="AK31" s="7" t="s">
        <v>80</v>
      </c>
      <c r="AL31" s="7" t="s">
        <v>80</v>
      </c>
      <c r="AM31" s="7" t="s">
        <v>80</v>
      </c>
      <c r="AN31" s="23">
        <v>6.4000000000000001E-2</v>
      </c>
      <c r="AO31" s="7">
        <v>4.0959999999999998E-3</v>
      </c>
      <c r="AP31" s="7">
        <v>41858</v>
      </c>
      <c r="AQ31" s="11">
        <v>44404</v>
      </c>
      <c r="AR31" s="7" t="s">
        <v>1153</v>
      </c>
      <c r="AS31" s="7" t="s">
        <v>201</v>
      </c>
      <c r="AT31" s="7" t="s">
        <v>202</v>
      </c>
      <c r="AU31" s="7" t="s">
        <v>44</v>
      </c>
      <c r="AV31" s="7" t="s">
        <v>570</v>
      </c>
      <c r="AW31" s="7" t="s">
        <v>203</v>
      </c>
    </row>
    <row r="32" spans="1:49" ht="17" thickBot="1">
      <c r="A32" s="7">
        <v>39</v>
      </c>
      <c r="B32" s="7">
        <v>15</v>
      </c>
      <c r="C32" s="7" t="s">
        <v>204</v>
      </c>
      <c r="D32" s="7">
        <v>2020</v>
      </c>
      <c r="E32" s="7" t="s">
        <v>205</v>
      </c>
      <c r="F32" s="2" t="s">
        <v>571</v>
      </c>
      <c r="G32" s="2" t="s">
        <v>80</v>
      </c>
      <c r="H32" s="2" t="s">
        <v>206</v>
      </c>
      <c r="I32" s="2" t="s">
        <v>80</v>
      </c>
      <c r="J32" s="7" t="s">
        <v>80</v>
      </c>
      <c r="K32" s="7" t="s">
        <v>170</v>
      </c>
      <c r="L32" s="7" t="s">
        <v>244</v>
      </c>
      <c r="M32" s="7" t="s">
        <v>33</v>
      </c>
      <c r="N32" s="7" t="s">
        <v>53</v>
      </c>
      <c r="O32" s="7" t="s">
        <v>101</v>
      </c>
      <c r="P32" s="7" t="s">
        <v>602</v>
      </c>
      <c r="Q32" s="7" t="s">
        <v>35</v>
      </c>
      <c r="R32" s="7" t="s">
        <v>35</v>
      </c>
      <c r="S32" s="7" t="s">
        <v>207</v>
      </c>
      <c r="T32" t="s">
        <v>80</v>
      </c>
      <c r="U32" t="s">
        <v>80</v>
      </c>
      <c r="V32" t="s">
        <v>80</v>
      </c>
      <c r="W32" t="s">
        <v>80</v>
      </c>
      <c r="X32" s="7" t="s">
        <v>80</v>
      </c>
      <c r="Y32" s="7" t="s">
        <v>80</v>
      </c>
      <c r="Z32" s="7" t="s">
        <v>70</v>
      </c>
      <c r="AA32" s="7" t="s">
        <v>1161</v>
      </c>
      <c r="AB32" s="2">
        <v>-0.14000000000000001</v>
      </c>
      <c r="AC32" s="7" t="s">
        <v>38</v>
      </c>
      <c r="AD32" s="7" t="s">
        <v>80</v>
      </c>
      <c r="AE32" s="7" t="s">
        <v>80</v>
      </c>
      <c r="AF32" s="7" t="s">
        <v>80</v>
      </c>
      <c r="AG32" s="7" t="s">
        <v>80</v>
      </c>
      <c r="AH32" s="7" t="s">
        <v>80</v>
      </c>
      <c r="AI32" s="7" t="s">
        <v>80</v>
      </c>
      <c r="AJ32" s="2">
        <v>-0.14000000000000001</v>
      </c>
      <c r="AK32" s="7" t="s">
        <v>80</v>
      </c>
      <c r="AL32" s="7"/>
      <c r="AM32" s="7" t="s">
        <v>208</v>
      </c>
      <c r="AN32" s="19">
        <v>3.0612244900000002E-3</v>
      </c>
      <c r="AO32" s="2" t="s">
        <v>572</v>
      </c>
      <c r="AP32" s="7">
        <v>5148</v>
      </c>
      <c r="AQ32" s="11">
        <v>44404</v>
      </c>
      <c r="AR32" s="7" t="s">
        <v>1153</v>
      </c>
      <c r="AS32" s="7" t="s">
        <v>209</v>
      </c>
      <c r="AT32" s="7" t="s">
        <v>210</v>
      </c>
      <c r="AU32" s="7" t="s">
        <v>44</v>
      </c>
      <c r="AV32" s="7" t="s">
        <v>211</v>
      </c>
      <c r="AW32" s="7" t="s">
        <v>44</v>
      </c>
    </row>
    <row r="33" spans="1:49" ht="17" thickBot="1">
      <c r="A33" s="7">
        <v>40</v>
      </c>
      <c r="B33" s="7">
        <v>15</v>
      </c>
      <c r="C33" s="7" t="s">
        <v>204</v>
      </c>
      <c r="D33" s="7">
        <v>2020</v>
      </c>
      <c r="E33" s="7" t="s">
        <v>205</v>
      </c>
      <c r="F33" s="2" t="s">
        <v>573</v>
      </c>
      <c r="G33" s="2" t="s">
        <v>80</v>
      </c>
      <c r="H33" s="2" t="s">
        <v>212</v>
      </c>
      <c r="I33" s="2" t="s">
        <v>80</v>
      </c>
      <c r="J33" s="7" t="s">
        <v>80</v>
      </c>
      <c r="K33" s="7" t="s">
        <v>213</v>
      </c>
      <c r="L33" s="7" t="s">
        <v>120</v>
      </c>
      <c r="M33" s="7" t="s">
        <v>33</v>
      </c>
      <c r="N33" s="7" t="s">
        <v>53</v>
      </c>
      <c r="O33" s="7" t="s">
        <v>101</v>
      </c>
      <c r="P33" s="7" t="s">
        <v>602</v>
      </c>
      <c r="Q33" s="7" t="s">
        <v>35</v>
      </c>
      <c r="R33" s="7" t="s">
        <v>35</v>
      </c>
      <c r="S33" s="7" t="s">
        <v>207</v>
      </c>
      <c r="T33" t="s">
        <v>80</v>
      </c>
      <c r="U33" t="s">
        <v>80</v>
      </c>
      <c r="V33" t="s">
        <v>80</v>
      </c>
      <c r="W33" t="s">
        <v>80</v>
      </c>
      <c r="X33" s="7" t="s">
        <v>80</v>
      </c>
      <c r="Y33" s="7" t="s">
        <v>80</v>
      </c>
      <c r="Z33" s="7" t="s">
        <v>70</v>
      </c>
      <c r="AA33" s="7" t="s">
        <v>1161</v>
      </c>
      <c r="AB33" s="2">
        <v>-0.06</v>
      </c>
      <c r="AC33" s="7" t="s">
        <v>38</v>
      </c>
      <c r="AD33" s="7" t="s">
        <v>80</v>
      </c>
      <c r="AE33" s="7" t="s">
        <v>80</v>
      </c>
      <c r="AF33" s="7" t="s">
        <v>80</v>
      </c>
      <c r="AG33" s="7" t="s">
        <v>80</v>
      </c>
      <c r="AH33" s="7" t="s">
        <v>80</v>
      </c>
      <c r="AI33" s="7" t="s">
        <v>80</v>
      </c>
      <c r="AJ33" s="2">
        <v>-0.06</v>
      </c>
      <c r="AK33" s="7" t="s">
        <v>80</v>
      </c>
      <c r="AL33" s="7"/>
      <c r="AM33" s="7" t="s">
        <v>214</v>
      </c>
      <c r="AN33" s="19">
        <v>6.6326530610000003E-2</v>
      </c>
      <c r="AO33" s="2">
        <v>4.3992086630000003E-3</v>
      </c>
      <c r="AP33" s="7">
        <v>46101</v>
      </c>
      <c r="AQ33" s="11">
        <v>44404</v>
      </c>
      <c r="AR33" s="7" t="s">
        <v>1153</v>
      </c>
      <c r="AS33" s="7" t="s">
        <v>215</v>
      </c>
      <c r="AT33" s="7" t="s">
        <v>210</v>
      </c>
      <c r="AU33" s="7" t="s">
        <v>44</v>
      </c>
      <c r="AV33" s="7" t="s">
        <v>211</v>
      </c>
      <c r="AW33" s="7" t="s">
        <v>44</v>
      </c>
    </row>
    <row r="34" spans="1:49" ht="17" thickBot="1">
      <c r="A34" s="7">
        <v>41</v>
      </c>
      <c r="B34" s="7">
        <v>16</v>
      </c>
      <c r="C34" s="7" t="s">
        <v>216</v>
      </c>
      <c r="D34" s="7">
        <v>2021</v>
      </c>
      <c r="E34" s="5" t="s">
        <v>217</v>
      </c>
      <c r="F34" s="7" t="s">
        <v>218</v>
      </c>
      <c r="G34" s="7">
        <v>3</v>
      </c>
      <c r="H34" s="7" t="s">
        <v>219</v>
      </c>
      <c r="I34" s="7">
        <v>3</v>
      </c>
      <c r="J34" s="7" t="s">
        <v>80</v>
      </c>
      <c r="K34" s="7" t="s">
        <v>220</v>
      </c>
      <c r="L34" s="7" t="s">
        <v>244</v>
      </c>
      <c r="M34" s="7" t="s">
        <v>33</v>
      </c>
      <c r="N34" s="7" t="s">
        <v>34</v>
      </c>
      <c r="O34" s="7" t="s">
        <v>34</v>
      </c>
      <c r="P34" s="7" t="s">
        <v>600</v>
      </c>
      <c r="Q34" s="7" t="s">
        <v>35</v>
      </c>
      <c r="R34" s="7" t="s">
        <v>35</v>
      </c>
      <c r="S34" s="7" t="s">
        <v>221</v>
      </c>
      <c r="T34" s="7">
        <v>0.223</v>
      </c>
      <c r="U34" s="7">
        <v>788</v>
      </c>
      <c r="V34" s="7">
        <v>0.27400000000000002</v>
      </c>
      <c r="W34" s="2">
        <v>838</v>
      </c>
      <c r="X34" s="7" t="s">
        <v>80</v>
      </c>
      <c r="Y34" s="10">
        <v>0.95</v>
      </c>
      <c r="Z34" s="7" t="s">
        <v>200</v>
      </c>
      <c r="AA34" s="137" t="s">
        <v>80</v>
      </c>
      <c r="AB34" s="7" t="s">
        <v>80</v>
      </c>
      <c r="AC34" s="7" t="s">
        <v>38</v>
      </c>
      <c r="AD34" s="7" t="s">
        <v>222</v>
      </c>
      <c r="AE34" s="7" t="s">
        <v>181</v>
      </c>
      <c r="AF34" s="7" t="s">
        <v>223</v>
      </c>
      <c r="AG34" s="7" t="s">
        <v>223</v>
      </c>
      <c r="AH34" s="7">
        <v>0.15110000000000001</v>
      </c>
      <c r="AI34" s="7">
        <v>0.15110000000000001</v>
      </c>
      <c r="AJ34" s="7">
        <v>0.15110000000000001</v>
      </c>
      <c r="AK34" s="7">
        <v>4.045E-3</v>
      </c>
      <c r="AL34" s="2">
        <v>4.045E-3</v>
      </c>
      <c r="AM34" s="7" t="s">
        <v>224</v>
      </c>
      <c r="AN34" s="19">
        <v>6.3600314460000001E-2</v>
      </c>
      <c r="AO34" s="7">
        <v>4.045E-3</v>
      </c>
      <c r="AP34" s="2">
        <v>1626</v>
      </c>
      <c r="AQ34" s="11">
        <v>44404</v>
      </c>
      <c r="AR34" s="7" t="s">
        <v>1153</v>
      </c>
      <c r="AS34" s="7" t="s">
        <v>225</v>
      </c>
      <c r="AT34" s="7" t="s">
        <v>226</v>
      </c>
      <c r="AU34" s="7" t="s">
        <v>44</v>
      </c>
      <c r="AV34" s="7" t="s">
        <v>44</v>
      </c>
      <c r="AW34" s="7" t="s">
        <v>44</v>
      </c>
    </row>
    <row r="35" spans="1:49" ht="17" thickBot="1">
      <c r="A35" s="7">
        <v>42</v>
      </c>
      <c r="B35" s="7">
        <v>16</v>
      </c>
      <c r="C35" s="7" t="s">
        <v>216</v>
      </c>
      <c r="D35" s="7">
        <v>2021</v>
      </c>
      <c r="E35" s="5" t="s">
        <v>217</v>
      </c>
      <c r="F35" s="7" t="s">
        <v>218</v>
      </c>
      <c r="G35" s="7">
        <v>3</v>
      </c>
      <c r="H35" s="7" t="s">
        <v>219</v>
      </c>
      <c r="I35" s="7">
        <v>3</v>
      </c>
      <c r="J35" s="7" t="s">
        <v>80</v>
      </c>
      <c r="K35" s="7" t="s">
        <v>220</v>
      </c>
      <c r="L35" s="7" t="s">
        <v>244</v>
      </c>
      <c r="M35" s="7" t="s">
        <v>33</v>
      </c>
      <c r="N35" s="7" t="s">
        <v>34</v>
      </c>
      <c r="O35" s="7" t="s">
        <v>34</v>
      </c>
      <c r="P35" s="7" t="s">
        <v>601</v>
      </c>
      <c r="Q35" s="7" t="s">
        <v>35</v>
      </c>
      <c r="R35" s="7" t="s">
        <v>35</v>
      </c>
      <c r="S35" s="7" t="s">
        <v>221</v>
      </c>
      <c r="T35" s="7">
        <v>0.15</v>
      </c>
      <c r="U35" s="7">
        <v>661</v>
      </c>
      <c r="V35" s="7">
        <v>0.193</v>
      </c>
      <c r="W35" s="2">
        <v>716</v>
      </c>
      <c r="X35" s="7" t="s">
        <v>80</v>
      </c>
      <c r="Y35" s="10">
        <v>0.95</v>
      </c>
      <c r="Z35" s="7" t="s">
        <v>200</v>
      </c>
      <c r="AA35" s="137" t="s">
        <v>80</v>
      </c>
      <c r="AB35" s="7" t="s">
        <v>80</v>
      </c>
      <c r="AC35" s="7" t="s">
        <v>38</v>
      </c>
      <c r="AD35" s="7" t="s">
        <v>227</v>
      </c>
      <c r="AE35" s="7" t="s">
        <v>181</v>
      </c>
      <c r="AF35" s="7" t="s">
        <v>223</v>
      </c>
      <c r="AG35" s="7" t="s">
        <v>223</v>
      </c>
      <c r="AH35" s="7">
        <v>0.1676</v>
      </c>
      <c r="AI35" s="7">
        <v>0.1676</v>
      </c>
      <c r="AJ35" s="7">
        <v>0.1676</v>
      </c>
      <c r="AK35" s="7">
        <v>6.3400000000000001E-3</v>
      </c>
      <c r="AL35" s="2">
        <v>6.3400000000000001E-3</v>
      </c>
      <c r="AM35" s="7" t="s">
        <v>228</v>
      </c>
      <c r="AN35" s="19">
        <v>7.9624116950000004E-2</v>
      </c>
      <c r="AO35" s="7">
        <v>6.3400000000000001E-3</v>
      </c>
      <c r="AP35" s="2">
        <v>1377</v>
      </c>
      <c r="AQ35" s="11">
        <v>44404</v>
      </c>
      <c r="AR35" s="7" t="s">
        <v>1153</v>
      </c>
      <c r="AS35" s="7"/>
      <c r="AT35" s="7" t="s">
        <v>226</v>
      </c>
      <c r="AU35" s="7" t="s">
        <v>44</v>
      </c>
      <c r="AV35" s="7" t="s">
        <v>44</v>
      </c>
      <c r="AW35" s="7" t="s">
        <v>44</v>
      </c>
    </row>
    <row r="36" spans="1:49" ht="17" thickBot="1">
      <c r="A36" s="7">
        <v>43</v>
      </c>
      <c r="B36" s="7">
        <v>17</v>
      </c>
      <c r="C36" s="7" t="s">
        <v>229</v>
      </c>
      <c r="D36" s="7">
        <v>2021</v>
      </c>
      <c r="E36" s="7" t="s">
        <v>230</v>
      </c>
      <c r="F36" s="7" t="s">
        <v>231</v>
      </c>
      <c r="G36" s="7">
        <v>6</v>
      </c>
      <c r="H36" s="7" t="s">
        <v>232</v>
      </c>
      <c r="I36" s="7">
        <v>6</v>
      </c>
      <c r="J36" s="7" t="s">
        <v>80</v>
      </c>
      <c r="K36" s="7" t="s">
        <v>233</v>
      </c>
      <c r="L36" s="7" t="s">
        <v>244</v>
      </c>
      <c r="M36" s="7" t="s">
        <v>33</v>
      </c>
      <c r="N36" s="7" t="s">
        <v>34</v>
      </c>
      <c r="O36" s="7" t="s">
        <v>34</v>
      </c>
      <c r="P36" s="7" t="s">
        <v>604</v>
      </c>
      <c r="Q36" s="7" t="s">
        <v>35</v>
      </c>
      <c r="R36" s="7" t="s">
        <v>35</v>
      </c>
      <c r="S36" s="7" t="s">
        <v>221</v>
      </c>
      <c r="T36" s="7">
        <v>0.35399999999999998</v>
      </c>
      <c r="U36" s="7">
        <v>33049</v>
      </c>
      <c r="V36" s="7">
        <v>0.29399999999999998</v>
      </c>
      <c r="W36" s="2">
        <v>1925</v>
      </c>
      <c r="X36" s="7" t="s">
        <v>80</v>
      </c>
      <c r="Y36" s="10">
        <v>0.99</v>
      </c>
      <c r="Z36" s="7" t="s">
        <v>70</v>
      </c>
      <c r="AA36" s="137" t="s">
        <v>80</v>
      </c>
      <c r="AB36" s="7" t="s">
        <v>80</v>
      </c>
      <c r="AC36" s="7" t="s">
        <v>38</v>
      </c>
      <c r="AD36" s="7" t="s">
        <v>234</v>
      </c>
      <c r="AE36" s="7" t="s">
        <v>181</v>
      </c>
      <c r="AF36" s="7" t="s">
        <v>223</v>
      </c>
      <c r="AG36" s="7" t="s">
        <v>223</v>
      </c>
      <c r="AH36" s="7">
        <v>-0.15110000000000001</v>
      </c>
      <c r="AI36" s="7">
        <v>-0.15110000000000001</v>
      </c>
      <c r="AJ36" s="7">
        <v>-0.15110000000000001</v>
      </c>
      <c r="AK36" s="7">
        <v>8.0099999999999995E-4</v>
      </c>
      <c r="AL36" s="2">
        <v>8.0099999999999995E-4</v>
      </c>
      <c r="AM36" s="7">
        <f>-0.2066--0.0956</f>
        <v>-0.111</v>
      </c>
      <c r="AN36" s="19">
        <v>2.8301943400000001E-2</v>
      </c>
      <c r="AO36" s="7">
        <v>8.0099999999999995E-4</v>
      </c>
      <c r="AP36" s="7">
        <v>34974</v>
      </c>
      <c r="AQ36" s="11">
        <v>44404</v>
      </c>
      <c r="AR36" s="7" t="s">
        <v>1153</v>
      </c>
      <c r="AS36" s="7"/>
      <c r="AT36" s="7"/>
      <c r="AU36" s="7" t="s">
        <v>44</v>
      </c>
      <c r="AV36" s="7" t="s">
        <v>235</v>
      </c>
      <c r="AW36" s="7" t="s">
        <v>44</v>
      </c>
    </row>
    <row r="37" spans="1:49" ht="17" thickBot="1">
      <c r="A37" s="7">
        <v>44</v>
      </c>
      <c r="B37" s="7">
        <v>17</v>
      </c>
      <c r="C37" s="7" t="s">
        <v>229</v>
      </c>
      <c r="D37" s="7">
        <v>2021</v>
      </c>
      <c r="E37" s="7" t="s">
        <v>230</v>
      </c>
      <c r="F37" s="7" t="s">
        <v>231</v>
      </c>
      <c r="G37" s="7">
        <v>6</v>
      </c>
      <c r="H37" s="7" t="s">
        <v>232</v>
      </c>
      <c r="I37" s="7">
        <v>6</v>
      </c>
      <c r="J37" s="7" t="s">
        <v>80</v>
      </c>
      <c r="K37" s="7" t="s">
        <v>233</v>
      </c>
      <c r="L37" s="7" t="s">
        <v>244</v>
      </c>
      <c r="M37" s="7" t="s">
        <v>33</v>
      </c>
      <c r="N37" s="7" t="s">
        <v>34</v>
      </c>
      <c r="O37" s="7" t="s">
        <v>34</v>
      </c>
      <c r="P37" s="7" t="s">
        <v>600</v>
      </c>
      <c r="Q37" s="7" t="s">
        <v>35</v>
      </c>
      <c r="R37" s="7" t="s">
        <v>35</v>
      </c>
      <c r="S37" s="7" t="s">
        <v>221</v>
      </c>
      <c r="T37" s="7">
        <v>0.372</v>
      </c>
      <c r="U37" s="7">
        <v>6473</v>
      </c>
      <c r="V37" s="7">
        <v>0.29599999999999999</v>
      </c>
      <c r="W37" s="2">
        <v>402</v>
      </c>
      <c r="X37" s="7" t="s">
        <v>80</v>
      </c>
      <c r="Y37" s="10">
        <v>0.99</v>
      </c>
      <c r="Z37" s="7" t="s">
        <v>70</v>
      </c>
      <c r="AA37" s="137" t="s">
        <v>80</v>
      </c>
      <c r="AB37" s="7" t="s">
        <v>80</v>
      </c>
      <c r="AC37" s="7" t="s">
        <v>38</v>
      </c>
      <c r="AD37" s="7" t="s">
        <v>236</v>
      </c>
      <c r="AE37" s="7" t="s">
        <v>181</v>
      </c>
      <c r="AF37" s="7" t="s">
        <v>223</v>
      </c>
      <c r="AG37" s="7" t="s">
        <v>223</v>
      </c>
      <c r="AH37" s="7">
        <v>-0.18890000000000001</v>
      </c>
      <c r="AI37" s="7">
        <v>-0.18890000000000001</v>
      </c>
      <c r="AJ37" s="7">
        <v>-0.18890000000000001</v>
      </c>
      <c r="AK37" s="7">
        <v>3.8289999999999999E-3</v>
      </c>
      <c r="AL37" s="2">
        <v>3.8289999999999999E-3</v>
      </c>
      <c r="AM37" s="7">
        <f>-0.3102- -0.0677</f>
        <v>-0.24249999999999999</v>
      </c>
      <c r="AN37" s="19">
        <v>6.1878914020000002E-2</v>
      </c>
      <c r="AO37" s="7">
        <v>3.8289999999999999E-3</v>
      </c>
      <c r="AP37" s="7">
        <v>6875</v>
      </c>
      <c r="AQ37" s="11">
        <v>44404</v>
      </c>
      <c r="AR37" s="7" t="s">
        <v>1153</v>
      </c>
      <c r="AS37" s="7"/>
      <c r="AT37" s="7"/>
      <c r="AU37" s="7" t="s">
        <v>44</v>
      </c>
      <c r="AV37" s="7" t="s">
        <v>235</v>
      </c>
      <c r="AW37" s="7" t="s">
        <v>44</v>
      </c>
    </row>
    <row r="38" spans="1:49" ht="17" thickBot="1">
      <c r="A38" s="7">
        <v>45</v>
      </c>
      <c r="B38" s="7">
        <v>17</v>
      </c>
      <c r="C38" s="7" t="s">
        <v>229</v>
      </c>
      <c r="D38" s="7">
        <v>2021</v>
      </c>
      <c r="E38" s="7" t="s">
        <v>230</v>
      </c>
      <c r="F38" s="7" t="s">
        <v>231</v>
      </c>
      <c r="G38" s="7">
        <v>6</v>
      </c>
      <c r="H38" s="7" t="s">
        <v>232</v>
      </c>
      <c r="I38" s="7">
        <v>6</v>
      </c>
      <c r="J38" s="7" t="s">
        <v>80</v>
      </c>
      <c r="K38" s="7" t="s">
        <v>233</v>
      </c>
      <c r="L38" s="7" t="s">
        <v>244</v>
      </c>
      <c r="M38" s="7" t="s">
        <v>33</v>
      </c>
      <c r="N38" s="7" t="s">
        <v>34</v>
      </c>
      <c r="O38" s="7" t="s">
        <v>34</v>
      </c>
      <c r="P38" s="7" t="s">
        <v>603</v>
      </c>
      <c r="Q38" s="7" t="s">
        <v>35</v>
      </c>
      <c r="R38" s="7" t="s">
        <v>35</v>
      </c>
      <c r="S38" s="7" t="s">
        <v>221</v>
      </c>
      <c r="T38" s="7">
        <v>0.36699999999999999</v>
      </c>
      <c r="U38" s="7">
        <v>20570</v>
      </c>
      <c r="V38" s="7">
        <v>0.315</v>
      </c>
      <c r="W38" s="2">
        <v>1179</v>
      </c>
      <c r="X38" s="7" t="s">
        <v>80</v>
      </c>
      <c r="Y38" s="10">
        <v>0.99</v>
      </c>
      <c r="Z38" s="7" t="s">
        <v>70</v>
      </c>
      <c r="AA38" s="137" t="s">
        <v>80</v>
      </c>
      <c r="AB38" s="7" t="s">
        <v>80</v>
      </c>
      <c r="AC38" s="7" t="s">
        <v>38</v>
      </c>
      <c r="AD38" s="7" t="s">
        <v>237</v>
      </c>
      <c r="AE38" s="7" t="s">
        <v>181</v>
      </c>
      <c r="AF38" s="7" t="s">
        <v>223</v>
      </c>
      <c r="AG38" s="7" t="s">
        <v>223</v>
      </c>
      <c r="AH38" s="7">
        <v>-0.12889999999999999</v>
      </c>
      <c r="AI38" s="7">
        <v>-0.12889999999999999</v>
      </c>
      <c r="AJ38" s="7">
        <v>-0.12889999999999999</v>
      </c>
      <c r="AK38" s="7">
        <v>1.2589999999999999E-3</v>
      </c>
      <c r="AL38" s="2">
        <v>1.2589999999999999E-3</v>
      </c>
      <c r="AM38" s="7">
        <f>-0.1985- -0.0594</f>
        <v>-0.1391</v>
      </c>
      <c r="AN38" s="19">
        <v>3.5482390000000003E-2</v>
      </c>
      <c r="AO38" s="7">
        <v>1.2589999999999999E-3</v>
      </c>
      <c r="AP38" s="7">
        <v>21749</v>
      </c>
      <c r="AQ38" s="11">
        <v>44404</v>
      </c>
      <c r="AR38" s="7" t="s">
        <v>1153</v>
      </c>
      <c r="AS38" s="7"/>
      <c r="AT38" s="7"/>
      <c r="AU38" s="7" t="s">
        <v>44</v>
      </c>
      <c r="AV38" s="7" t="s">
        <v>235</v>
      </c>
      <c r="AW38" s="7" t="s">
        <v>44</v>
      </c>
    </row>
    <row r="39" spans="1:49" ht="17" thickBot="1">
      <c r="A39" s="7">
        <v>46</v>
      </c>
      <c r="B39" s="7">
        <v>17</v>
      </c>
      <c r="C39" s="7" t="s">
        <v>229</v>
      </c>
      <c r="D39" s="7">
        <v>2021</v>
      </c>
      <c r="E39" s="7" t="s">
        <v>230</v>
      </c>
      <c r="F39" s="7" t="s">
        <v>231</v>
      </c>
      <c r="G39" s="7">
        <v>6</v>
      </c>
      <c r="H39" s="7" t="s">
        <v>232</v>
      </c>
      <c r="I39" s="7">
        <v>6</v>
      </c>
      <c r="J39" s="7" t="s">
        <v>80</v>
      </c>
      <c r="K39" s="7" t="s">
        <v>233</v>
      </c>
      <c r="L39" s="7" t="s">
        <v>244</v>
      </c>
      <c r="M39" s="7" t="s">
        <v>33</v>
      </c>
      <c r="N39" s="7" t="s">
        <v>34</v>
      </c>
      <c r="O39" s="7" t="s">
        <v>34</v>
      </c>
      <c r="P39" s="7" t="s">
        <v>601</v>
      </c>
      <c r="Q39" s="7" t="s">
        <v>35</v>
      </c>
      <c r="R39" s="7" t="s">
        <v>35</v>
      </c>
      <c r="S39" s="7" t="s">
        <v>221</v>
      </c>
      <c r="T39" s="7">
        <v>0.28899999999999998</v>
      </c>
      <c r="U39" s="7">
        <v>6006</v>
      </c>
      <c r="V39" s="7">
        <v>0.221</v>
      </c>
      <c r="W39" s="2">
        <v>344</v>
      </c>
      <c r="X39" s="7" t="s">
        <v>80</v>
      </c>
      <c r="Y39" s="10">
        <v>0.99</v>
      </c>
      <c r="Z39" s="7" t="s">
        <v>70</v>
      </c>
      <c r="AA39" s="137" t="s">
        <v>80</v>
      </c>
      <c r="AB39" s="7" t="s">
        <v>80</v>
      </c>
      <c r="AC39" s="7" t="s">
        <v>38</v>
      </c>
      <c r="AD39" s="7" t="s">
        <v>238</v>
      </c>
      <c r="AE39" s="7" t="s">
        <v>181</v>
      </c>
      <c r="AF39" s="7" t="s">
        <v>223</v>
      </c>
      <c r="AG39" s="7" t="s">
        <v>223</v>
      </c>
      <c r="AH39" s="7">
        <v>-0.19900000000000001</v>
      </c>
      <c r="AI39" s="7">
        <v>-0.19900000000000001</v>
      </c>
      <c r="AJ39" s="7">
        <v>-0.19900000000000001</v>
      </c>
      <c r="AK39" s="7">
        <v>5.3800000000000002E-3</v>
      </c>
      <c r="AL39" s="2">
        <v>5.3800000000000002E-3</v>
      </c>
      <c r="AM39" s="7">
        <f>-0.3428- -0.0553</f>
        <v>-0.28749999999999998</v>
      </c>
      <c r="AN39" s="19">
        <v>7.3348483280000001E-2</v>
      </c>
      <c r="AO39" s="7">
        <v>5.3800000000000002E-3</v>
      </c>
      <c r="AP39" s="7">
        <v>6350</v>
      </c>
      <c r="AQ39" s="11">
        <v>44404</v>
      </c>
      <c r="AR39" s="7" t="s">
        <v>1153</v>
      </c>
      <c r="AS39" s="7"/>
      <c r="AT39" s="7"/>
      <c r="AU39" s="7" t="s">
        <v>44</v>
      </c>
      <c r="AV39" s="7" t="s">
        <v>235</v>
      </c>
      <c r="AW39" s="7" t="s">
        <v>44</v>
      </c>
    </row>
    <row r="40" spans="1:49" ht="17" thickBot="1">
      <c r="A40" s="7">
        <v>47</v>
      </c>
      <c r="B40" s="7">
        <v>18</v>
      </c>
      <c r="C40" s="2" t="s">
        <v>239</v>
      </c>
      <c r="D40" s="2">
        <v>2020</v>
      </c>
      <c r="E40" s="7" t="s">
        <v>240</v>
      </c>
      <c r="F40" s="7" t="s">
        <v>241</v>
      </c>
      <c r="G40" s="7">
        <v>12</v>
      </c>
      <c r="H40" s="7" t="s">
        <v>242</v>
      </c>
      <c r="I40" s="7">
        <v>5</v>
      </c>
      <c r="J40" s="7" t="s">
        <v>80</v>
      </c>
      <c r="K40" s="7" t="s">
        <v>243</v>
      </c>
      <c r="L40" s="7" t="s">
        <v>244</v>
      </c>
      <c r="M40" s="7" t="s">
        <v>33</v>
      </c>
      <c r="N40" s="7" t="s">
        <v>34</v>
      </c>
      <c r="O40" s="7" t="s">
        <v>34</v>
      </c>
      <c r="P40" s="7" t="s">
        <v>600</v>
      </c>
      <c r="Q40" s="7" t="s">
        <v>245</v>
      </c>
      <c r="R40" s="7" t="s">
        <v>490</v>
      </c>
      <c r="S40" s="7" t="s">
        <v>246</v>
      </c>
      <c r="T40" s="7">
        <v>0.38</v>
      </c>
      <c r="U40" s="7">
        <v>85373</v>
      </c>
      <c r="V40" s="7">
        <v>0.33</v>
      </c>
      <c r="W40" s="2">
        <v>1929</v>
      </c>
      <c r="X40" s="7" t="s">
        <v>80</v>
      </c>
      <c r="Y40" s="7" t="s">
        <v>80</v>
      </c>
      <c r="Z40" s="7" t="s">
        <v>70</v>
      </c>
      <c r="AA40" s="137" t="s">
        <v>80</v>
      </c>
      <c r="AB40" s="7" t="s">
        <v>80</v>
      </c>
      <c r="AC40" s="7" t="s">
        <v>38</v>
      </c>
      <c r="AD40" s="7" t="s">
        <v>247</v>
      </c>
      <c r="AE40" s="7" t="s">
        <v>589</v>
      </c>
      <c r="AF40" s="2" t="s">
        <v>248</v>
      </c>
      <c r="AG40" s="2" t="s">
        <v>248</v>
      </c>
      <c r="AH40" s="7">
        <v>-0.129</v>
      </c>
      <c r="AI40" s="7">
        <v>-0.12920000000000001</v>
      </c>
      <c r="AJ40" s="7">
        <v>-0.12920000000000001</v>
      </c>
      <c r="AK40" s="7">
        <v>7.45E-4</v>
      </c>
      <c r="AL40" s="2">
        <v>7.3200000000000001E-4</v>
      </c>
      <c r="AM40" s="7">
        <f>-0.1825 - -0.0755</f>
        <v>-0.107</v>
      </c>
      <c r="AN40" s="19">
        <v>2.7055498519999999E-2</v>
      </c>
      <c r="AO40" s="7">
        <v>7.3200000000000001E-4</v>
      </c>
      <c r="AP40" s="2">
        <v>87266</v>
      </c>
      <c r="AQ40" s="11">
        <v>44404</v>
      </c>
      <c r="AR40" s="7" t="s">
        <v>1154</v>
      </c>
      <c r="AS40" s="7" t="s">
        <v>249</v>
      </c>
      <c r="AT40" s="7" t="s">
        <v>574</v>
      </c>
      <c r="AU40" s="7" t="s">
        <v>44</v>
      </c>
      <c r="AV40" s="7" t="s">
        <v>44</v>
      </c>
      <c r="AW40" s="7" t="s">
        <v>44</v>
      </c>
    </row>
    <row r="41" spans="1:49" ht="17" thickBot="1">
      <c r="A41" s="7">
        <v>48</v>
      </c>
      <c r="B41" s="7">
        <v>18</v>
      </c>
      <c r="C41" s="2" t="s">
        <v>239</v>
      </c>
      <c r="D41" s="2">
        <v>2020</v>
      </c>
      <c r="E41" s="7" t="s">
        <v>240</v>
      </c>
      <c r="F41" s="7" t="s">
        <v>241</v>
      </c>
      <c r="G41" s="7">
        <v>12</v>
      </c>
      <c r="H41" s="7" t="s">
        <v>242</v>
      </c>
      <c r="I41" s="7">
        <v>5</v>
      </c>
      <c r="J41" s="7" t="s">
        <v>80</v>
      </c>
      <c r="K41" s="7" t="s">
        <v>243</v>
      </c>
      <c r="L41" s="7" t="s">
        <v>244</v>
      </c>
      <c r="M41" s="7" t="s">
        <v>33</v>
      </c>
      <c r="N41" s="7" t="s">
        <v>34</v>
      </c>
      <c r="O41" s="7" t="s">
        <v>34</v>
      </c>
      <c r="P41" s="7" t="s">
        <v>601</v>
      </c>
      <c r="Q41" s="7" t="s">
        <v>245</v>
      </c>
      <c r="R41" s="7" t="s">
        <v>490</v>
      </c>
      <c r="S41" s="7" t="s">
        <v>246</v>
      </c>
      <c r="T41" s="7">
        <v>0.35</v>
      </c>
      <c r="U41" s="7">
        <v>85373</v>
      </c>
      <c r="V41" s="7">
        <v>0.34</v>
      </c>
      <c r="W41" s="2">
        <v>1929</v>
      </c>
      <c r="X41" s="7" t="s">
        <v>80</v>
      </c>
      <c r="Y41" s="7" t="s">
        <v>80</v>
      </c>
      <c r="Z41" s="7" t="s">
        <v>70</v>
      </c>
      <c r="AA41" s="137" t="s">
        <v>80</v>
      </c>
      <c r="AB41" s="7" t="s">
        <v>80</v>
      </c>
      <c r="AC41" s="7" t="s">
        <v>38</v>
      </c>
      <c r="AD41" s="7" t="s">
        <v>250</v>
      </c>
      <c r="AE41" s="7" t="s">
        <v>589</v>
      </c>
      <c r="AF41" s="2" t="s">
        <v>251</v>
      </c>
      <c r="AG41" s="2" t="s">
        <v>251</v>
      </c>
      <c r="AH41" s="7">
        <v>-3.7699999999999997E-2</v>
      </c>
      <c r="AI41" s="7">
        <v>-1.35E-2</v>
      </c>
      <c r="AJ41" s="7">
        <v>-1.35E-2</v>
      </c>
      <c r="AK41" s="7">
        <v>7.36E-4</v>
      </c>
      <c r="AL41" s="2">
        <v>8.0099999999999995E-4</v>
      </c>
      <c r="AM41" s="7">
        <f>-0.0909 - 0.0154</f>
        <v>-0.10629999999999999</v>
      </c>
      <c r="AN41" s="19">
        <v>2.8301943400000001E-2</v>
      </c>
      <c r="AO41" s="7">
        <v>8.0099999999999995E-4</v>
      </c>
      <c r="AP41" s="2">
        <v>87266</v>
      </c>
      <c r="AQ41" s="11">
        <v>44404</v>
      </c>
      <c r="AR41" s="7" t="s">
        <v>1154</v>
      </c>
      <c r="AS41" s="7" t="s">
        <v>249</v>
      </c>
      <c r="AT41" s="7" t="s">
        <v>574</v>
      </c>
      <c r="AU41" s="7" t="s">
        <v>44</v>
      </c>
      <c r="AV41" s="7" t="s">
        <v>44</v>
      </c>
      <c r="AW41" s="7" t="s">
        <v>44</v>
      </c>
    </row>
    <row r="42" spans="1:49" ht="17" thickBot="1">
      <c r="A42" s="7">
        <v>49</v>
      </c>
      <c r="B42" s="7">
        <v>18</v>
      </c>
      <c r="C42" s="2" t="s">
        <v>239</v>
      </c>
      <c r="D42" s="2">
        <v>2020</v>
      </c>
      <c r="E42" s="7" t="s">
        <v>240</v>
      </c>
      <c r="F42" s="7" t="s">
        <v>241</v>
      </c>
      <c r="G42" s="7">
        <v>12</v>
      </c>
      <c r="H42" s="7" t="s">
        <v>242</v>
      </c>
      <c r="I42" s="7">
        <v>5</v>
      </c>
      <c r="J42" s="7" t="s">
        <v>80</v>
      </c>
      <c r="K42" s="7" t="s">
        <v>243</v>
      </c>
      <c r="L42" s="7" t="s">
        <v>244</v>
      </c>
      <c r="M42" s="7" t="s">
        <v>33</v>
      </c>
      <c r="N42" s="7" t="s">
        <v>34</v>
      </c>
      <c r="O42" s="7" t="s">
        <v>34</v>
      </c>
      <c r="P42" s="7" t="s">
        <v>604</v>
      </c>
      <c r="Q42" s="7" t="s">
        <v>245</v>
      </c>
      <c r="R42" s="7" t="s">
        <v>490</v>
      </c>
      <c r="S42" s="7" t="s">
        <v>246</v>
      </c>
      <c r="T42" s="7">
        <v>0.28000000000000003</v>
      </c>
      <c r="U42" s="7">
        <v>85373</v>
      </c>
      <c r="V42" s="7">
        <v>0.28000000000000003</v>
      </c>
      <c r="W42" s="2">
        <v>1929</v>
      </c>
      <c r="X42" s="7" t="s">
        <v>80</v>
      </c>
      <c r="Y42" s="7" t="s">
        <v>80</v>
      </c>
      <c r="Z42" s="7" t="s">
        <v>70</v>
      </c>
      <c r="AA42" s="137" t="s">
        <v>80</v>
      </c>
      <c r="AB42" s="7" t="s">
        <v>80</v>
      </c>
      <c r="AC42" s="7" t="s">
        <v>71</v>
      </c>
      <c r="AD42" s="7" t="s">
        <v>252</v>
      </c>
      <c r="AE42" s="7" t="s">
        <v>589</v>
      </c>
      <c r="AF42" s="2" t="s">
        <v>253</v>
      </c>
      <c r="AG42" s="2" t="s">
        <v>253</v>
      </c>
      <c r="AH42" s="7">
        <v>-1.0800000000000001E-2</v>
      </c>
      <c r="AI42" s="7">
        <v>-3.8899999999999997E-2</v>
      </c>
      <c r="AJ42" s="7">
        <v>-3.8899999999999997E-2</v>
      </c>
      <c r="AK42" s="7">
        <v>8.1400000000000005E-4</v>
      </c>
      <c r="AL42" s="2">
        <v>7.2300000000000001E-4</v>
      </c>
      <c r="AM42" s="7">
        <f>-0.0667 - 0.0451</f>
        <v>-0.1118</v>
      </c>
      <c r="AN42" s="19">
        <v>2.6888659320000001E-2</v>
      </c>
      <c r="AO42" s="7">
        <v>7.2300000000000001E-4</v>
      </c>
      <c r="AP42" s="2">
        <v>87266</v>
      </c>
      <c r="AQ42" s="11">
        <v>44404</v>
      </c>
      <c r="AR42" s="7" t="s">
        <v>1154</v>
      </c>
      <c r="AS42" s="7" t="s">
        <v>249</v>
      </c>
      <c r="AT42" s="7" t="s">
        <v>574</v>
      </c>
      <c r="AU42" s="7" t="s">
        <v>44</v>
      </c>
      <c r="AV42" s="7" t="s">
        <v>44</v>
      </c>
      <c r="AW42" s="7" t="s">
        <v>44</v>
      </c>
    </row>
    <row r="43" spans="1:49" ht="17" thickBot="1">
      <c r="A43" s="7">
        <v>53</v>
      </c>
      <c r="B43" s="7">
        <v>22</v>
      </c>
      <c r="C43" s="2" t="s">
        <v>290</v>
      </c>
      <c r="D43" s="2">
        <v>2021</v>
      </c>
      <c r="E43" s="7" t="s">
        <v>291</v>
      </c>
      <c r="F43" s="7" t="s">
        <v>292</v>
      </c>
      <c r="G43" s="7">
        <v>2</v>
      </c>
      <c r="H43" s="7" t="s">
        <v>293</v>
      </c>
      <c r="I43" s="7">
        <v>3</v>
      </c>
      <c r="J43" s="7" t="s">
        <v>80</v>
      </c>
      <c r="K43" s="7" t="s">
        <v>294</v>
      </c>
      <c r="L43" s="7" t="s">
        <v>244</v>
      </c>
      <c r="M43" s="7" t="s">
        <v>33</v>
      </c>
      <c r="N43" s="7" t="s">
        <v>34</v>
      </c>
      <c r="O43" s="7" t="s">
        <v>34</v>
      </c>
      <c r="P43" s="7" t="s">
        <v>600</v>
      </c>
      <c r="Q43" s="7" t="s">
        <v>35</v>
      </c>
      <c r="R43" s="7" t="s">
        <v>35</v>
      </c>
      <c r="S43" s="7" t="s">
        <v>295</v>
      </c>
      <c r="T43" s="7">
        <v>0.65</v>
      </c>
      <c r="U43" s="7">
        <v>228</v>
      </c>
      <c r="V43" s="7">
        <v>0.62</v>
      </c>
      <c r="W43" s="2">
        <v>427</v>
      </c>
      <c r="X43" s="7" t="s">
        <v>80</v>
      </c>
      <c r="Y43" s="7" t="s">
        <v>80</v>
      </c>
      <c r="Z43" s="7" t="s">
        <v>1127</v>
      </c>
      <c r="AA43" s="137" t="s">
        <v>80</v>
      </c>
      <c r="AB43" s="7" t="s">
        <v>80</v>
      </c>
      <c r="AC43" s="7" t="s">
        <v>38</v>
      </c>
      <c r="AD43" s="7" t="s">
        <v>296</v>
      </c>
      <c r="AE43" s="2" t="s">
        <v>58</v>
      </c>
      <c r="AF43" s="2" t="s">
        <v>297</v>
      </c>
      <c r="AG43" s="2" t="s">
        <v>297</v>
      </c>
      <c r="AH43" s="2">
        <v>-6.7799999999999999E-2</v>
      </c>
      <c r="AI43" s="7">
        <v>-6.7799999999999999E-2</v>
      </c>
      <c r="AJ43" s="7">
        <v>-6.7799999999999999E-2</v>
      </c>
      <c r="AK43" s="7">
        <v>8.8769999999999995E-3</v>
      </c>
      <c r="AL43" s="2">
        <v>8.8769999999999995E-3</v>
      </c>
      <c r="AM43" s="7">
        <f>-0.2525 - 0.1168</f>
        <v>-0.36930000000000002</v>
      </c>
      <c r="AN43" s="19">
        <v>9.4217832710000005E-2</v>
      </c>
      <c r="AO43" s="2">
        <v>8.8769999999999995E-3</v>
      </c>
      <c r="AP43" s="2">
        <v>655</v>
      </c>
      <c r="AQ43" s="11">
        <v>44404</v>
      </c>
      <c r="AR43" s="7" t="s">
        <v>1154</v>
      </c>
      <c r="AS43" s="7" t="s">
        <v>298</v>
      </c>
      <c r="AT43" s="7" t="s">
        <v>299</v>
      </c>
      <c r="AU43" s="7" t="s">
        <v>44</v>
      </c>
      <c r="AV43" s="7" t="s">
        <v>44</v>
      </c>
      <c r="AW43" s="7" t="s">
        <v>300</v>
      </c>
    </row>
    <row r="44" spans="1:49" ht="17" thickBot="1">
      <c r="A44" s="7">
        <v>54</v>
      </c>
      <c r="B44" s="7">
        <v>23</v>
      </c>
      <c r="C44" s="2" t="s">
        <v>1156</v>
      </c>
      <c r="D44" s="2">
        <v>2021</v>
      </c>
      <c r="E44" s="7" t="s">
        <v>301</v>
      </c>
      <c r="F44" s="7" t="s">
        <v>302</v>
      </c>
      <c r="G44" s="7">
        <v>6</v>
      </c>
      <c r="H44" s="7" t="s">
        <v>303</v>
      </c>
      <c r="I44" s="7">
        <v>6</v>
      </c>
      <c r="J44" s="7" t="s">
        <v>80</v>
      </c>
      <c r="K44" s="7" t="s">
        <v>304</v>
      </c>
      <c r="L44" s="7" t="s">
        <v>244</v>
      </c>
      <c r="M44" s="7" t="s">
        <v>33</v>
      </c>
      <c r="N44" s="7" t="s">
        <v>34</v>
      </c>
      <c r="O44" s="7" t="s">
        <v>34</v>
      </c>
      <c r="P44" s="7" t="s">
        <v>600</v>
      </c>
      <c r="Q44" s="12" t="s">
        <v>575</v>
      </c>
      <c r="R44" s="12" t="s">
        <v>35</v>
      </c>
      <c r="S44" s="7" t="s">
        <v>295</v>
      </c>
      <c r="T44" s="2">
        <v>0.62</v>
      </c>
      <c r="U44" s="2">
        <v>265</v>
      </c>
      <c r="V44" s="2">
        <v>0.5</v>
      </c>
      <c r="W44" s="2">
        <v>440</v>
      </c>
      <c r="X44" s="7" t="s">
        <v>80</v>
      </c>
      <c r="Y44" s="7" t="s">
        <v>80</v>
      </c>
      <c r="Z44" s="7" t="s">
        <v>1127</v>
      </c>
      <c r="AA44" s="137" t="s">
        <v>80</v>
      </c>
      <c r="AB44" s="7" t="s">
        <v>80</v>
      </c>
      <c r="AC44" s="7" t="s">
        <v>71</v>
      </c>
      <c r="AD44" s="7" t="s">
        <v>305</v>
      </c>
      <c r="AE44" s="2" t="s">
        <v>58</v>
      </c>
      <c r="AF44" s="2" t="s">
        <v>40</v>
      </c>
      <c r="AG44" s="2" t="s">
        <v>40</v>
      </c>
      <c r="AH44" s="2">
        <v>-0.26729999999999998</v>
      </c>
      <c r="AI44" s="7">
        <v>-0.26989999999999997</v>
      </c>
      <c r="AJ44" s="7">
        <v>-0.26989999999999997</v>
      </c>
      <c r="AK44" s="7">
        <v>7.626E-3</v>
      </c>
      <c r="AL44" s="2">
        <v>9.4570000000000001E-3</v>
      </c>
      <c r="AM44" s="7">
        <f>-0.4384 - -0.0961</f>
        <v>-0.34229999999999999</v>
      </c>
      <c r="AN44" s="19">
        <v>9.7247107930000007E-2</v>
      </c>
      <c r="AO44" s="7">
        <v>9.4570000000000001E-3</v>
      </c>
      <c r="AP44" s="2">
        <v>705</v>
      </c>
      <c r="AQ44" s="11">
        <v>44404</v>
      </c>
      <c r="AR44" s="7" t="s">
        <v>1154</v>
      </c>
      <c r="AS44" s="7" t="s">
        <v>306</v>
      </c>
      <c r="AT44" s="7" t="s">
        <v>307</v>
      </c>
      <c r="AU44" s="7" t="s">
        <v>44</v>
      </c>
      <c r="AV44" s="7" t="s">
        <v>44</v>
      </c>
      <c r="AW44" s="7" t="s">
        <v>44</v>
      </c>
    </row>
    <row r="45" spans="1:49" ht="17" thickBot="1">
      <c r="A45" s="7">
        <v>55</v>
      </c>
      <c r="B45" s="7">
        <v>23</v>
      </c>
      <c r="C45" s="2" t="s">
        <v>1156</v>
      </c>
      <c r="D45" s="2">
        <v>2021</v>
      </c>
      <c r="E45" s="7" t="s">
        <v>301</v>
      </c>
      <c r="F45" s="7" t="s">
        <v>302</v>
      </c>
      <c r="G45" s="7">
        <v>6</v>
      </c>
      <c r="H45" s="7" t="s">
        <v>303</v>
      </c>
      <c r="I45" s="7">
        <v>6</v>
      </c>
      <c r="J45" s="7" t="s">
        <v>80</v>
      </c>
      <c r="K45" s="7" t="s">
        <v>304</v>
      </c>
      <c r="L45" s="7" t="s">
        <v>244</v>
      </c>
      <c r="M45" s="7" t="s">
        <v>33</v>
      </c>
      <c r="N45" s="7" t="s">
        <v>34</v>
      </c>
      <c r="O45" s="7" t="s">
        <v>34</v>
      </c>
      <c r="P45" s="7" t="s">
        <v>601</v>
      </c>
      <c r="Q45" s="12" t="s">
        <v>575</v>
      </c>
      <c r="R45" s="12" t="s">
        <v>35</v>
      </c>
      <c r="S45" s="7" t="s">
        <v>295</v>
      </c>
      <c r="T45" s="2">
        <v>0.42</v>
      </c>
      <c r="U45" s="2">
        <v>265</v>
      </c>
      <c r="V45" s="2">
        <v>0.33</v>
      </c>
      <c r="W45" s="2">
        <v>440</v>
      </c>
      <c r="X45" s="7" t="s">
        <v>80</v>
      </c>
      <c r="Y45" s="7" t="s">
        <v>80</v>
      </c>
      <c r="Z45" s="7" t="s">
        <v>1127</v>
      </c>
      <c r="AA45" s="137" t="s">
        <v>80</v>
      </c>
      <c r="AB45" s="7" t="s">
        <v>80</v>
      </c>
      <c r="AC45" s="7" t="s">
        <v>71</v>
      </c>
      <c r="AD45" s="7" t="s">
        <v>305</v>
      </c>
      <c r="AE45" s="2" t="s">
        <v>58</v>
      </c>
      <c r="AF45" s="2" t="s">
        <v>40</v>
      </c>
      <c r="AG45" s="2" t="s">
        <v>40</v>
      </c>
      <c r="AH45" s="2">
        <v>-0.21110000000000001</v>
      </c>
      <c r="AI45" s="7">
        <v>-0.21249999999999999</v>
      </c>
      <c r="AJ45" s="7">
        <v>-0.21249999999999999</v>
      </c>
      <c r="AK45" s="7">
        <v>7.8390000000000005E-3</v>
      </c>
      <c r="AL45" s="2">
        <v>9.8969999999999995E-3</v>
      </c>
      <c r="AM45" s="7">
        <f>-0.3846 - -0.0375</f>
        <v>-0.34710000000000002</v>
      </c>
      <c r="AN45" s="19">
        <v>9.9483666999999998E-2</v>
      </c>
      <c r="AO45" s="7">
        <v>9.8969999999999995E-3</v>
      </c>
      <c r="AP45" s="2">
        <v>705</v>
      </c>
      <c r="AQ45" s="11">
        <v>44404</v>
      </c>
      <c r="AR45" s="7" t="s">
        <v>1154</v>
      </c>
      <c r="AS45" s="7" t="s">
        <v>306</v>
      </c>
      <c r="AT45" s="2" t="s">
        <v>308</v>
      </c>
      <c r="AU45" s="7" t="s">
        <v>44</v>
      </c>
      <c r="AV45" s="7" t="s">
        <v>44</v>
      </c>
      <c r="AW45" s="7" t="s">
        <v>44</v>
      </c>
    </row>
    <row r="46" spans="1:49" ht="17" thickBot="1">
      <c r="A46" s="7">
        <v>56</v>
      </c>
      <c r="B46" s="7">
        <v>24</v>
      </c>
      <c r="C46" s="2" t="s">
        <v>309</v>
      </c>
      <c r="D46" s="2">
        <v>2020</v>
      </c>
      <c r="E46" s="5" t="s">
        <v>310</v>
      </c>
      <c r="F46" s="7" t="s">
        <v>311</v>
      </c>
      <c r="G46" s="7">
        <v>3</v>
      </c>
      <c r="H46" s="7" t="s">
        <v>312</v>
      </c>
      <c r="I46" s="7">
        <v>3</v>
      </c>
      <c r="J46" s="7" t="s">
        <v>80</v>
      </c>
      <c r="K46" s="7" t="s">
        <v>313</v>
      </c>
      <c r="L46" s="7" t="s">
        <v>244</v>
      </c>
      <c r="M46" s="7" t="s">
        <v>33</v>
      </c>
      <c r="N46" s="7" t="s">
        <v>53</v>
      </c>
      <c r="O46" s="7" t="s">
        <v>53</v>
      </c>
      <c r="P46" s="7" t="s">
        <v>600</v>
      </c>
      <c r="Q46" s="7" t="s">
        <v>35</v>
      </c>
      <c r="R46" s="7" t="s">
        <v>35</v>
      </c>
      <c r="S46" s="7" t="s">
        <v>295</v>
      </c>
      <c r="T46" s="7">
        <v>0.33300000000000002</v>
      </c>
      <c r="U46" s="7">
        <v>15</v>
      </c>
      <c r="V46" s="7">
        <v>0.35099999999999998</v>
      </c>
      <c r="W46" s="2">
        <v>74</v>
      </c>
      <c r="X46" s="7" t="s">
        <v>80</v>
      </c>
      <c r="Y46" s="7" t="s">
        <v>80</v>
      </c>
      <c r="Z46" s="7" t="s">
        <v>91</v>
      </c>
      <c r="AA46" s="137" t="s">
        <v>80</v>
      </c>
      <c r="AB46" s="7" t="s">
        <v>80</v>
      </c>
      <c r="AC46" s="7" t="s">
        <v>71</v>
      </c>
      <c r="AD46" s="7" t="s">
        <v>314</v>
      </c>
      <c r="AE46" s="7" t="s">
        <v>58</v>
      </c>
      <c r="AF46" s="2" t="s">
        <v>315</v>
      </c>
      <c r="AG46" s="2" t="s">
        <v>315</v>
      </c>
      <c r="AH46" s="7">
        <v>4.41E-2</v>
      </c>
      <c r="AI46" s="7">
        <v>4.41E-2</v>
      </c>
      <c r="AJ46" s="7">
        <v>4.41E-2</v>
      </c>
      <c r="AK46" s="7">
        <v>0.109213</v>
      </c>
      <c r="AL46" s="7">
        <v>0.109213</v>
      </c>
      <c r="AM46" s="7">
        <f>-0.6036 - 0.6918</f>
        <v>-1.2953999999999999</v>
      </c>
      <c r="AN46" s="19">
        <v>0.33047390209999999</v>
      </c>
      <c r="AO46" s="7">
        <v>0.109213</v>
      </c>
      <c r="AP46" s="2">
        <v>89</v>
      </c>
      <c r="AQ46" s="11">
        <v>44404</v>
      </c>
      <c r="AR46" s="7" t="s">
        <v>1154</v>
      </c>
      <c r="AS46" s="7" t="s">
        <v>306</v>
      </c>
      <c r="AT46" s="7" t="s">
        <v>316</v>
      </c>
      <c r="AU46" s="7" t="s">
        <v>44</v>
      </c>
      <c r="AV46" s="16" t="s">
        <v>44</v>
      </c>
      <c r="AW46" s="16" t="s">
        <v>44</v>
      </c>
    </row>
    <row r="47" spans="1:49" ht="17" thickBot="1">
      <c r="A47" s="7">
        <v>57</v>
      </c>
      <c r="B47" s="7">
        <v>24</v>
      </c>
      <c r="C47" s="2" t="s">
        <v>309</v>
      </c>
      <c r="D47" s="2">
        <v>2020</v>
      </c>
      <c r="E47" s="5" t="s">
        <v>310</v>
      </c>
      <c r="F47" s="7" t="s">
        <v>311</v>
      </c>
      <c r="G47" s="7">
        <v>3</v>
      </c>
      <c r="H47" s="7" t="s">
        <v>312</v>
      </c>
      <c r="I47" s="7">
        <v>3</v>
      </c>
      <c r="J47" s="7" t="s">
        <v>80</v>
      </c>
      <c r="K47" s="7" t="s">
        <v>313</v>
      </c>
      <c r="L47" s="7" t="s">
        <v>244</v>
      </c>
      <c r="M47" s="7" t="s">
        <v>33</v>
      </c>
      <c r="N47" s="7" t="s">
        <v>53</v>
      </c>
      <c r="O47" s="7" t="s">
        <v>53</v>
      </c>
      <c r="P47" s="7" t="s">
        <v>602</v>
      </c>
      <c r="Q47" s="7" t="s">
        <v>35</v>
      </c>
      <c r="R47" s="7" t="s">
        <v>35</v>
      </c>
      <c r="S47" s="7" t="s">
        <v>295</v>
      </c>
      <c r="T47" s="7">
        <v>0.4</v>
      </c>
      <c r="U47" s="7">
        <v>15</v>
      </c>
      <c r="V47" s="7">
        <v>0.378</v>
      </c>
      <c r="W47" s="2">
        <v>74</v>
      </c>
      <c r="X47" s="7" t="s">
        <v>80</v>
      </c>
      <c r="Y47" s="7" t="s">
        <v>80</v>
      </c>
      <c r="Z47" s="7" t="s">
        <v>91</v>
      </c>
      <c r="AA47" s="137" t="s">
        <v>80</v>
      </c>
      <c r="AB47" s="7" t="s">
        <v>80</v>
      </c>
      <c r="AC47" s="7" t="s">
        <v>71</v>
      </c>
      <c r="AD47" s="7" t="s">
        <v>317</v>
      </c>
      <c r="AE47" s="7" t="s">
        <v>58</v>
      </c>
      <c r="AF47" s="2" t="s">
        <v>318</v>
      </c>
      <c r="AG47" s="2" t="s">
        <v>318</v>
      </c>
      <c r="AH47" s="7">
        <v>-5.0200000000000002E-2</v>
      </c>
      <c r="AI47" s="7">
        <v>-5.0200000000000002E-2</v>
      </c>
      <c r="AJ47" s="7">
        <v>-5.0200000000000002E-2</v>
      </c>
      <c r="AK47" s="7">
        <v>0.101898</v>
      </c>
      <c r="AL47" s="7">
        <v>0.101898</v>
      </c>
      <c r="AM47" s="7">
        <f>-0.6758 - 0.5755</f>
        <v>-1.2513000000000001</v>
      </c>
      <c r="AN47" s="19">
        <v>0.31921466129999998</v>
      </c>
      <c r="AO47" s="7">
        <v>0.101898</v>
      </c>
      <c r="AP47" s="2">
        <v>89</v>
      </c>
      <c r="AQ47" s="11">
        <v>44620</v>
      </c>
      <c r="AR47" s="7" t="s">
        <v>1154</v>
      </c>
      <c r="AS47" s="7" t="s">
        <v>306</v>
      </c>
      <c r="AT47" s="7" t="s">
        <v>299</v>
      </c>
      <c r="AU47" s="16" t="s">
        <v>44</v>
      </c>
      <c r="AV47" s="16" t="s">
        <v>44</v>
      </c>
      <c r="AW47" s="16" t="s">
        <v>44</v>
      </c>
    </row>
    <row r="48" spans="1:49" ht="17" thickBot="1">
      <c r="A48" s="7">
        <v>58</v>
      </c>
      <c r="B48" s="7">
        <v>25</v>
      </c>
      <c r="C48" s="2" t="s">
        <v>319</v>
      </c>
      <c r="D48" s="2">
        <v>2021</v>
      </c>
      <c r="E48" s="7" t="s">
        <v>320</v>
      </c>
      <c r="F48" s="7" t="s">
        <v>321</v>
      </c>
      <c r="G48" s="7">
        <v>1</v>
      </c>
      <c r="H48" s="7" t="s">
        <v>322</v>
      </c>
      <c r="I48" s="7">
        <v>1</v>
      </c>
      <c r="J48" s="7" t="s">
        <v>80</v>
      </c>
      <c r="K48" s="7" t="s">
        <v>323</v>
      </c>
      <c r="L48" s="7" t="s">
        <v>244</v>
      </c>
      <c r="M48" s="7" t="s">
        <v>33</v>
      </c>
      <c r="N48" s="7" t="s">
        <v>34</v>
      </c>
      <c r="O48" s="7" t="s">
        <v>34</v>
      </c>
      <c r="P48" s="7" t="s">
        <v>600</v>
      </c>
      <c r="Q48" s="7" t="s">
        <v>35</v>
      </c>
      <c r="R48" s="7" t="s">
        <v>35</v>
      </c>
      <c r="S48" s="7" t="s">
        <v>324</v>
      </c>
      <c r="T48" s="7">
        <v>0.49099999999999999</v>
      </c>
      <c r="U48" s="7">
        <v>505</v>
      </c>
      <c r="V48" s="7">
        <v>0.42699999999999999</v>
      </c>
      <c r="W48" s="2">
        <v>492</v>
      </c>
      <c r="X48" s="7" t="s">
        <v>80</v>
      </c>
      <c r="Y48" s="3">
        <v>0.8</v>
      </c>
      <c r="Z48" s="7" t="s">
        <v>70</v>
      </c>
      <c r="AA48" s="137" t="s">
        <v>80</v>
      </c>
      <c r="AB48" s="7" t="s">
        <v>80</v>
      </c>
      <c r="AC48" s="7" t="s">
        <v>71</v>
      </c>
      <c r="AD48" s="7" t="s">
        <v>325</v>
      </c>
      <c r="AE48" s="7" t="s">
        <v>58</v>
      </c>
      <c r="AF48" s="2" t="s">
        <v>326</v>
      </c>
      <c r="AG48" s="2" t="s">
        <v>326</v>
      </c>
      <c r="AH48" s="7">
        <v>-0.1429</v>
      </c>
      <c r="AI48" s="7">
        <v>-0.1429</v>
      </c>
      <c r="AJ48" s="7">
        <v>-0.1429</v>
      </c>
      <c r="AK48" s="7">
        <v>4.934E-3</v>
      </c>
      <c r="AL48" s="7">
        <v>4.934E-3</v>
      </c>
      <c r="AM48" s="7">
        <f>-0.2805 - -0.0052</f>
        <v>-0.27530000000000004</v>
      </c>
      <c r="AN48" s="22">
        <v>7.0242437320000004E-2</v>
      </c>
      <c r="AO48" s="7">
        <v>4.934E-3</v>
      </c>
      <c r="AP48" s="2">
        <v>997</v>
      </c>
      <c r="AQ48" s="11">
        <v>44620</v>
      </c>
      <c r="AR48" s="7" t="s">
        <v>1154</v>
      </c>
      <c r="AS48" s="7" t="s">
        <v>306</v>
      </c>
      <c r="AT48" s="7" t="s">
        <v>299</v>
      </c>
      <c r="AU48" s="7" t="s">
        <v>44</v>
      </c>
      <c r="AV48" s="7" t="s">
        <v>44</v>
      </c>
      <c r="AW48" s="7" t="s">
        <v>44</v>
      </c>
    </row>
    <row r="49" spans="1:49" ht="17" thickBot="1">
      <c r="A49" s="7">
        <v>59</v>
      </c>
      <c r="B49" s="7">
        <v>25</v>
      </c>
      <c r="C49" s="2" t="s">
        <v>319</v>
      </c>
      <c r="D49" s="2">
        <v>2021</v>
      </c>
      <c r="E49" s="7" t="s">
        <v>320</v>
      </c>
      <c r="F49" s="7" t="s">
        <v>321</v>
      </c>
      <c r="G49" s="7">
        <v>1</v>
      </c>
      <c r="H49" s="7" t="s">
        <v>322</v>
      </c>
      <c r="I49" s="7">
        <v>1</v>
      </c>
      <c r="J49" s="7" t="s">
        <v>80</v>
      </c>
      <c r="K49" s="7" t="s">
        <v>323</v>
      </c>
      <c r="L49" s="7" t="s">
        <v>244</v>
      </c>
      <c r="M49" s="7" t="s">
        <v>33</v>
      </c>
      <c r="N49" s="7" t="s">
        <v>34</v>
      </c>
      <c r="O49" s="7" t="s">
        <v>34</v>
      </c>
      <c r="P49" s="7" t="s">
        <v>601</v>
      </c>
      <c r="Q49" s="7" t="s">
        <v>35</v>
      </c>
      <c r="R49" s="7" t="s">
        <v>35</v>
      </c>
      <c r="S49" s="7" t="s">
        <v>324</v>
      </c>
      <c r="T49" s="7">
        <v>0.35399999999999998</v>
      </c>
      <c r="U49" s="7">
        <v>512</v>
      </c>
      <c r="V49" s="7">
        <v>0.35499999999999998</v>
      </c>
      <c r="W49" s="2">
        <v>493</v>
      </c>
      <c r="X49" s="7" t="s">
        <v>80</v>
      </c>
      <c r="Y49" s="3">
        <v>0.8</v>
      </c>
      <c r="Z49" s="7" t="s">
        <v>70</v>
      </c>
      <c r="AA49" s="137" t="s">
        <v>80</v>
      </c>
      <c r="AB49" s="7" t="s">
        <v>80</v>
      </c>
      <c r="AC49" s="7" t="s">
        <v>71</v>
      </c>
      <c r="AD49" s="7" t="s">
        <v>325</v>
      </c>
      <c r="AE49" s="7" t="s">
        <v>58</v>
      </c>
      <c r="AF49" s="2" t="s">
        <v>327</v>
      </c>
      <c r="AG49" s="2" t="s">
        <v>327</v>
      </c>
      <c r="AH49" s="7">
        <v>3.5000000000000001E-3</v>
      </c>
      <c r="AI49" s="7">
        <v>3.5000000000000001E-3</v>
      </c>
      <c r="AJ49" s="7">
        <v>3.5000000000000001E-3</v>
      </c>
      <c r="AK49" s="7">
        <v>5.2900000000000004E-3</v>
      </c>
      <c r="AL49" s="7">
        <v>5.2900000000000004E-3</v>
      </c>
      <c r="AM49" s="7">
        <f>-0.1391 - 0.1461</f>
        <v>-0.28520000000000001</v>
      </c>
      <c r="AN49" s="19">
        <v>7.2732386179999997E-2</v>
      </c>
      <c r="AO49" s="7">
        <v>5.2900000000000004E-3</v>
      </c>
      <c r="AP49" s="2">
        <v>1005</v>
      </c>
      <c r="AQ49" s="11">
        <v>44620</v>
      </c>
      <c r="AR49" s="7" t="s">
        <v>1154</v>
      </c>
      <c r="AS49" s="7" t="s">
        <v>306</v>
      </c>
      <c r="AT49" s="7" t="s">
        <v>299</v>
      </c>
      <c r="AU49" s="7" t="s">
        <v>44</v>
      </c>
      <c r="AV49" s="7" t="s">
        <v>44</v>
      </c>
      <c r="AW49" s="7" t="s">
        <v>44</v>
      </c>
    </row>
    <row r="50" spans="1:49" ht="17" thickBot="1">
      <c r="A50" s="7">
        <v>61</v>
      </c>
      <c r="B50" s="7">
        <v>27</v>
      </c>
      <c r="C50" s="7" t="s">
        <v>1162</v>
      </c>
      <c r="D50" s="7">
        <v>2022</v>
      </c>
      <c r="E50" s="7" t="s">
        <v>336</v>
      </c>
      <c r="F50" s="7" t="s">
        <v>337</v>
      </c>
      <c r="G50" s="7">
        <v>50</v>
      </c>
      <c r="H50" s="7" t="s">
        <v>338</v>
      </c>
      <c r="I50" s="7">
        <v>3</v>
      </c>
      <c r="J50" s="7" t="s">
        <v>80</v>
      </c>
      <c r="K50" s="7" t="s">
        <v>339</v>
      </c>
      <c r="L50" s="7" t="s">
        <v>244</v>
      </c>
      <c r="M50" s="7" t="s">
        <v>33</v>
      </c>
      <c r="N50" s="7" t="s">
        <v>34</v>
      </c>
      <c r="O50" s="7" t="s">
        <v>34</v>
      </c>
      <c r="P50" s="7" t="s">
        <v>600</v>
      </c>
      <c r="Q50" s="4" t="s">
        <v>576</v>
      </c>
      <c r="R50" s="4" t="s">
        <v>35</v>
      </c>
      <c r="S50" s="7" t="s">
        <v>55</v>
      </c>
      <c r="T50" s="7">
        <v>0.34782608700000001</v>
      </c>
      <c r="U50" s="7">
        <v>828</v>
      </c>
      <c r="V50" s="7">
        <v>0.296875</v>
      </c>
      <c r="W50" s="7">
        <v>128</v>
      </c>
      <c r="X50" s="7" t="s">
        <v>80</v>
      </c>
      <c r="Y50" s="7" t="s">
        <v>80</v>
      </c>
      <c r="Z50" s="7" t="s">
        <v>1128</v>
      </c>
      <c r="AA50" s="137" t="s">
        <v>80</v>
      </c>
      <c r="AB50" s="7" t="s">
        <v>80</v>
      </c>
      <c r="AC50" s="7" t="s">
        <v>71</v>
      </c>
      <c r="AD50" s="7" t="s">
        <v>340</v>
      </c>
      <c r="AE50" s="7" t="s">
        <v>58</v>
      </c>
      <c r="AF50" s="7" t="s">
        <v>58</v>
      </c>
      <c r="AG50" s="7" t="s">
        <v>58</v>
      </c>
      <c r="AH50" s="7">
        <v>-0.1288</v>
      </c>
      <c r="AI50" s="7" t="s">
        <v>80</v>
      </c>
      <c r="AJ50" s="7">
        <v>-0.1288</v>
      </c>
      <c r="AK50" s="7">
        <v>1.2995E-2</v>
      </c>
      <c r="AL50" s="7"/>
      <c r="AM50" s="7">
        <f>-0.3522-0.0946</f>
        <v>-0.44680000000000003</v>
      </c>
      <c r="AN50" s="19">
        <v>0.113995614</v>
      </c>
      <c r="AO50" s="7">
        <v>1.2995E-2</v>
      </c>
      <c r="AP50" s="7">
        <v>1866</v>
      </c>
      <c r="AQ50" s="11">
        <v>44620</v>
      </c>
      <c r="AR50" s="7"/>
      <c r="AS50" s="7"/>
      <c r="AT50" s="7"/>
      <c r="AU50" s="7" t="s">
        <v>44</v>
      </c>
      <c r="AV50" s="7" t="s">
        <v>44</v>
      </c>
      <c r="AW50" s="7" t="s">
        <v>341</v>
      </c>
    </row>
    <row r="51" spans="1:49" ht="17" thickBot="1">
      <c r="A51" s="7">
        <v>62</v>
      </c>
      <c r="B51" s="7">
        <v>27</v>
      </c>
      <c r="C51" s="7" t="s">
        <v>1162</v>
      </c>
      <c r="D51" s="7">
        <v>2022</v>
      </c>
      <c r="E51" s="7" t="s">
        <v>336</v>
      </c>
      <c r="F51" s="7" t="s">
        <v>337</v>
      </c>
      <c r="G51" s="7">
        <v>50</v>
      </c>
      <c r="H51" s="7" t="s">
        <v>338</v>
      </c>
      <c r="I51" s="7">
        <v>3</v>
      </c>
      <c r="J51" s="7" t="s">
        <v>80</v>
      </c>
      <c r="K51" s="7" t="s">
        <v>339</v>
      </c>
      <c r="L51" s="7" t="s">
        <v>244</v>
      </c>
      <c r="M51" s="7" t="s">
        <v>33</v>
      </c>
      <c r="N51" s="7" t="s">
        <v>34</v>
      </c>
      <c r="O51" s="7" t="s">
        <v>34</v>
      </c>
      <c r="P51" s="7" t="s">
        <v>602</v>
      </c>
      <c r="Q51" s="4" t="s">
        <v>576</v>
      </c>
      <c r="R51" s="4" t="s">
        <v>35</v>
      </c>
      <c r="S51" s="7" t="s">
        <v>342</v>
      </c>
      <c r="T51" s="7">
        <v>0.25575447569999998</v>
      </c>
      <c r="U51" s="7">
        <v>782</v>
      </c>
      <c r="V51" s="7">
        <v>0.28125</v>
      </c>
      <c r="W51" s="7">
        <v>128</v>
      </c>
      <c r="X51" s="7" t="s">
        <v>80</v>
      </c>
      <c r="Y51" s="7" t="s">
        <v>80</v>
      </c>
      <c r="Z51" s="7" t="s">
        <v>1128</v>
      </c>
      <c r="AA51" s="137" t="s">
        <v>80</v>
      </c>
      <c r="AB51" s="7" t="s">
        <v>80</v>
      </c>
      <c r="AC51" s="7" t="s">
        <v>71</v>
      </c>
      <c r="AD51" s="7" t="s">
        <v>343</v>
      </c>
      <c r="AE51" s="7" t="s">
        <v>58</v>
      </c>
      <c r="AF51" s="7" t="s">
        <v>58</v>
      </c>
      <c r="AG51" s="7" t="s">
        <v>58</v>
      </c>
      <c r="AH51" s="7">
        <v>7.1599999999999997E-2</v>
      </c>
      <c r="AI51" s="7" t="s">
        <v>80</v>
      </c>
      <c r="AJ51" s="7">
        <v>7.1599999999999997E-2</v>
      </c>
      <c r="AK51" s="7">
        <v>1.3788999999999999E-2</v>
      </c>
      <c r="AL51" s="7"/>
      <c r="AM51" s="7">
        <f>-0.1585-0.3018</f>
        <v>-0.46030000000000004</v>
      </c>
      <c r="AN51" s="19">
        <v>0.1174265728</v>
      </c>
      <c r="AO51" s="7">
        <v>1.3788999999999999E-2</v>
      </c>
      <c r="AP51" s="7">
        <v>1866</v>
      </c>
      <c r="AQ51" s="11">
        <v>44620</v>
      </c>
      <c r="AR51" s="7"/>
      <c r="AS51" s="7"/>
      <c r="AT51" s="7"/>
      <c r="AU51" s="7" t="s">
        <v>44</v>
      </c>
      <c r="AV51" s="7" t="s">
        <v>44</v>
      </c>
      <c r="AW51" s="7" t="s">
        <v>341</v>
      </c>
    </row>
    <row r="52" spans="1:49" ht="17" thickBot="1">
      <c r="A52" s="7">
        <v>63</v>
      </c>
      <c r="B52" s="7">
        <v>28</v>
      </c>
      <c r="C52" s="7" t="s">
        <v>1163</v>
      </c>
      <c r="D52" s="7">
        <v>2022</v>
      </c>
      <c r="E52" s="7" t="s">
        <v>344</v>
      </c>
      <c r="F52" s="7">
        <v>2019</v>
      </c>
      <c r="G52" s="7">
        <v>12</v>
      </c>
      <c r="H52" s="7">
        <v>2021</v>
      </c>
      <c r="I52" s="7">
        <v>12</v>
      </c>
      <c r="J52" s="7" t="s">
        <v>80</v>
      </c>
      <c r="K52" s="7" t="s">
        <v>345</v>
      </c>
      <c r="L52" s="7" t="s">
        <v>176</v>
      </c>
      <c r="M52" s="7" t="s">
        <v>33</v>
      </c>
      <c r="N52" s="7" t="s">
        <v>34</v>
      </c>
      <c r="O52" s="7" t="s">
        <v>34</v>
      </c>
      <c r="P52" s="7" t="s">
        <v>600</v>
      </c>
      <c r="Q52" s="7" t="s">
        <v>35</v>
      </c>
      <c r="R52" s="7" t="s">
        <v>35</v>
      </c>
      <c r="S52" s="7" t="s">
        <v>346</v>
      </c>
      <c r="T52" s="7">
        <v>0.53427607079999995</v>
      </c>
      <c r="U52" s="7">
        <v>17184</v>
      </c>
      <c r="V52" s="7">
        <v>0.1853056247</v>
      </c>
      <c r="W52" s="7">
        <v>19681</v>
      </c>
      <c r="X52" s="7" t="s">
        <v>80</v>
      </c>
      <c r="Y52" s="3">
        <v>0.8</v>
      </c>
      <c r="Z52" s="4" t="s">
        <v>1129</v>
      </c>
      <c r="AA52" s="137" t="s">
        <v>80</v>
      </c>
      <c r="AB52" s="7" t="s">
        <v>80</v>
      </c>
      <c r="AC52" s="7" t="s">
        <v>71</v>
      </c>
      <c r="AD52" s="7" t="s">
        <v>347</v>
      </c>
      <c r="AE52" s="7" t="s">
        <v>58</v>
      </c>
      <c r="AF52" s="7" t="s">
        <v>58</v>
      </c>
      <c r="AG52" s="7" t="s">
        <v>58</v>
      </c>
      <c r="AH52" s="131">
        <v>-0.74070000000000003</v>
      </c>
      <c r="AI52" s="7" t="s">
        <v>80</v>
      </c>
      <c r="AJ52" s="131">
        <v>-0.74070000000000003</v>
      </c>
      <c r="AK52" s="131">
        <v>1.73E-4</v>
      </c>
      <c r="AL52" s="13"/>
      <c r="AM52" s="133">
        <f>-0.7665- -0.7149</f>
        <v>-5.1599999999999979E-2</v>
      </c>
      <c r="AN52" s="22">
        <v>1.315294644E-2</v>
      </c>
      <c r="AO52" s="131">
        <v>1.73E-4</v>
      </c>
      <c r="AP52" s="7">
        <v>36865</v>
      </c>
      <c r="AQ52" s="11">
        <v>44620</v>
      </c>
      <c r="AR52" s="7"/>
      <c r="AS52" s="7"/>
      <c r="AT52" s="7"/>
      <c r="AU52" s="7" t="s">
        <v>44</v>
      </c>
      <c r="AV52" s="7" t="s">
        <v>44</v>
      </c>
      <c r="AW52" s="7" t="s">
        <v>44</v>
      </c>
    </row>
    <row r="53" spans="1:49" ht="17" thickBot="1">
      <c r="A53" s="7">
        <v>64</v>
      </c>
      <c r="B53" s="7">
        <v>28</v>
      </c>
      <c r="C53" s="7" t="s">
        <v>1163</v>
      </c>
      <c r="D53" s="7">
        <v>2022</v>
      </c>
      <c r="E53" s="7" t="s">
        <v>344</v>
      </c>
      <c r="F53" s="7">
        <v>2019</v>
      </c>
      <c r="G53" s="7">
        <v>12</v>
      </c>
      <c r="H53" s="7">
        <v>2021</v>
      </c>
      <c r="I53" s="7">
        <v>12</v>
      </c>
      <c r="J53" s="7" t="s">
        <v>80</v>
      </c>
      <c r="K53" s="7" t="s">
        <v>348</v>
      </c>
      <c r="L53" s="7" t="s">
        <v>599</v>
      </c>
      <c r="M53" s="7" t="s">
        <v>33</v>
      </c>
      <c r="N53" s="7" t="s">
        <v>34</v>
      </c>
      <c r="O53" s="7" t="s">
        <v>34</v>
      </c>
      <c r="P53" s="7" t="s">
        <v>600</v>
      </c>
      <c r="Q53" s="7" t="s">
        <v>35</v>
      </c>
      <c r="R53" s="7" t="s">
        <v>35</v>
      </c>
      <c r="S53" s="7" t="s">
        <v>346</v>
      </c>
      <c r="T53" s="7">
        <v>0.18172467</v>
      </c>
      <c r="U53" s="7">
        <v>29165</v>
      </c>
      <c r="V53" s="7">
        <v>0.17098214289999999</v>
      </c>
      <c r="W53" s="7">
        <v>2240</v>
      </c>
      <c r="X53" s="7" t="s">
        <v>80</v>
      </c>
      <c r="Y53" s="3">
        <v>0.8</v>
      </c>
      <c r="Z53" s="4" t="s">
        <v>1129</v>
      </c>
      <c r="AA53" s="137" t="s">
        <v>80</v>
      </c>
      <c r="AB53" s="7" t="s">
        <v>80</v>
      </c>
      <c r="AC53" s="7" t="s">
        <v>71</v>
      </c>
      <c r="AD53" s="7" t="s">
        <v>349</v>
      </c>
      <c r="AE53" s="7" t="s">
        <v>58</v>
      </c>
      <c r="AF53" s="7" t="s">
        <v>58</v>
      </c>
      <c r="AG53" s="7" t="s">
        <v>58</v>
      </c>
      <c r="AH53" s="7">
        <v>-4.0800000000000003E-2</v>
      </c>
      <c r="AI53" s="7" t="s">
        <v>80</v>
      </c>
      <c r="AJ53" s="7">
        <v>-4.0800000000000003E-2</v>
      </c>
      <c r="AK53" s="7">
        <v>1.0269999999999999E-3</v>
      </c>
      <c r="AL53" s="7"/>
      <c r="AM53" s="7">
        <f>-0.1036-0.022</f>
        <v>-0.12559999999999999</v>
      </c>
      <c r="AN53" s="19">
        <v>3.2046840719999997E-2</v>
      </c>
      <c r="AO53" s="7">
        <v>1.0269999999999999E-3</v>
      </c>
      <c r="AP53" s="7">
        <v>31405</v>
      </c>
      <c r="AQ53" s="11">
        <v>44620</v>
      </c>
      <c r="AR53" s="7"/>
      <c r="AS53" s="7"/>
      <c r="AT53" s="7"/>
      <c r="AU53" s="7" t="s">
        <v>44</v>
      </c>
      <c r="AV53" s="7" t="s">
        <v>44</v>
      </c>
      <c r="AW53" s="7" t="s">
        <v>44</v>
      </c>
    </row>
    <row r="54" spans="1:49" ht="17" thickBot="1">
      <c r="A54" s="7">
        <v>65</v>
      </c>
      <c r="B54" s="7">
        <v>28</v>
      </c>
      <c r="C54" s="7" t="s">
        <v>1163</v>
      </c>
      <c r="D54" s="7">
        <v>2022</v>
      </c>
      <c r="E54" s="7" t="s">
        <v>344</v>
      </c>
      <c r="F54" s="7">
        <v>2019</v>
      </c>
      <c r="G54" s="7">
        <v>12</v>
      </c>
      <c r="H54" s="7">
        <v>2021</v>
      </c>
      <c r="I54" s="7">
        <v>12</v>
      </c>
      <c r="J54" s="7" t="s">
        <v>80</v>
      </c>
      <c r="K54" s="7" t="s">
        <v>350</v>
      </c>
      <c r="L54" s="7" t="s">
        <v>176</v>
      </c>
      <c r="M54" s="7" t="s">
        <v>33</v>
      </c>
      <c r="N54" s="7" t="s">
        <v>34</v>
      </c>
      <c r="O54" s="7" t="s">
        <v>34</v>
      </c>
      <c r="P54" s="7" t="s">
        <v>600</v>
      </c>
      <c r="Q54" s="7" t="s">
        <v>35</v>
      </c>
      <c r="R54" s="7" t="s">
        <v>35</v>
      </c>
      <c r="S54" s="7" t="s">
        <v>346</v>
      </c>
      <c r="T54" s="7">
        <v>0.30833039179999999</v>
      </c>
      <c r="U54" s="7">
        <v>5666</v>
      </c>
      <c r="V54" s="7">
        <v>0.2601291838</v>
      </c>
      <c r="W54" s="7">
        <v>1703</v>
      </c>
      <c r="X54" s="7" t="s">
        <v>80</v>
      </c>
      <c r="Y54" s="3">
        <v>0.8</v>
      </c>
      <c r="Z54" s="4" t="s">
        <v>1129</v>
      </c>
      <c r="AA54" s="137" t="s">
        <v>80</v>
      </c>
      <c r="AB54" s="7" t="s">
        <v>80</v>
      </c>
      <c r="AC54" s="7" t="s">
        <v>71</v>
      </c>
      <c r="AD54" s="7" t="s">
        <v>351</v>
      </c>
      <c r="AE54" s="7" t="s">
        <v>58</v>
      </c>
      <c r="AF54" s="7" t="s">
        <v>58</v>
      </c>
      <c r="AG54" s="7" t="s">
        <v>58</v>
      </c>
      <c r="AH54" s="7">
        <v>-0.13089999999999999</v>
      </c>
      <c r="AI54" s="7" t="s">
        <v>80</v>
      </c>
      <c r="AJ54" s="7">
        <v>-0.13089999999999999</v>
      </c>
      <c r="AK54" s="7">
        <v>1.1789999999999999E-3</v>
      </c>
      <c r="AL54" s="7"/>
      <c r="AM54" s="7">
        <f>-0.1982- -0.0636</f>
        <v>-0.1346</v>
      </c>
      <c r="AN54" s="19">
        <v>3.4336569429999998E-2</v>
      </c>
      <c r="AO54" s="7">
        <v>1.1789999999999999E-3</v>
      </c>
      <c r="AP54" s="7">
        <v>7369</v>
      </c>
      <c r="AQ54" s="11">
        <v>44620</v>
      </c>
      <c r="AR54" s="7"/>
      <c r="AS54" s="7"/>
      <c r="AT54" s="7"/>
      <c r="AU54" s="7" t="s">
        <v>44</v>
      </c>
      <c r="AV54" s="7" t="s">
        <v>44</v>
      </c>
      <c r="AW54" s="7" t="s">
        <v>44</v>
      </c>
    </row>
    <row r="55" spans="1:49" ht="17" thickBot="1">
      <c r="A55" s="7">
        <v>66</v>
      </c>
      <c r="B55" s="7">
        <v>28</v>
      </c>
      <c r="C55" s="7" t="s">
        <v>1163</v>
      </c>
      <c r="D55" s="7">
        <v>2022</v>
      </c>
      <c r="E55" s="7" t="s">
        <v>344</v>
      </c>
      <c r="F55" s="7">
        <v>2019</v>
      </c>
      <c r="G55" s="7">
        <v>12</v>
      </c>
      <c r="H55" s="7">
        <v>2021</v>
      </c>
      <c r="I55" s="7">
        <v>12</v>
      </c>
      <c r="J55" s="7" t="s">
        <v>80</v>
      </c>
      <c r="K55" s="7" t="s">
        <v>352</v>
      </c>
      <c r="L55" s="7" t="s">
        <v>599</v>
      </c>
      <c r="M55" s="7" t="s">
        <v>33</v>
      </c>
      <c r="N55" s="7" t="s">
        <v>34</v>
      </c>
      <c r="O55" s="7" t="s">
        <v>34</v>
      </c>
      <c r="P55" s="7" t="s">
        <v>600</v>
      </c>
      <c r="Q55" s="7" t="s">
        <v>35</v>
      </c>
      <c r="R55" s="7" t="s">
        <v>35</v>
      </c>
      <c r="S55" s="7" t="s">
        <v>346</v>
      </c>
      <c r="T55" s="7">
        <v>0.2663534293</v>
      </c>
      <c r="U55" s="7">
        <v>16388</v>
      </c>
      <c r="V55" s="7">
        <v>0.24943873329999999</v>
      </c>
      <c r="W55" s="7">
        <v>8463</v>
      </c>
      <c r="X55" s="7" t="s">
        <v>80</v>
      </c>
      <c r="Y55" s="3">
        <v>0.8</v>
      </c>
      <c r="Z55" s="4" t="s">
        <v>1129</v>
      </c>
      <c r="AA55" s="137" t="s">
        <v>80</v>
      </c>
      <c r="AB55" s="7" t="s">
        <v>80</v>
      </c>
      <c r="AC55" s="7" t="s">
        <v>71</v>
      </c>
      <c r="AD55" s="7" t="s">
        <v>353</v>
      </c>
      <c r="AE55" s="7" t="s">
        <v>58</v>
      </c>
      <c r="AF55" s="7" t="s">
        <v>58</v>
      </c>
      <c r="AG55" s="7" t="s">
        <v>58</v>
      </c>
      <c r="AH55" s="7">
        <v>-4.87E-2</v>
      </c>
      <c r="AI55" s="7" t="s">
        <v>80</v>
      </c>
      <c r="AJ55" s="7">
        <v>-4.87E-2</v>
      </c>
      <c r="AK55" s="7">
        <v>2.8699999999999998E-4</v>
      </c>
      <c r="AL55" s="7"/>
      <c r="AM55" s="7">
        <f>-0.0819- -0.0155</f>
        <v>-6.6400000000000001E-2</v>
      </c>
      <c r="AN55" s="22">
        <v>1.6941074350000002E-2</v>
      </c>
      <c r="AO55" s="7">
        <v>2.8699999999999998E-4</v>
      </c>
      <c r="AP55" s="7">
        <v>24851</v>
      </c>
      <c r="AQ55" s="11">
        <v>44620</v>
      </c>
      <c r="AR55" s="7"/>
      <c r="AS55" s="7"/>
      <c r="AT55" s="7"/>
      <c r="AU55" s="7" t="s">
        <v>44</v>
      </c>
      <c r="AV55" s="7" t="s">
        <v>44</v>
      </c>
      <c r="AW55" s="7" t="s">
        <v>44</v>
      </c>
    </row>
    <row r="56" spans="1:49" ht="17" thickBot="1">
      <c r="A56" s="7">
        <v>67</v>
      </c>
      <c r="B56" s="7">
        <v>28</v>
      </c>
      <c r="C56" s="7" t="s">
        <v>1163</v>
      </c>
      <c r="D56" s="7">
        <v>2022</v>
      </c>
      <c r="E56" s="7" t="s">
        <v>344</v>
      </c>
      <c r="F56" s="7">
        <v>2019</v>
      </c>
      <c r="G56" s="7">
        <v>12</v>
      </c>
      <c r="H56" s="7">
        <v>2021</v>
      </c>
      <c r="I56" s="7">
        <v>12</v>
      </c>
      <c r="J56" s="7" t="s">
        <v>80</v>
      </c>
      <c r="K56" s="7" t="s">
        <v>354</v>
      </c>
      <c r="L56" s="7" t="s">
        <v>599</v>
      </c>
      <c r="M56" s="7" t="s">
        <v>33</v>
      </c>
      <c r="N56" s="7" t="s">
        <v>34</v>
      </c>
      <c r="O56" s="7" t="s">
        <v>34</v>
      </c>
      <c r="P56" s="7" t="s">
        <v>600</v>
      </c>
      <c r="Q56" s="7" t="s">
        <v>35</v>
      </c>
      <c r="R56" s="7" t="s">
        <v>35</v>
      </c>
      <c r="S56" s="7" t="s">
        <v>346</v>
      </c>
      <c r="T56" s="7">
        <v>0.24927991620000001</v>
      </c>
      <c r="U56" s="7">
        <v>22914</v>
      </c>
      <c r="V56" s="7">
        <v>0.2442697522</v>
      </c>
      <c r="W56" s="7">
        <v>22643</v>
      </c>
      <c r="X56" s="7" t="s">
        <v>80</v>
      </c>
      <c r="Y56" s="3">
        <v>0.8</v>
      </c>
      <c r="Z56" s="4" t="s">
        <v>1129</v>
      </c>
      <c r="AA56" s="137" t="s">
        <v>80</v>
      </c>
      <c r="AB56" s="7" t="s">
        <v>80</v>
      </c>
      <c r="AC56" s="7" t="s">
        <v>71</v>
      </c>
      <c r="AD56" s="7" t="s">
        <v>355</v>
      </c>
      <c r="AE56" s="7" t="s">
        <v>58</v>
      </c>
      <c r="AF56" s="7" t="s">
        <v>58</v>
      </c>
      <c r="AG56" s="7" t="s">
        <v>58</v>
      </c>
      <c r="AH56" s="7">
        <v>-1.49E-2</v>
      </c>
      <c r="AI56" s="7" t="s">
        <v>80</v>
      </c>
      <c r="AJ56" s="7">
        <v>-1.49E-2</v>
      </c>
      <c r="AK56" s="7">
        <v>1.44E-4</v>
      </c>
      <c r="AL56" s="7"/>
      <c r="AM56" s="7">
        <f>-0.0383- 0.0086</f>
        <v>-4.6899999999999997E-2</v>
      </c>
      <c r="AN56" s="22">
        <v>1.2E-2</v>
      </c>
      <c r="AO56" s="7">
        <v>1.44E-4</v>
      </c>
      <c r="AP56" s="7">
        <v>45557</v>
      </c>
      <c r="AQ56" s="11">
        <v>44620</v>
      </c>
      <c r="AR56" s="7"/>
      <c r="AS56" s="7"/>
      <c r="AT56" s="7"/>
      <c r="AU56" s="7" t="s">
        <v>44</v>
      </c>
      <c r="AV56" s="7" t="s">
        <v>44</v>
      </c>
      <c r="AW56" s="7" t="s">
        <v>44</v>
      </c>
    </row>
    <row r="57" spans="1:49" ht="17" thickBot="1">
      <c r="A57" s="7">
        <v>68</v>
      </c>
      <c r="B57" s="7">
        <v>28</v>
      </c>
      <c r="C57" s="7" t="s">
        <v>1163</v>
      </c>
      <c r="D57" s="7">
        <v>2022</v>
      </c>
      <c r="E57" s="7" t="s">
        <v>344</v>
      </c>
      <c r="F57" s="7">
        <v>2019</v>
      </c>
      <c r="G57" s="7">
        <v>12</v>
      </c>
      <c r="H57" s="7">
        <v>2021</v>
      </c>
      <c r="I57" s="7">
        <v>12</v>
      </c>
      <c r="J57" s="7" t="s">
        <v>80</v>
      </c>
      <c r="K57" s="7" t="s">
        <v>356</v>
      </c>
      <c r="L57" s="7" t="s">
        <v>120</v>
      </c>
      <c r="M57" s="7" t="s">
        <v>33</v>
      </c>
      <c r="N57" s="7" t="s">
        <v>34</v>
      </c>
      <c r="O57" s="7" t="s">
        <v>34</v>
      </c>
      <c r="P57" s="7" t="s">
        <v>600</v>
      </c>
      <c r="Q57" s="7" t="s">
        <v>35</v>
      </c>
      <c r="R57" s="7" t="s">
        <v>35</v>
      </c>
      <c r="S57" s="7" t="s">
        <v>346</v>
      </c>
      <c r="T57" s="7">
        <v>0.37710098469999997</v>
      </c>
      <c r="U57" s="7">
        <v>21835</v>
      </c>
      <c r="V57" s="7">
        <v>0.37951236830000001</v>
      </c>
      <c r="W57" s="7">
        <v>33796</v>
      </c>
      <c r="X57" s="7" t="s">
        <v>80</v>
      </c>
      <c r="Y57" s="3">
        <v>0.8</v>
      </c>
      <c r="Z57" s="4" t="s">
        <v>1129</v>
      </c>
      <c r="AA57" s="137" t="s">
        <v>80</v>
      </c>
      <c r="AB57" s="7" t="s">
        <v>80</v>
      </c>
      <c r="AC57" s="7" t="s">
        <v>71</v>
      </c>
      <c r="AD57" s="7" t="s">
        <v>357</v>
      </c>
      <c r="AE57" s="7" t="s">
        <v>58</v>
      </c>
      <c r="AF57" s="7" t="s">
        <v>58</v>
      </c>
      <c r="AG57" s="7" t="s">
        <v>58</v>
      </c>
      <c r="AH57" s="7">
        <v>5.7000000000000002E-3</v>
      </c>
      <c r="AI57" s="7" t="s">
        <v>80</v>
      </c>
      <c r="AJ57" s="7">
        <v>5.7000000000000002E-3</v>
      </c>
      <c r="AK57" s="7">
        <v>9.7E-5</v>
      </c>
      <c r="AL57" s="7"/>
      <c r="AM57" s="7">
        <f>-0.0137-0.025</f>
        <v>-3.8699999999999998E-2</v>
      </c>
      <c r="AN57" s="19">
        <v>9.8488578020000002E-3</v>
      </c>
      <c r="AO57" s="7">
        <v>9.7E-5</v>
      </c>
      <c r="AP57" s="7">
        <v>55631</v>
      </c>
      <c r="AQ57" s="11">
        <v>44620</v>
      </c>
      <c r="AR57" s="7"/>
      <c r="AS57" s="7"/>
      <c r="AT57" s="7"/>
      <c r="AU57" s="7" t="s">
        <v>44</v>
      </c>
      <c r="AV57" s="7" t="s">
        <v>44</v>
      </c>
      <c r="AW57" s="7" t="s">
        <v>44</v>
      </c>
    </row>
    <row r="58" spans="1:49" ht="17" thickBot="1">
      <c r="A58" s="7">
        <v>69</v>
      </c>
      <c r="B58" s="7">
        <v>28</v>
      </c>
      <c r="C58" s="7" t="s">
        <v>1163</v>
      </c>
      <c r="D58" s="7">
        <v>2022</v>
      </c>
      <c r="E58" s="7" t="s">
        <v>344</v>
      </c>
      <c r="F58" s="7">
        <v>2019</v>
      </c>
      <c r="G58" s="7">
        <v>12</v>
      </c>
      <c r="H58" s="7">
        <v>2021</v>
      </c>
      <c r="I58" s="7">
        <v>12</v>
      </c>
      <c r="J58" s="7" t="s">
        <v>80</v>
      </c>
      <c r="K58" s="7" t="s">
        <v>358</v>
      </c>
      <c r="L58" s="7" t="s">
        <v>599</v>
      </c>
      <c r="M58" s="7" t="s">
        <v>33</v>
      </c>
      <c r="N58" s="7" t="s">
        <v>34</v>
      </c>
      <c r="O58" s="7" t="s">
        <v>34</v>
      </c>
      <c r="P58" s="7" t="s">
        <v>600</v>
      </c>
      <c r="Q58" s="7" t="s">
        <v>35</v>
      </c>
      <c r="R58" s="7" t="s">
        <v>35</v>
      </c>
      <c r="S58" s="7" t="s">
        <v>346</v>
      </c>
      <c r="T58" s="7">
        <v>0.2406057207</v>
      </c>
      <c r="U58" s="7">
        <v>1783</v>
      </c>
      <c r="V58" s="7">
        <v>0.19796954310000001</v>
      </c>
      <c r="W58" s="7">
        <v>788</v>
      </c>
      <c r="X58" s="7" t="s">
        <v>80</v>
      </c>
      <c r="Y58" s="3">
        <v>0.8</v>
      </c>
      <c r="Z58" s="4" t="s">
        <v>1129</v>
      </c>
      <c r="AA58" s="137" t="s">
        <v>80</v>
      </c>
      <c r="AB58" s="7" t="s">
        <v>80</v>
      </c>
      <c r="AC58" s="7" t="s">
        <v>71</v>
      </c>
      <c r="AD58" s="7" t="s">
        <v>359</v>
      </c>
      <c r="AE58" s="7" t="s">
        <v>58</v>
      </c>
      <c r="AF58" s="7" t="s">
        <v>58</v>
      </c>
      <c r="AG58" s="7" t="s">
        <v>58</v>
      </c>
      <c r="AH58" s="7">
        <v>-0.13769999999999999</v>
      </c>
      <c r="AI58" s="7" t="s">
        <v>80</v>
      </c>
      <c r="AJ58" s="7">
        <v>-0.13769999999999999</v>
      </c>
      <c r="AK58" s="7">
        <v>3.362E-3</v>
      </c>
      <c r="AL58" s="7"/>
      <c r="AM58" s="7">
        <f>-0.2513- -0.024</f>
        <v>-0.22730000000000003</v>
      </c>
      <c r="AN58" s="19">
        <v>5.7982756060000001E-2</v>
      </c>
      <c r="AO58" s="7">
        <v>3.362E-3</v>
      </c>
      <c r="AP58" s="7">
        <v>2571</v>
      </c>
      <c r="AQ58" s="11">
        <v>44620</v>
      </c>
      <c r="AR58" s="7"/>
      <c r="AS58" s="7"/>
      <c r="AT58" s="7"/>
      <c r="AU58" s="7" t="s">
        <v>44</v>
      </c>
      <c r="AV58" s="7" t="s">
        <v>44</v>
      </c>
      <c r="AW58" s="7" t="s">
        <v>44</v>
      </c>
    </row>
    <row r="59" spans="1:49" ht="17" thickBot="1">
      <c r="A59" s="7">
        <v>70</v>
      </c>
      <c r="B59" s="7">
        <v>28</v>
      </c>
      <c r="C59" s="7" t="s">
        <v>1163</v>
      </c>
      <c r="D59" s="7">
        <v>2022</v>
      </c>
      <c r="E59" s="7" t="s">
        <v>344</v>
      </c>
      <c r="F59" s="7">
        <v>2019</v>
      </c>
      <c r="G59" s="7">
        <v>12</v>
      </c>
      <c r="H59" s="7">
        <v>2021</v>
      </c>
      <c r="I59" s="7">
        <v>12</v>
      </c>
      <c r="J59" s="7" t="s">
        <v>80</v>
      </c>
      <c r="K59" s="7" t="s">
        <v>360</v>
      </c>
      <c r="L59" s="7" t="s">
        <v>176</v>
      </c>
      <c r="M59" s="7" t="s">
        <v>33</v>
      </c>
      <c r="N59" s="7" t="s">
        <v>34</v>
      </c>
      <c r="O59" s="7" t="s">
        <v>34</v>
      </c>
      <c r="P59" s="7" t="s">
        <v>600</v>
      </c>
      <c r="Q59" s="7" t="s">
        <v>35</v>
      </c>
      <c r="R59" s="7" t="s">
        <v>35</v>
      </c>
      <c r="S59" s="7" t="s">
        <v>346</v>
      </c>
      <c r="T59" s="7">
        <v>0.50488639140000002</v>
      </c>
      <c r="U59" s="7">
        <v>8186</v>
      </c>
      <c r="V59" s="7">
        <v>0.52817207420000001</v>
      </c>
      <c r="W59" s="7">
        <v>13808</v>
      </c>
      <c r="X59" s="7" t="s">
        <v>80</v>
      </c>
      <c r="Y59" s="3">
        <v>0.8</v>
      </c>
      <c r="Z59" s="4" t="s">
        <v>1129</v>
      </c>
      <c r="AA59" s="137" t="s">
        <v>80</v>
      </c>
      <c r="AB59" s="7" t="s">
        <v>80</v>
      </c>
      <c r="AC59" s="7" t="s">
        <v>71</v>
      </c>
      <c r="AD59" s="7" t="s">
        <v>361</v>
      </c>
      <c r="AE59" s="7" t="s">
        <v>58</v>
      </c>
      <c r="AF59" s="7" t="s">
        <v>58</v>
      </c>
      <c r="AG59" s="7" t="s">
        <v>58</v>
      </c>
      <c r="AH59" s="7">
        <v>5.1400000000000001E-2</v>
      </c>
      <c r="AI59" s="7" t="s">
        <v>80</v>
      </c>
      <c r="AJ59" s="7">
        <v>5.1400000000000001E-2</v>
      </c>
      <c r="AK59" s="7">
        <v>2.3699999999999999E-4</v>
      </c>
      <c r="AL59" s="7"/>
      <c r="AM59" s="7" t="s">
        <v>362</v>
      </c>
      <c r="AN59" s="22">
        <v>1.539480432E-2</v>
      </c>
      <c r="AO59" s="7">
        <v>2.3699999999999999E-4</v>
      </c>
      <c r="AP59" s="7">
        <v>21994</v>
      </c>
      <c r="AQ59" s="11">
        <v>44620</v>
      </c>
      <c r="AR59" s="7"/>
      <c r="AS59" s="7"/>
      <c r="AT59" s="7"/>
      <c r="AU59" s="7" t="s">
        <v>44</v>
      </c>
      <c r="AV59" s="7" t="s">
        <v>44</v>
      </c>
      <c r="AW59" s="7" t="s">
        <v>44</v>
      </c>
    </row>
    <row r="60" spans="1:49" ht="17" thickBot="1">
      <c r="A60" s="7">
        <v>71</v>
      </c>
      <c r="B60" s="7">
        <v>28</v>
      </c>
      <c r="C60" s="7" t="s">
        <v>1163</v>
      </c>
      <c r="D60" s="7">
        <v>2022</v>
      </c>
      <c r="E60" s="7" t="s">
        <v>344</v>
      </c>
      <c r="F60" s="7">
        <v>2019</v>
      </c>
      <c r="G60" s="7">
        <v>12</v>
      </c>
      <c r="H60" s="7">
        <v>2021</v>
      </c>
      <c r="I60" s="7">
        <v>12</v>
      </c>
      <c r="J60" s="7" t="s">
        <v>80</v>
      </c>
      <c r="K60" s="7" t="s">
        <v>363</v>
      </c>
      <c r="L60" s="7" t="s">
        <v>244</v>
      </c>
      <c r="M60" s="7" t="s">
        <v>33</v>
      </c>
      <c r="N60" s="7" t="s">
        <v>34</v>
      </c>
      <c r="O60" s="7" t="s">
        <v>34</v>
      </c>
      <c r="P60" s="7" t="s">
        <v>600</v>
      </c>
      <c r="Q60" s="7" t="s">
        <v>35</v>
      </c>
      <c r="R60" s="7" t="s">
        <v>35</v>
      </c>
      <c r="S60" s="7" t="s">
        <v>346</v>
      </c>
      <c r="T60" s="7">
        <v>0.41608835360000002</v>
      </c>
      <c r="U60" s="7">
        <v>74066</v>
      </c>
      <c r="V60" s="7">
        <v>0.42054250050000003</v>
      </c>
      <c r="W60" s="7">
        <v>28682</v>
      </c>
      <c r="X60" s="7" t="s">
        <v>80</v>
      </c>
      <c r="Y60" s="3">
        <v>0.8</v>
      </c>
      <c r="Z60" s="4" t="s">
        <v>1129</v>
      </c>
      <c r="AA60" s="137" t="s">
        <v>80</v>
      </c>
      <c r="AB60" s="7" t="s">
        <v>80</v>
      </c>
      <c r="AC60" s="7" t="s">
        <v>71</v>
      </c>
      <c r="AD60" s="7" t="s">
        <v>364</v>
      </c>
      <c r="AE60" s="7" t="s">
        <v>58</v>
      </c>
      <c r="AF60" s="7" t="s">
        <v>58</v>
      </c>
      <c r="AG60" s="7" t="s">
        <v>58</v>
      </c>
      <c r="AH60" s="7">
        <v>1.01E-2</v>
      </c>
      <c r="AI60" s="7" t="s">
        <v>80</v>
      </c>
      <c r="AJ60" s="7">
        <v>1.01E-2</v>
      </c>
      <c r="AK60" s="7">
        <v>6.0000000000000002E-5</v>
      </c>
      <c r="AL60" s="7"/>
      <c r="AM60" s="7">
        <f>-0.0051- 0.0253</f>
        <v>-3.04E-2</v>
      </c>
      <c r="AN60" s="19">
        <v>7.7459666919999998E-3</v>
      </c>
      <c r="AO60" s="7">
        <v>6.0000000000000002E-5</v>
      </c>
      <c r="AP60" s="7">
        <v>102748</v>
      </c>
      <c r="AQ60" s="11">
        <v>44620</v>
      </c>
      <c r="AR60" s="7"/>
      <c r="AS60" s="7"/>
      <c r="AT60" s="7"/>
      <c r="AU60" s="7" t="s">
        <v>44</v>
      </c>
      <c r="AV60" s="7" t="s">
        <v>44</v>
      </c>
      <c r="AW60" s="7" t="s">
        <v>44</v>
      </c>
    </row>
    <row r="61" spans="1:49" ht="15.75" customHeight="1" thickBot="1">
      <c r="A61" s="7">
        <v>72</v>
      </c>
      <c r="B61" s="7">
        <v>28</v>
      </c>
      <c r="C61" s="7" t="s">
        <v>1163</v>
      </c>
      <c r="D61" s="7">
        <v>2022</v>
      </c>
      <c r="E61" s="7" t="s">
        <v>344</v>
      </c>
      <c r="F61" s="7">
        <v>2019</v>
      </c>
      <c r="G61" s="7">
        <v>12</v>
      </c>
      <c r="H61" s="7">
        <v>2021</v>
      </c>
      <c r="I61" s="7">
        <v>12</v>
      </c>
      <c r="J61" s="7" t="s">
        <v>80</v>
      </c>
      <c r="K61" s="7" t="s">
        <v>365</v>
      </c>
      <c r="L61" s="7" t="s">
        <v>599</v>
      </c>
      <c r="M61" s="7" t="s">
        <v>33</v>
      </c>
      <c r="N61" s="7" t="s">
        <v>34</v>
      </c>
      <c r="O61" s="7" t="s">
        <v>34</v>
      </c>
      <c r="P61" s="7" t="s">
        <v>600</v>
      </c>
      <c r="Q61" s="7" t="s">
        <v>35</v>
      </c>
      <c r="R61" s="7" t="s">
        <v>35</v>
      </c>
      <c r="S61" s="7" t="s">
        <v>346</v>
      </c>
      <c r="T61" s="7">
        <v>0.1913990247</v>
      </c>
      <c r="U61" s="7">
        <v>23788</v>
      </c>
      <c r="V61" s="7">
        <v>0.19768379389999999</v>
      </c>
      <c r="W61" s="7">
        <v>13643</v>
      </c>
      <c r="X61" s="7" t="s">
        <v>80</v>
      </c>
      <c r="Y61" s="3">
        <v>0.8</v>
      </c>
      <c r="Z61" s="4" t="s">
        <v>1129</v>
      </c>
      <c r="AA61" s="137" t="s">
        <v>80</v>
      </c>
      <c r="AB61" s="7" t="s">
        <v>80</v>
      </c>
      <c r="AC61" s="7" t="s">
        <v>71</v>
      </c>
      <c r="AD61" s="7" t="s">
        <v>366</v>
      </c>
      <c r="AE61" s="7" t="s">
        <v>58</v>
      </c>
      <c r="AF61" s="7" t="s">
        <v>58</v>
      </c>
      <c r="AG61" s="7" t="s">
        <v>58</v>
      </c>
      <c r="AH61" s="7">
        <v>2.2100000000000002E-2</v>
      </c>
      <c r="AI61" s="7" t="s">
        <v>80</v>
      </c>
      <c r="AJ61" s="7">
        <v>2.2100000000000002E-2</v>
      </c>
      <c r="AK61" s="7">
        <v>2.23E-4</v>
      </c>
      <c r="AL61" s="7"/>
      <c r="AM61" s="7">
        <f>-0.0072-0.0514</f>
        <v>-5.8599999999999999E-2</v>
      </c>
      <c r="AN61" s="19">
        <v>1.493318452E-2</v>
      </c>
      <c r="AO61" s="7">
        <v>2.23E-4</v>
      </c>
      <c r="AP61" s="7">
        <v>37431</v>
      </c>
      <c r="AQ61" s="11">
        <v>44620</v>
      </c>
      <c r="AR61" s="7"/>
      <c r="AS61" s="7"/>
      <c r="AT61" s="7"/>
      <c r="AU61" s="7" t="s">
        <v>44</v>
      </c>
      <c r="AV61" s="7" t="s">
        <v>44</v>
      </c>
      <c r="AW61" s="7" t="s">
        <v>44</v>
      </c>
    </row>
    <row r="62" spans="1:49" ht="15.75" customHeight="1" thickBot="1">
      <c r="A62" s="7">
        <v>73</v>
      </c>
      <c r="B62" s="7">
        <v>28</v>
      </c>
      <c r="C62" s="7" t="s">
        <v>1163</v>
      </c>
      <c r="D62" s="7">
        <v>2022</v>
      </c>
      <c r="E62" s="7" t="s">
        <v>344</v>
      </c>
      <c r="F62" s="7">
        <v>2019</v>
      </c>
      <c r="G62" s="7">
        <v>12</v>
      </c>
      <c r="H62" s="7">
        <v>2021</v>
      </c>
      <c r="I62" s="7">
        <v>12</v>
      </c>
      <c r="J62" s="7" t="s">
        <v>80</v>
      </c>
      <c r="K62" s="7" t="s">
        <v>367</v>
      </c>
      <c r="L62" s="7" t="s">
        <v>244</v>
      </c>
      <c r="M62" s="7" t="s">
        <v>33</v>
      </c>
      <c r="N62" s="7" t="s">
        <v>34</v>
      </c>
      <c r="O62" s="7" t="s">
        <v>34</v>
      </c>
      <c r="P62" s="7" t="s">
        <v>600</v>
      </c>
      <c r="Q62" s="7" t="s">
        <v>35</v>
      </c>
      <c r="R62" s="7" t="s">
        <v>35</v>
      </c>
      <c r="S62" s="7" t="s">
        <v>346</v>
      </c>
      <c r="T62" s="7">
        <v>0.36889460149999997</v>
      </c>
      <c r="U62" s="7">
        <v>49014</v>
      </c>
      <c r="V62" s="7">
        <v>0.36954737139999999</v>
      </c>
      <c r="W62" s="7">
        <v>88925</v>
      </c>
      <c r="X62" s="7" t="s">
        <v>80</v>
      </c>
      <c r="Y62" s="3">
        <v>0.8</v>
      </c>
      <c r="Z62" s="4" t="s">
        <v>1129</v>
      </c>
      <c r="AA62" s="137" t="s">
        <v>80</v>
      </c>
      <c r="AB62" s="7" t="s">
        <v>80</v>
      </c>
      <c r="AC62" s="7" t="s">
        <v>71</v>
      </c>
      <c r="AD62" s="7" t="s">
        <v>368</v>
      </c>
      <c r="AE62" s="7" t="s">
        <v>58</v>
      </c>
      <c r="AF62" s="7" t="s">
        <v>58</v>
      </c>
      <c r="AG62" s="7" t="s">
        <v>58</v>
      </c>
      <c r="AH62" s="7">
        <v>-1.5E-3</v>
      </c>
      <c r="AI62" s="7" t="s">
        <v>80</v>
      </c>
      <c r="AJ62" s="7">
        <v>-1.5E-3</v>
      </c>
      <c r="AK62" s="7">
        <v>4.1E-5</v>
      </c>
      <c r="AL62" s="7"/>
      <c r="AM62" s="7">
        <f>-0.0141-0.0111</f>
        <v>-2.52E-2</v>
      </c>
      <c r="AN62" s="19">
        <v>6.403124237E-3</v>
      </c>
      <c r="AO62" s="7">
        <v>4.1E-5</v>
      </c>
      <c r="AP62" s="7">
        <v>137939</v>
      </c>
      <c r="AQ62" s="11">
        <v>44620</v>
      </c>
      <c r="AR62" s="7"/>
      <c r="AS62" s="7"/>
      <c r="AT62" s="7"/>
      <c r="AU62" s="7" t="s">
        <v>44</v>
      </c>
      <c r="AV62" s="7" t="s">
        <v>44</v>
      </c>
      <c r="AW62" s="7" t="s">
        <v>44</v>
      </c>
    </row>
    <row r="63" spans="1:49" ht="15.75" customHeight="1" thickBot="1">
      <c r="A63" s="7">
        <v>74</v>
      </c>
      <c r="B63" s="7">
        <v>28</v>
      </c>
      <c r="C63" s="7" t="s">
        <v>1163</v>
      </c>
      <c r="D63" s="7">
        <v>2022</v>
      </c>
      <c r="E63" s="7" t="s">
        <v>344</v>
      </c>
      <c r="F63" s="7">
        <v>2019</v>
      </c>
      <c r="G63" s="7">
        <v>12</v>
      </c>
      <c r="H63" s="7">
        <v>2021</v>
      </c>
      <c r="I63" s="7">
        <v>12</v>
      </c>
      <c r="J63" s="7" t="s">
        <v>80</v>
      </c>
      <c r="K63" s="7" t="s">
        <v>176</v>
      </c>
      <c r="L63" s="7" t="s">
        <v>176</v>
      </c>
      <c r="M63" s="7" t="s">
        <v>33</v>
      </c>
      <c r="N63" s="7" t="s">
        <v>34</v>
      </c>
      <c r="O63" s="7" t="s">
        <v>34</v>
      </c>
      <c r="P63" s="7" t="s">
        <v>600</v>
      </c>
      <c r="Q63" s="7" t="s">
        <v>35</v>
      </c>
      <c r="R63" s="7" t="s">
        <v>35</v>
      </c>
      <c r="S63" s="7" t="s">
        <v>346</v>
      </c>
      <c r="T63" s="7">
        <v>0.43923945990000002</v>
      </c>
      <c r="U63" s="7">
        <v>7258</v>
      </c>
      <c r="V63" s="7">
        <v>0.4595317726</v>
      </c>
      <c r="W63" s="7">
        <v>2990</v>
      </c>
      <c r="X63" s="7" t="s">
        <v>80</v>
      </c>
      <c r="Y63" s="3">
        <v>0.8</v>
      </c>
      <c r="Z63" s="4" t="s">
        <v>1129</v>
      </c>
      <c r="AA63" s="137" t="s">
        <v>80</v>
      </c>
      <c r="AB63" s="7" t="s">
        <v>80</v>
      </c>
      <c r="AC63" s="7" t="s">
        <v>71</v>
      </c>
      <c r="AD63" s="7" t="s">
        <v>369</v>
      </c>
      <c r="AE63" s="7" t="s">
        <v>58</v>
      </c>
      <c r="AF63" s="7" t="s">
        <v>58</v>
      </c>
      <c r="AG63" s="7" t="s">
        <v>58</v>
      </c>
      <c r="AH63" s="7">
        <v>-4.5199999999999997E-2</v>
      </c>
      <c r="AI63" s="7" t="s">
        <v>80</v>
      </c>
      <c r="AJ63" s="7">
        <v>-4.5199999999999997E-2</v>
      </c>
      <c r="AK63" s="7">
        <v>5.7899999999999998E-4</v>
      </c>
      <c r="AL63" s="7"/>
      <c r="AM63" s="7">
        <f>-0.0924- -0.002</f>
        <v>-9.0399999999999994E-2</v>
      </c>
      <c r="AN63" s="19">
        <v>2.4062418830000001E-2</v>
      </c>
      <c r="AO63" s="7">
        <v>5.7899999999999998E-4</v>
      </c>
      <c r="AP63" s="7">
        <v>10248</v>
      </c>
      <c r="AQ63" s="11">
        <v>44620</v>
      </c>
      <c r="AR63" s="7"/>
      <c r="AS63" s="7"/>
      <c r="AT63" s="7"/>
      <c r="AU63" s="7" t="s">
        <v>44</v>
      </c>
      <c r="AV63" s="7" t="s">
        <v>44</v>
      </c>
      <c r="AW63" s="7" t="s">
        <v>44</v>
      </c>
    </row>
    <row r="64" spans="1:49" ht="15.75" customHeight="1" thickBot="1">
      <c r="A64" s="7">
        <v>75</v>
      </c>
      <c r="B64" s="7">
        <v>28</v>
      </c>
      <c r="C64" s="7" t="s">
        <v>1163</v>
      </c>
      <c r="D64" s="7">
        <v>2022</v>
      </c>
      <c r="E64" s="7" t="s">
        <v>344</v>
      </c>
      <c r="F64" s="7">
        <v>2019</v>
      </c>
      <c r="G64" s="7">
        <v>12</v>
      </c>
      <c r="H64" s="7">
        <v>2021</v>
      </c>
      <c r="I64" s="7">
        <v>12</v>
      </c>
      <c r="J64" s="7" t="s">
        <v>80</v>
      </c>
      <c r="K64" s="7" t="s">
        <v>370</v>
      </c>
      <c r="L64" s="7" t="s">
        <v>67</v>
      </c>
      <c r="M64" s="7" t="s">
        <v>33</v>
      </c>
      <c r="N64" s="7" t="s">
        <v>34</v>
      </c>
      <c r="O64" s="7" t="s">
        <v>34</v>
      </c>
      <c r="P64" s="7" t="s">
        <v>600</v>
      </c>
      <c r="Q64" s="7" t="s">
        <v>35</v>
      </c>
      <c r="R64" s="7" t="s">
        <v>35</v>
      </c>
      <c r="S64" s="7" t="s">
        <v>346</v>
      </c>
      <c r="T64" s="7">
        <v>0.37457537260000001</v>
      </c>
      <c r="U64" s="7">
        <v>50927</v>
      </c>
      <c r="V64" s="7">
        <v>0.37949848749999998</v>
      </c>
      <c r="W64" s="7">
        <v>35373</v>
      </c>
      <c r="X64" s="7" t="s">
        <v>80</v>
      </c>
      <c r="Y64" s="3">
        <v>0.8</v>
      </c>
      <c r="Z64" s="4" t="s">
        <v>1129</v>
      </c>
      <c r="AA64" s="137" t="s">
        <v>80</v>
      </c>
      <c r="AB64" s="7" t="s">
        <v>80</v>
      </c>
      <c r="AC64" s="7" t="s">
        <v>71</v>
      </c>
      <c r="AD64" s="7" t="s">
        <v>371</v>
      </c>
      <c r="AE64" s="7" t="s">
        <v>58</v>
      </c>
      <c r="AF64" s="7" t="s">
        <v>58</v>
      </c>
      <c r="AG64" s="7" t="s">
        <v>58</v>
      </c>
      <c r="AH64" s="128">
        <v>1.1599999999999999E-2</v>
      </c>
      <c r="AI64" s="7" t="s">
        <v>80</v>
      </c>
      <c r="AJ64" s="128">
        <v>1.1599999999999999E-2</v>
      </c>
      <c r="AK64" s="128">
        <v>6.2000000000000003E-5</v>
      </c>
      <c r="AL64" s="132"/>
      <c r="AM64" s="134">
        <f>-0.0039-0.027</f>
        <v>-3.09E-2</v>
      </c>
      <c r="AN64" s="19">
        <v>7.8740078739999997E-3</v>
      </c>
      <c r="AO64" s="128">
        <v>6.2000000000000003E-5</v>
      </c>
      <c r="AP64" s="7">
        <v>86300</v>
      </c>
      <c r="AQ64" s="11">
        <v>44620</v>
      </c>
      <c r="AR64" s="7"/>
      <c r="AS64" s="7"/>
      <c r="AT64" s="7"/>
      <c r="AU64" s="7" t="s">
        <v>44</v>
      </c>
      <c r="AV64" s="7" t="s">
        <v>44</v>
      </c>
      <c r="AW64" s="7" t="s">
        <v>44</v>
      </c>
    </row>
    <row r="65" spans="1:49" ht="15.75" customHeight="1" thickBot="1">
      <c r="A65" s="7">
        <v>76</v>
      </c>
      <c r="B65" s="7">
        <v>28</v>
      </c>
      <c r="C65" s="7" t="s">
        <v>1163</v>
      </c>
      <c r="D65" s="7">
        <v>2022</v>
      </c>
      <c r="E65" s="7" t="s">
        <v>344</v>
      </c>
      <c r="F65" s="7">
        <v>2019</v>
      </c>
      <c r="G65" s="7">
        <v>12</v>
      </c>
      <c r="H65" s="7">
        <v>2021</v>
      </c>
      <c r="I65" s="7">
        <v>12</v>
      </c>
      <c r="J65" s="7" t="s">
        <v>80</v>
      </c>
      <c r="K65" s="7" t="s">
        <v>372</v>
      </c>
      <c r="L65" s="7" t="s">
        <v>176</v>
      </c>
      <c r="M65" s="7" t="s">
        <v>33</v>
      </c>
      <c r="N65" s="7" t="s">
        <v>34</v>
      </c>
      <c r="O65" s="7" t="s">
        <v>34</v>
      </c>
      <c r="P65" s="7" t="s">
        <v>600</v>
      </c>
      <c r="Q65" s="7" t="s">
        <v>35</v>
      </c>
      <c r="R65" s="7" t="s">
        <v>35</v>
      </c>
      <c r="S65" s="7" t="s">
        <v>346</v>
      </c>
      <c r="T65" s="7">
        <v>0.26620297189999997</v>
      </c>
      <c r="U65" s="7">
        <v>6326</v>
      </c>
      <c r="V65" s="7">
        <v>0.2410106383</v>
      </c>
      <c r="W65" s="7">
        <v>18800</v>
      </c>
      <c r="X65" s="7" t="s">
        <v>80</v>
      </c>
      <c r="Y65" s="3">
        <v>0.8</v>
      </c>
      <c r="Z65" s="4" t="s">
        <v>1129</v>
      </c>
      <c r="AA65" s="137" t="s">
        <v>80</v>
      </c>
      <c r="AB65" s="7" t="s">
        <v>80</v>
      </c>
      <c r="AC65" s="7" t="s">
        <v>71</v>
      </c>
      <c r="AD65" s="7" t="s">
        <v>373</v>
      </c>
      <c r="AE65" s="7" t="s">
        <v>58</v>
      </c>
      <c r="AF65" s="7" t="s">
        <v>58</v>
      </c>
      <c r="AG65" s="7" t="s">
        <v>58</v>
      </c>
      <c r="AH65" s="7">
        <v>-7.3400000000000007E-2</v>
      </c>
      <c r="AI65" s="7" t="s">
        <v>80</v>
      </c>
      <c r="AJ65" s="7">
        <v>-7.3400000000000007E-2</v>
      </c>
      <c r="AK65" s="7">
        <v>3.3399999999999999E-4</v>
      </c>
      <c r="AL65" s="7"/>
      <c r="AM65" s="7">
        <f>-0.1093- -0.0376</f>
        <v>-7.1699999999999986E-2</v>
      </c>
      <c r="AN65" s="19">
        <v>1.8275666879999999E-2</v>
      </c>
      <c r="AO65" s="7">
        <v>3.3399999999999999E-4</v>
      </c>
      <c r="AP65" s="7">
        <v>25126</v>
      </c>
      <c r="AQ65" s="11">
        <v>44620</v>
      </c>
      <c r="AR65" s="7"/>
      <c r="AS65" s="7"/>
      <c r="AT65" s="7"/>
      <c r="AU65" s="7" t="s">
        <v>44</v>
      </c>
      <c r="AV65" s="7" t="s">
        <v>44</v>
      </c>
      <c r="AW65" s="7" t="s">
        <v>44</v>
      </c>
    </row>
    <row r="66" spans="1:49" ht="15.75" customHeight="1" thickBot="1">
      <c r="A66" s="7">
        <v>77</v>
      </c>
      <c r="B66" s="7">
        <v>28</v>
      </c>
      <c r="C66" s="7" t="s">
        <v>1163</v>
      </c>
      <c r="D66" s="7">
        <v>2022</v>
      </c>
      <c r="E66" s="7" t="s">
        <v>344</v>
      </c>
      <c r="F66" s="7">
        <v>2019</v>
      </c>
      <c r="G66" s="7">
        <v>12</v>
      </c>
      <c r="H66" s="7">
        <v>2021</v>
      </c>
      <c r="I66" s="7">
        <v>12</v>
      </c>
      <c r="J66" s="7" t="s">
        <v>80</v>
      </c>
      <c r="K66" s="7" t="s">
        <v>374</v>
      </c>
      <c r="L66" s="7" t="s">
        <v>599</v>
      </c>
      <c r="M66" s="7" t="s">
        <v>33</v>
      </c>
      <c r="N66" s="7" t="s">
        <v>34</v>
      </c>
      <c r="O66" s="7" t="s">
        <v>34</v>
      </c>
      <c r="P66" s="7" t="s">
        <v>600</v>
      </c>
      <c r="Q66" s="7" t="s">
        <v>35</v>
      </c>
      <c r="R66" s="7" t="s">
        <v>35</v>
      </c>
      <c r="S66" s="7" t="s">
        <v>346</v>
      </c>
      <c r="T66" s="7">
        <v>0.37559414099999999</v>
      </c>
      <c r="U66" s="7">
        <v>30927</v>
      </c>
      <c r="V66" s="7">
        <v>0.37077938560000001</v>
      </c>
      <c r="W66" s="7">
        <v>15756</v>
      </c>
      <c r="X66" s="7" t="s">
        <v>80</v>
      </c>
      <c r="Y66" s="3">
        <v>0.8</v>
      </c>
      <c r="Z66" s="4" t="s">
        <v>1129</v>
      </c>
      <c r="AA66" s="137" t="s">
        <v>80</v>
      </c>
      <c r="AB66" s="7" t="s">
        <v>80</v>
      </c>
      <c r="AC66" s="7" t="s">
        <v>71</v>
      </c>
      <c r="AD66" s="7" t="s">
        <v>375</v>
      </c>
      <c r="AE66" s="7" t="s">
        <v>58</v>
      </c>
      <c r="AF66" s="7" t="s">
        <v>58</v>
      </c>
      <c r="AG66" s="7" t="s">
        <v>58</v>
      </c>
      <c r="AH66" s="7">
        <v>-1.1299999999999999E-2</v>
      </c>
      <c r="AI66" s="7" t="s">
        <v>80</v>
      </c>
      <c r="AJ66" s="7">
        <v>-1.1299999999999999E-2</v>
      </c>
      <c r="AK66" s="7">
        <v>1.25E-4</v>
      </c>
      <c r="AL66" s="7"/>
      <c r="AM66" s="7">
        <f>-0.0332- 0.0105</f>
        <v>-4.3700000000000003E-2</v>
      </c>
      <c r="AN66" s="19">
        <v>1.118033989E-2</v>
      </c>
      <c r="AO66" s="7">
        <v>1.25E-4</v>
      </c>
      <c r="AP66" s="7">
        <v>46683</v>
      </c>
      <c r="AQ66" s="11">
        <v>44620</v>
      </c>
      <c r="AR66" s="7"/>
      <c r="AS66" s="7"/>
      <c r="AT66" s="7"/>
      <c r="AU66" s="7" t="s">
        <v>44</v>
      </c>
      <c r="AV66" s="7" t="s">
        <v>44</v>
      </c>
      <c r="AW66" s="7" t="s">
        <v>44</v>
      </c>
    </row>
    <row r="67" spans="1:49" ht="15.75" customHeight="1" thickBot="1">
      <c r="A67" s="7">
        <v>78</v>
      </c>
      <c r="B67" s="7">
        <v>28</v>
      </c>
      <c r="C67" s="7" t="s">
        <v>1163</v>
      </c>
      <c r="D67" s="7">
        <v>2022</v>
      </c>
      <c r="E67" s="7" t="s">
        <v>344</v>
      </c>
      <c r="F67" s="7">
        <v>2019</v>
      </c>
      <c r="G67" s="7">
        <v>12</v>
      </c>
      <c r="H67" s="7">
        <v>2021</v>
      </c>
      <c r="I67" s="7">
        <v>12</v>
      </c>
      <c r="J67" s="7" t="s">
        <v>80</v>
      </c>
      <c r="K67" s="7" t="s">
        <v>376</v>
      </c>
      <c r="L67" s="7" t="s">
        <v>599</v>
      </c>
      <c r="M67" s="7" t="s">
        <v>33</v>
      </c>
      <c r="N67" s="7" t="s">
        <v>34</v>
      </c>
      <c r="O67" s="7" t="s">
        <v>34</v>
      </c>
      <c r="P67" s="7" t="s">
        <v>600</v>
      </c>
      <c r="Q67" s="7" t="s">
        <v>35</v>
      </c>
      <c r="R67" s="7" t="s">
        <v>35</v>
      </c>
      <c r="S67" s="7" t="s">
        <v>346</v>
      </c>
      <c r="T67" s="7">
        <v>0.1929692875</v>
      </c>
      <c r="U67" s="7">
        <v>15987</v>
      </c>
      <c r="V67" s="7">
        <v>0.2223273415</v>
      </c>
      <c r="W67" s="7">
        <v>3171</v>
      </c>
      <c r="X67" s="7" t="s">
        <v>80</v>
      </c>
      <c r="Y67" s="3">
        <v>0.8</v>
      </c>
      <c r="Z67" s="4" t="s">
        <v>1129</v>
      </c>
      <c r="AA67" s="137" t="s">
        <v>80</v>
      </c>
      <c r="AB67" s="7" t="s">
        <v>80</v>
      </c>
      <c r="AC67" s="7" t="s">
        <v>71</v>
      </c>
      <c r="AD67" s="7" t="s">
        <v>377</v>
      </c>
      <c r="AE67" s="7" t="s">
        <v>58</v>
      </c>
      <c r="AF67" s="7" t="s">
        <v>58</v>
      </c>
      <c r="AG67" s="7" t="s">
        <v>58</v>
      </c>
      <c r="AH67" s="7">
        <v>9.8500000000000004E-2</v>
      </c>
      <c r="AI67" s="7" t="s">
        <v>80</v>
      </c>
      <c r="AJ67" s="7">
        <v>9.8500000000000004E-2</v>
      </c>
      <c r="AK67" s="7">
        <v>6.7699999999999998E-4</v>
      </c>
      <c r="AL67" s="7"/>
      <c r="AM67" s="7" t="s">
        <v>378</v>
      </c>
      <c r="AN67" s="19">
        <v>2.601922366E-2</v>
      </c>
      <c r="AO67" s="7">
        <v>6.7699999999999998E-4</v>
      </c>
      <c r="AP67" s="7">
        <v>19158</v>
      </c>
      <c r="AQ67" s="11">
        <v>44620</v>
      </c>
      <c r="AR67" s="7"/>
      <c r="AS67" s="7"/>
      <c r="AT67" s="7"/>
      <c r="AU67" s="7" t="s">
        <v>44</v>
      </c>
      <c r="AV67" s="7" t="s">
        <v>44</v>
      </c>
      <c r="AW67" s="7" t="s">
        <v>44</v>
      </c>
    </row>
    <row r="68" spans="1:49" ht="15.75" customHeight="1" thickBot="1">
      <c r="A68" s="7">
        <v>79</v>
      </c>
      <c r="B68" s="7">
        <v>28</v>
      </c>
      <c r="C68" s="7" t="s">
        <v>1163</v>
      </c>
      <c r="D68" s="7">
        <v>2022</v>
      </c>
      <c r="E68" s="7" t="s">
        <v>344</v>
      </c>
      <c r="F68" s="7">
        <v>2019</v>
      </c>
      <c r="G68" s="7">
        <v>12</v>
      </c>
      <c r="H68" s="7">
        <v>2021</v>
      </c>
      <c r="I68" s="7">
        <v>12</v>
      </c>
      <c r="J68" s="7" t="s">
        <v>80</v>
      </c>
      <c r="K68" s="7" t="s">
        <v>379</v>
      </c>
      <c r="L68" s="7" t="s">
        <v>176</v>
      </c>
      <c r="M68" s="7" t="s">
        <v>33</v>
      </c>
      <c r="N68" s="7" t="s">
        <v>34</v>
      </c>
      <c r="O68" s="7" t="s">
        <v>34</v>
      </c>
      <c r="P68" s="7" t="s">
        <v>600</v>
      </c>
      <c r="Q68" s="7" t="s">
        <v>35</v>
      </c>
      <c r="R68" s="7" t="s">
        <v>35</v>
      </c>
      <c r="S68" s="7" t="s">
        <v>346</v>
      </c>
      <c r="T68" s="7">
        <v>0.26600441499999999</v>
      </c>
      <c r="U68" s="7">
        <v>6342</v>
      </c>
      <c r="V68" s="7">
        <v>0.2803869558</v>
      </c>
      <c r="W68" s="7">
        <v>6409</v>
      </c>
      <c r="X68" s="7" t="s">
        <v>80</v>
      </c>
      <c r="Y68" s="3">
        <v>0.8</v>
      </c>
      <c r="Z68" s="4" t="s">
        <v>1129</v>
      </c>
      <c r="AA68" s="137" t="s">
        <v>80</v>
      </c>
      <c r="AB68" s="7" t="s">
        <v>80</v>
      </c>
      <c r="AC68" s="7" t="s">
        <v>71</v>
      </c>
      <c r="AD68" s="7" t="s">
        <v>380</v>
      </c>
      <c r="AE68" s="7" t="s">
        <v>58</v>
      </c>
      <c r="AF68" s="7" t="s">
        <v>58</v>
      </c>
      <c r="AG68" s="7" t="s">
        <v>58</v>
      </c>
      <c r="AH68" s="7">
        <v>3.9899999999999998E-2</v>
      </c>
      <c r="AI68" s="7" t="s">
        <v>80</v>
      </c>
      <c r="AJ68" s="7">
        <v>3.9899999999999998E-2</v>
      </c>
      <c r="AK68" s="7">
        <v>4.8099999999999998E-4</v>
      </c>
      <c r="AL68" s="7"/>
      <c r="AM68" s="7">
        <f>-0.003-0.0829</f>
        <v>-8.5900000000000004E-2</v>
      </c>
      <c r="AN68" s="19">
        <v>2.1931712200000002E-2</v>
      </c>
      <c r="AO68" s="7">
        <v>4.8099999999999998E-4</v>
      </c>
      <c r="AP68" s="7">
        <v>12751</v>
      </c>
      <c r="AQ68" s="11">
        <v>44620</v>
      </c>
      <c r="AR68" s="7"/>
      <c r="AS68" s="7"/>
      <c r="AT68" s="7"/>
      <c r="AU68" s="7" t="s">
        <v>44</v>
      </c>
      <c r="AV68" s="7" t="s">
        <v>44</v>
      </c>
      <c r="AW68" s="7" t="s">
        <v>44</v>
      </c>
    </row>
    <row r="69" spans="1:49" ht="15.75" customHeight="1" thickBot="1">
      <c r="A69" s="7">
        <v>80</v>
      </c>
      <c r="B69" s="7">
        <v>28</v>
      </c>
      <c r="C69" s="7" t="s">
        <v>1163</v>
      </c>
      <c r="D69" s="7">
        <v>2022</v>
      </c>
      <c r="E69" s="7" t="s">
        <v>344</v>
      </c>
      <c r="F69" s="7">
        <v>2019</v>
      </c>
      <c r="G69" s="7">
        <v>12</v>
      </c>
      <c r="H69" s="7">
        <v>2021</v>
      </c>
      <c r="I69" s="7">
        <v>12</v>
      </c>
      <c r="J69" s="7" t="s">
        <v>80</v>
      </c>
      <c r="K69" s="7" t="s">
        <v>381</v>
      </c>
      <c r="L69" s="7" t="s">
        <v>599</v>
      </c>
      <c r="M69" s="7" t="s">
        <v>33</v>
      </c>
      <c r="N69" s="7" t="s">
        <v>34</v>
      </c>
      <c r="O69" s="7" t="s">
        <v>34</v>
      </c>
      <c r="P69" s="7" t="s">
        <v>600</v>
      </c>
      <c r="Q69" s="7" t="s">
        <v>35</v>
      </c>
      <c r="R69" s="7" t="s">
        <v>35</v>
      </c>
      <c r="S69" s="7" t="s">
        <v>346</v>
      </c>
      <c r="T69" s="7">
        <v>0.16484475239999999</v>
      </c>
      <c r="U69" s="7">
        <v>19485</v>
      </c>
      <c r="V69" s="7">
        <v>0.18880261540000001</v>
      </c>
      <c r="W69" s="7">
        <v>2447</v>
      </c>
      <c r="X69" s="7" t="s">
        <v>80</v>
      </c>
      <c r="Y69" s="3">
        <v>0.8</v>
      </c>
      <c r="Z69" s="4" t="s">
        <v>1129</v>
      </c>
      <c r="AA69" s="137" t="s">
        <v>80</v>
      </c>
      <c r="AB69" s="7" t="s">
        <v>80</v>
      </c>
      <c r="AC69" s="7" t="s">
        <v>71</v>
      </c>
      <c r="AD69" s="7" t="s">
        <v>382</v>
      </c>
      <c r="AE69" s="7" t="s">
        <v>58</v>
      </c>
      <c r="AF69" s="7" t="s">
        <v>58</v>
      </c>
      <c r="AG69" s="7" t="s">
        <v>58</v>
      </c>
      <c r="AH69" s="7">
        <v>9.0899999999999995E-2</v>
      </c>
      <c r="AI69" s="7" t="s">
        <v>80</v>
      </c>
      <c r="AJ69" s="7">
        <v>9.0899999999999995E-2</v>
      </c>
      <c r="AK69" s="7">
        <v>9.2400000000000002E-4</v>
      </c>
      <c r="AL69" s="7"/>
      <c r="AM69" s="7" t="s">
        <v>383</v>
      </c>
      <c r="AN69" s="19">
        <v>3.0397368309999999E-2</v>
      </c>
      <c r="AO69" s="7">
        <v>9.2400000000000002E-4</v>
      </c>
      <c r="AP69" s="7">
        <v>21932</v>
      </c>
      <c r="AQ69" s="11">
        <v>44620</v>
      </c>
      <c r="AR69" s="7"/>
      <c r="AS69" s="7"/>
      <c r="AT69" s="7"/>
      <c r="AU69" s="7" t="s">
        <v>44</v>
      </c>
      <c r="AV69" s="7" t="s">
        <v>44</v>
      </c>
      <c r="AW69" s="7" t="s">
        <v>44</v>
      </c>
    </row>
    <row r="70" spans="1:49" ht="15.75" customHeight="1" thickBot="1">
      <c r="A70" s="7">
        <v>81</v>
      </c>
      <c r="B70" s="7">
        <v>28</v>
      </c>
      <c r="C70" s="7" t="s">
        <v>1163</v>
      </c>
      <c r="D70" s="7">
        <v>2022</v>
      </c>
      <c r="E70" s="7" t="s">
        <v>344</v>
      </c>
      <c r="F70" s="7">
        <v>2019</v>
      </c>
      <c r="G70" s="7">
        <v>12</v>
      </c>
      <c r="H70" s="7">
        <v>2021</v>
      </c>
      <c r="I70" s="7">
        <v>12</v>
      </c>
      <c r="J70" s="7" t="s">
        <v>80</v>
      </c>
      <c r="K70" s="7" t="s">
        <v>384</v>
      </c>
      <c r="L70" s="7" t="s">
        <v>599</v>
      </c>
      <c r="M70" s="7" t="s">
        <v>33</v>
      </c>
      <c r="N70" s="7" t="s">
        <v>34</v>
      </c>
      <c r="O70" s="7" t="s">
        <v>34</v>
      </c>
      <c r="P70" s="7" t="s">
        <v>600</v>
      </c>
      <c r="Q70" s="7" t="s">
        <v>35</v>
      </c>
      <c r="R70" s="7" t="s">
        <v>35</v>
      </c>
      <c r="S70" s="7" t="s">
        <v>346</v>
      </c>
      <c r="T70" s="7">
        <v>0.25783289819999999</v>
      </c>
      <c r="U70" s="7">
        <v>1532</v>
      </c>
      <c r="V70" s="7">
        <v>0.30799735620000002</v>
      </c>
      <c r="W70" s="7">
        <v>3026</v>
      </c>
      <c r="X70" s="7" t="s">
        <v>80</v>
      </c>
      <c r="Y70" s="3">
        <v>0.8</v>
      </c>
      <c r="Z70" s="4" t="s">
        <v>1129</v>
      </c>
      <c r="AA70" s="137" t="s">
        <v>80</v>
      </c>
      <c r="AB70" s="7" t="s">
        <v>80</v>
      </c>
      <c r="AC70" s="7" t="s">
        <v>71</v>
      </c>
      <c r="AD70" s="7" t="s">
        <v>385</v>
      </c>
      <c r="AE70" s="7" t="s">
        <v>58</v>
      </c>
      <c r="AF70" s="7" t="s">
        <v>58</v>
      </c>
      <c r="AG70" s="7" t="s">
        <v>58</v>
      </c>
      <c r="AH70" s="7">
        <v>0.1366</v>
      </c>
      <c r="AI70" s="7" t="s">
        <v>80</v>
      </c>
      <c r="AJ70" s="7">
        <v>0.1366</v>
      </c>
      <c r="AK70" s="7">
        <v>1.508E-3</v>
      </c>
      <c r="AL70" s="7"/>
      <c r="AM70" s="7" t="s">
        <v>386</v>
      </c>
      <c r="AN70" s="19">
        <v>3.8832975679999999E-2</v>
      </c>
      <c r="AO70" s="7">
        <v>1.508E-3</v>
      </c>
      <c r="AP70" s="7">
        <v>4558</v>
      </c>
      <c r="AQ70" s="11">
        <v>44620</v>
      </c>
      <c r="AR70" s="7"/>
      <c r="AS70" s="7"/>
      <c r="AT70" s="7"/>
      <c r="AU70" s="7" t="s">
        <v>44</v>
      </c>
      <c r="AV70" s="7" t="s">
        <v>44</v>
      </c>
      <c r="AW70" s="7" t="s">
        <v>44</v>
      </c>
    </row>
    <row r="71" spans="1:49" ht="15.75" customHeight="1" thickBot="1">
      <c r="A71" s="7">
        <v>82</v>
      </c>
      <c r="B71" s="7">
        <v>28</v>
      </c>
      <c r="C71" s="7" t="s">
        <v>1163</v>
      </c>
      <c r="D71" s="7">
        <v>2022</v>
      </c>
      <c r="E71" s="7" t="s">
        <v>344</v>
      </c>
      <c r="F71" s="7">
        <v>2019</v>
      </c>
      <c r="G71" s="7">
        <v>12</v>
      </c>
      <c r="H71" s="7">
        <v>2021</v>
      </c>
      <c r="I71" s="7">
        <v>12</v>
      </c>
      <c r="J71" s="7" t="s">
        <v>80</v>
      </c>
      <c r="K71" s="7" t="s">
        <v>387</v>
      </c>
      <c r="L71" s="7" t="s">
        <v>176</v>
      </c>
      <c r="M71" s="7" t="s">
        <v>33</v>
      </c>
      <c r="N71" s="7" t="s">
        <v>34</v>
      </c>
      <c r="O71" s="7" t="s">
        <v>34</v>
      </c>
      <c r="P71" s="7" t="s">
        <v>600</v>
      </c>
      <c r="Q71" s="7" t="s">
        <v>35</v>
      </c>
      <c r="R71" s="7" t="s">
        <v>35</v>
      </c>
      <c r="S71" s="7" t="s">
        <v>346</v>
      </c>
      <c r="T71" s="7">
        <v>0.25830258299999997</v>
      </c>
      <c r="U71" s="7">
        <v>813</v>
      </c>
      <c r="V71" s="7">
        <v>0.2540816327</v>
      </c>
      <c r="W71" s="7">
        <v>980</v>
      </c>
      <c r="X71" s="7" t="s">
        <v>80</v>
      </c>
      <c r="Y71" s="3">
        <v>0.8</v>
      </c>
      <c r="Z71" s="4" t="s">
        <v>1129</v>
      </c>
      <c r="AA71" s="137" t="s">
        <v>80</v>
      </c>
      <c r="AB71" s="7" t="s">
        <v>80</v>
      </c>
      <c r="AC71" s="7" t="s">
        <v>71</v>
      </c>
      <c r="AD71" s="7" t="s">
        <v>388</v>
      </c>
      <c r="AE71" s="7" t="s">
        <v>58</v>
      </c>
      <c r="AF71" s="7" t="s">
        <v>58</v>
      </c>
      <c r="AG71" s="7" t="s">
        <v>58</v>
      </c>
      <c r="AH71" s="7">
        <v>-1.2200000000000001E-2</v>
      </c>
      <c r="AI71" s="7" t="s">
        <v>80</v>
      </c>
      <c r="AJ71" s="7">
        <v>-1.2200000000000001E-2</v>
      </c>
      <c r="AK71" s="7">
        <v>3.588E-3</v>
      </c>
      <c r="AL71" s="7"/>
      <c r="AM71" s="7">
        <f>-0.1296- 0.1052</f>
        <v>-0.23480000000000001</v>
      </c>
      <c r="AN71" s="19">
        <v>5.989991653E-2</v>
      </c>
      <c r="AO71" s="7">
        <v>3.588E-3</v>
      </c>
      <c r="AP71" s="7">
        <v>1793</v>
      </c>
      <c r="AQ71" s="11">
        <v>44620</v>
      </c>
      <c r="AR71" s="7"/>
      <c r="AS71" s="7"/>
      <c r="AT71" s="7"/>
      <c r="AU71" s="7" t="s">
        <v>44</v>
      </c>
      <c r="AV71" s="7" t="s">
        <v>44</v>
      </c>
      <c r="AW71" s="7" t="s">
        <v>44</v>
      </c>
    </row>
    <row r="72" spans="1:49" ht="15.75" customHeight="1" thickBot="1">
      <c r="A72" s="7">
        <v>83</v>
      </c>
      <c r="B72" s="7">
        <v>28</v>
      </c>
      <c r="C72" s="7" t="s">
        <v>1163</v>
      </c>
      <c r="D72" s="7">
        <v>2022</v>
      </c>
      <c r="E72" s="7" t="s">
        <v>344</v>
      </c>
      <c r="F72" s="7">
        <v>2019</v>
      </c>
      <c r="G72" s="7">
        <v>12</v>
      </c>
      <c r="H72" s="7">
        <v>2021</v>
      </c>
      <c r="I72" s="7">
        <v>12</v>
      </c>
      <c r="J72" s="7" t="s">
        <v>80</v>
      </c>
      <c r="K72" s="7" t="s">
        <v>389</v>
      </c>
      <c r="L72" s="7" t="s">
        <v>244</v>
      </c>
      <c r="M72" s="7" t="s">
        <v>33</v>
      </c>
      <c r="N72" s="7" t="s">
        <v>34</v>
      </c>
      <c r="O72" s="7" t="s">
        <v>34</v>
      </c>
      <c r="P72" s="7" t="s">
        <v>600</v>
      </c>
      <c r="Q72" s="7" t="s">
        <v>35</v>
      </c>
      <c r="R72" s="7" t="s">
        <v>35</v>
      </c>
      <c r="S72" s="7" t="s">
        <v>346</v>
      </c>
      <c r="T72" s="7">
        <v>0.38214716529999998</v>
      </c>
      <c r="U72" s="7">
        <v>4145</v>
      </c>
      <c r="V72" s="7">
        <v>0.40373654209999998</v>
      </c>
      <c r="W72" s="7">
        <v>6316</v>
      </c>
      <c r="X72" s="7" t="s">
        <v>80</v>
      </c>
      <c r="Y72" s="3">
        <v>0.8</v>
      </c>
      <c r="Z72" s="4" t="s">
        <v>1129</v>
      </c>
      <c r="AA72" s="137" t="s">
        <v>80</v>
      </c>
      <c r="AB72" s="7" t="s">
        <v>80</v>
      </c>
      <c r="AC72" s="7" t="s">
        <v>71</v>
      </c>
      <c r="AD72" s="7" t="s">
        <v>390</v>
      </c>
      <c r="AE72" s="7" t="s">
        <v>58</v>
      </c>
      <c r="AF72" s="7" t="s">
        <v>58</v>
      </c>
      <c r="AG72" s="7" t="s">
        <v>58</v>
      </c>
      <c r="AH72" s="7">
        <v>4.99E-2</v>
      </c>
      <c r="AI72" s="7" t="s">
        <v>80</v>
      </c>
      <c r="AJ72" s="7">
        <v>4.99E-2</v>
      </c>
      <c r="AK72" s="7">
        <v>5.1000000000000004E-4</v>
      </c>
      <c r="AL72" s="7"/>
      <c r="AM72" s="7" t="s">
        <v>391</v>
      </c>
      <c r="AN72" s="19">
        <v>2.2583179580000001E-2</v>
      </c>
      <c r="AO72" s="7">
        <v>5.1000000000000004E-4</v>
      </c>
      <c r="AP72" s="7">
        <v>10461</v>
      </c>
      <c r="AQ72" s="11">
        <v>44620</v>
      </c>
      <c r="AR72" s="7"/>
      <c r="AS72" s="7"/>
      <c r="AT72" s="7"/>
      <c r="AU72" s="7" t="s">
        <v>44</v>
      </c>
      <c r="AV72" s="7" t="s">
        <v>44</v>
      </c>
      <c r="AW72" s="7" t="s">
        <v>44</v>
      </c>
    </row>
    <row r="73" spans="1:49" ht="15.75" customHeight="1" thickBot="1">
      <c r="A73" s="7">
        <v>84</v>
      </c>
      <c r="B73" s="7">
        <v>29</v>
      </c>
      <c r="C73" s="7" t="s">
        <v>1164</v>
      </c>
      <c r="D73" s="7">
        <v>2021</v>
      </c>
      <c r="E73" s="7" t="s">
        <v>392</v>
      </c>
      <c r="F73" s="7" t="s">
        <v>393</v>
      </c>
      <c r="G73" s="7">
        <v>24</v>
      </c>
      <c r="H73" s="7" t="s">
        <v>394</v>
      </c>
      <c r="I73" s="7">
        <v>17</v>
      </c>
      <c r="J73" s="7" t="s">
        <v>80</v>
      </c>
      <c r="K73" s="7" t="s">
        <v>395</v>
      </c>
      <c r="L73" s="7" t="s">
        <v>244</v>
      </c>
      <c r="M73" s="7" t="s">
        <v>33</v>
      </c>
      <c r="N73" s="7" t="s">
        <v>53</v>
      </c>
      <c r="O73" s="7" t="s">
        <v>53</v>
      </c>
      <c r="P73" s="7" t="s">
        <v>600</v>
      </c>
      <c r="Q73" s="7" t="s">
        <v>396</v>
      </c>
      <c r="R73" s="7" t="s">
        <v>35</v>
      </c>
      <c r="S73" s="7" t="s">
        <v>397</v>
      </c>
      <c r="T73" s="7">
        <v>0.45959906090000002</v>
      </c>
      <c r="U73" s="7">
        <v>27685</v>
      </c>
      <c r="V73" s="7">
        <v>0.4370831677</v>
      </c>
      <c r="W73" s="7">
        <v>22641</v>
      </c>
      <c r="X73" s="7" t="s">
        <v>80</v>
      </c>
      <c r="Y73" s="3">
        <v>0.8</v>
      </c>
      <c r="Z73" s="7" t="s">
        <v>398</v>
      </c>
      <c r="AA73" s="137" t="s">
        <v>80</v>
      </c>
      <c r="AB73" s="7" t="s">
        <v>80</v>
      </c>
      <c r="AC73" s="7" t="s">
        <v>71</v>
      </c>
      <c r="AD73" s="7" t="s">
        <v>399</v>
      </c>
      <c r="AE73" s="7" t="s">
        <v>58</v>
      </c>
      <c r="AF73" s="7" t="s">
        <v>58</v>
      </c>
      <c r="AG73" s="7" t="s">
        <v>58</v>
      </c>
      <c r="AH73" s="7">
        <v>-5.0200000000000002E-2</v>
      </c>
      <c r="AI73" s="7" t="s">
        <v>80</v>
      </c>
      <c r="AJ73" s="7">
        <v>-5.0200000000000002E-2</v>
      </c>
      <c r="AK73" s="7">
        <v>9.8999999999999994E-5</v>
      </c>
      <c r="AL73" s="7"/>
      <c r="AM73" s="7">
        <f>-0.0697- -0.0307</f>
        <v>-3.8999999999999993E-2</v>
      </c>
      <c r="AN73" s="19">
        <v>9.9498743710000007E-3</v>
      </c>
      <c r="AO73" s="7">
        <v>9.8999999999999994E-5</v>
      </c>
      <c r="AP73" s="7">
        <v>50326</v>
      </c>
      <c r="AQ73" s="11">
        <v>44620</v>
      </c>
      <c r="AR73" s="7"/>
      <c r="AS73" s="7"/>
      <c r="AT73" s="7"/>
      <c r="AU73" s="7" t="s">
        <v>44</v>
      </c>
      <c r="AV73" s="7" t="s">
        <v>400</v>
      </c>
      <c r="AW73" s="7" t="s">
        <v>44</v>
      </c>
    </row>
    <row r="74" spans="1:49" ht="15.75" customHeight="1" thickBot="1">
      <c r="A74" s="7">
        <v>85</v>
      </c>
      <c r="B74" s="7">
        <v>29</v>
      </c>
      <c r="C74" s="7" t="s">
        <v>1164</v>
      </c>
      <c r="D74" s="7">
        <v>2021</v>
      </c>
      <c r="E74" s="7" t="s">
        <v>392</v>
      </c>
      <c r="F74" s="7" t="s">
        <v>393</v>
      </c>
      <c r="G74" s="7">
        <v>24</v>
      </c>
      <c r="H74" s="7" t="s">
        <v>394</v>
      </c>
      <c r="I74" s="7">
        <v>17</v>
      </c>
      <c r="J74" s="7" t="s">
        <v>80</v>
      </c>
      <c r="K74" s="7" t="s">
        <v>395</v>
      </c>
      <c r="L74" s="7" t="s">
        <v>244</v>
      </c>
      <c r="M74" s="7" t="s">
        <v>33</v>
      </c>
      <c r="N74" s="7" t="s">
        <v>53</v>
      </c>
      <c r="O74" s="7" t="s">
        <v>53</v>
      </c>
      <c r="P74" s="7" t="s">
        <v>601</v>
      </c>
      <c r="Q74" s="7" t="s">
        <v>396</v>
      </c>
      <c r="R74" s="7" t="s">
        <v>35</v>
      </c>
      <c r="S74" s="7" t="s">
        <v>397</v>
      </c>
      <c r="T74" s="7">
        <v>0.31399113239999998</v>
      </c>
      <c r="U74" s="7">
        <v>28418</v>
      </c>
      <c r="V74" s="7">
        <v>0.3067569316</v>
      </c>
      <c r="W74" s="7">
        <v>23191</v>
      </c>
      <c r="X74" s="7" t="s">
        <v>80</v>
      </c>
      <c r="Y74" s="3">
        <v>0.8</v>
      </c>
      <c r="Z74" s="7" t="s">
        <v>398</v>
      </c>
      <c r="AA74" s="137" t="s">
        <v>80</v>
      </c>
      <c r="AB74" s="7" t="s">
        <v>80</v>
      </c>
      <c r="AC74" s="7" t="s">
        <v>71</v>
      </c>
      <c r="AD74" s="7" t="s">
        <v>401</v>
      </c>
      <c r="AE74" s="7" t="s">
        <v>58</v>
      </c>
      <c r="AF74" s="7" t="s">
        <v>58</v>
      </c>
      <c r="AG74" s="7" t="s">
        <v>58</v>
      </c>
      <c r="AH74" s="7">
        <v>-1.8599999999999998E-2</v>
      </c>
      <c r="AI74" s="7" t="s">
        <v>80</v>
      </c>
      <c r="AJ74" s="7">
        <v>-1.8599999999999998E-2</v>
      </c>
      <c r="AK74" s="7">
        <v>1.11E-4</v>
      </c>
      <c r="AL74" s="7"/>
      <c r="AM74" s="7">
        <f>-0.0393-0.002</f>
        <v>-4.1300000000000003E-2</v>
      </c>
      <c r="AN74" s="19">
        <v>1.053565375E-2</v>
      </c>
      <c r="AO74" s="7">
        <v>1.11E-4</v>
      </c>
      <c r="AP74" s="7">
        <v>51609</v>
      </c>
      <c r="AQ74" s="11">
        <v>44620</v>
      </c>
      <c r="AR74" s="7"/>
      <c r="AS74" s="7"/>
      <c r="AT74" s="7"/>
      <c r="AU74" s="7" t="s">
        <v>44</v>
      </c>
      <c r="AV74" s="7" t="s">
        <v>400</v>
      </c>
      <c r="AW74" s="7" t="s">
        <v>44</v>
      </c>
    </row>
    <row r="75" spans="1:49" ht="15.75" customHeight="1" thickBot="1">
      <c r="A75" s="7">
        <v>86</v>
      </c>
      <c r="B75" s="7">
        <v>29</v>
      </c>
      <c r="C75" s="7" t="s">
        <v>1164</v>
      </c>
      <c r="D75" s="7">
        <v>2021</v>
      </c>
      <c r="E75" s="7" t="s">
        <v>392</v>
      </c>
      <c r="F75" s="7" t="s">
        <v>393</v>
      </c>
      <c r="G75" s="7">
        <v>24</v>
      </c>
      <c r="H75" s="7" t="s">
        <v>394</v>
      </c>
      <c r="I75" s="7">
        <v>17</v>
      </c>
      <c r="J75" s="7" t="s">
        <v>80</v>
      </c>
      <c r="K75" s="7" t="s">
        <v>395</v>
      </c>
      <c r="L75" s="7" t="s">
        <v>244</v>
      </c>
      <c r="M75" s="7" t="s">
        <v>33</v>
      </c>
      <c r="N75" s="7" t="s">
        <v>53</v>
      </c>
      <c r="O75" s="7" t="s">
        <v>53</v>
      </c>
      <c r="P75" s="7" t="s">
        <v>602</v>
      </c>
      <c r="Q75" s="7" t="s">
        <v>396</v>
      </c>
      <c r="R75" s="7" t="s">
        <v>35</v>
      </c>
      <c r="S75" s="7" t="s">
        <v>397</v>
      </c>
      <c r="T75" s="7">
        <v>0.3888043055</v>
      </c>
      <c r="U75" s="7">
        <v>28243</v>
      </c>
      <c r="V75" s="7">
        <v>0.36322714680000001</v>
      </c>
      <c r="W75" s="7">
        <v>23104</v>
      </c>
      <c r="X75" s="7" t="s">
        <v>80</v>
      </c>
      <c r="Y75" s="3">
        <v>0.8</v>
      </c>
      <c r="Z75" s="7" t="s">
        <v>398</v>
      </c>
      <c r="AA75" s="137" t="s">
        <v>80</v>
      </c>
      <c r="AB75" s="7" t="s">
        <v>80</v>
      </c>
      <c r="AC75" s="7" t="s">
        <v>71</v>
      </c>
      <c r="AD75" s="7" t="s">
        <v>402</v>
      </c>
      <c r="AE75" s="7" t="s">
        <v>58</v>
      </c>
      <c r="AF75" s="7" t="s">
        <v>58</v>
      </c>
      <c r="AG75" s="7" t="s">
        <v>58</v>
      </c>
      <c r="AH75" s="7">
        <v>-6.0100000000000001E-2</v>
      </c>
      <c r="AI75" s="7" t="s">
        <v>80</v>
      </c>
      <c r="AJ75" s="7">
        <v>-6.0100000000000001E-2</v>
      </c>
      <c r="AK75" s="7">
        <v>1.02E-4</v>
      </c>
      <c r="AL75" s="7"/>
      <c r="AM75" s="7">
        <f>-0.0799--0.0403</f>
        <v>-3.9599999999999996E-2</v>
      </c>
      <c r="AN75" s="19">
        <v>1.009950494E-2</v>
      </c>
      <c r="AO75" s="7">
        <v>1.02E-4</v>
      </c>
      <c r="AP75" s="7">
        <v>51347</v>
      </c>
      <c r="AQ75" s="11">
        <v>44620</v>
      </c>
      <c r="AR75" s="7"/>
      <c r="AS75" s="7"/>
      <c r="AT75" s="7"/>
      <c r="AU75" s="7" t="s">
        <v>44</v>
      </c>
      <c r="AV75" s="7" t="s">
        <v>400</v>
      </c>
      <c r="AW75" s="7" t="s">
        <v>44</v>
      </c>
    </row>
    <row r="76" spans="1:49" ht="15.75" customHeight="1" thickBot="1">
      <c r="A76" s="7">
        <v>87</v>
      </c>
      <c r="B76" s="7">
        <v>30</v>
      </c>
      <c r="C76" s="7" t="s">
        <v>1165</v>
      </c>
      <c r="D76" s="7">
        <v>2021</v>
      </c>
      <c r="E76" s="7" t="s">
        <v>403</v>
      </c>
      <c r="F76" s="7" t="s">
        <v>597</v>
      </c>
      <c r="G76" s="7">
        <v>24</v>
      </c>
      <c r="H76" s="7" t="s">
        <v>404</v>
      </c>
      <c r="I76" s="7">
        <v>12</v>
      </c>
      <c r="J76" s="7" t="s">
        <v>80</v>
      </c>
      <c r="K76" s="7" t="s">
        <v>405</v>
      </c>
      <c r="L76" s="7" t="s">
        <v>244</v>
      </c>
      <c r="M76" s="7" t="s">
        <v>33</v>
      </c>
      <c r="N76" s="7" t="s">
        <v>53</v>
      </c>
      <c r="O76" s="7" t="s">
        <v>53</v>
      </c>
      <c r="P76" s="7" t="s">
        <v>602</v>
      </c>
      <c r="Q76" s="7" t="s">
        <v>406</v>
      </c>
      <c r="R76" s="7" t="s">
        <v>1111</v>
      </c>
      <c r="S76" s="7" t="s">
        <v>407</v>
      </c>
      <c r="T76" s="7">
        <v>0.35806289130000002</v>
      </c>
      <c r="U76" s="7">
        <v>2016.074828</v>
      </c>
      <c r="V76" s="7">
        <v>0.36436378120000001</v>
      </c>
      <c r="W76" s="7">
        <v>1295.1671650000001</v>
      </c>
      <c r="X76" s="7" t="s">
        <v>80</v>
      </c>
      <c r="Y76" s="7" t="s">
        <v>80</v>
      </c>
      <c r="Z76" s="7" t="s">
        <v>408</v>
      </c>
      <c r="AA76" s="137" t="s">
        <v>80</v>
      </c>
      <c r="AB76" s="7" t="s">
        <v>80</v>
      </c>
      <c r="AC76" s="7" t="s">
        <v>71</v>
      </c>
      <c r="AD76" s="7" t="s">
        <v>409</v>
      </c>
      <c r="AE76" s="7" t="s">
        <v>58</v>
      </c>
      <c r="AF76" s="7" t="s">
        <v>58</v>
      </c>
      <c r="AG76" s="7" t="s">
        <v>58</v>
      </c>
      <c r="AH76" s="7">
        <v>1.52E-2</v>
      </c>
      <c r="AI76" s="7" t="s">
        <v>80</v>
      </c>
      <c r="AJ76" s="7">
        <v>1.52E-2</v>
      </c>
      <c r="AK76" s="7">
        <v>1.6689999999999999E-3</v>
      </c>
      <c r="AL76" s="7"/>
      <c r="AM76" s="7">
        <f>-0.0649- 0.0952</f>
        <v>-0.16010000000000002</v>
      </c>
      <c r="AN76" s="19">
        <v>4.0853396430000001E-2</v>
      </c>
      <c r="AO76" s="7">
        <v>1.6689999999999999E-3</v>
      </c>
      <c r="AP76" s="7">
        <v>3340</v>
      </c>
      <c r="AQ76" s="11">
        <v>44620</v>
      </c>
      <c r="AR76" s="7"/>
      <c r="AS76" s="7"/>
      <c r="AT76" s="7"/>
      <c r="AU76" s="7" t="s">
        <v>44</v>
      </c>
      <c r="AV76" s="7" t="s">
        <v>44</v>
      </c>
      <c r="AW76" s="7" t="s">
        <v>44</v>
      </c>
    </row>
    <row r="77" spans="1:49" ht="15.75" customHeight="1" thickBot="1">
      <c r="A77" s="7">
        <v>91</v>
      </c>
      <c r="B77" s="7">
        <v>34</v>
      </c>
      <c r="C77" s="7" t="s">
        <v>1166</v>
      </c>
      <c r="D77" s="7">
        <v>2021</v>
      </c>
      <c r="E77" s="7" t="s">
        <v>430</v>
      </c>
      <c r="F77" s="7" t="s">
        <v>431</v>
      </c>
      <c r="G77" s="7">
        <v>26</v>
      </c>
      <c r="H77" s="7" t="s">
        <v>432</v>
      </c>
      <c r="I77" s="7">
        <v>4</v>
      </c>
      <c r="J77" s="7" t="s">
        <v>80</v>
      </c>
      <c r="K77" s="7" t="s">
        <v>433</v>
      </c>
      <c r="L77" s="7" t="s">
        <v>176</v>
      </c>
      <c r="M77" s="7" t="s">
        <v>33</v>
      </c>
      <c r="N77" s="7" t="s">
        <v>53</v>
      </c>
      <c r="O77" s="7" t="s">
        <v>53</v>
      </c>
      <c r="P77" s="7" t="s">
        <v>602</v>
      </c>
      <c r="Q77" s="7" t="s">
        <v>434</v>
      </c>
      <c r="R77" s="7" t="s">
        <v>35</v>
      </c>
      <c r="S77" s="7" t="s">
        <v>435</v>
      </c>
      <c r="T77" s="7" t="s">
        <v>80</v>
      </c>
      <c r="U77" s="7" t="s">
        <v>80</v>
      </c>
      <c r="V77" s="7" t="s">
        <v>80</v>
      </c>
      <c r="W77" s="7" t="s">
        <v>80</v>
      </c>
      <c r="X77" s="7" t="s">
        <v>80</v>
      </c>
      <c r="Y77" s="7" t="s">
        <v>1124</v>
      </c>
      <c r="Z77" s="7" t="s">
        <v>70</v>
      </c>
      <c r="AA77" s="137" t="s">
        <v>80</v>
      </c>
      <c r="AB77" s="7" t="s">
        <v>80</v>
      </c>
      <c r="AC77" s="7" t="s">
        <v>38</v>
      </c>
      <c r="AD77" s="7" t="s">
        <v>578</v>
      </c>
      <c r="AE77" s="7" t="s">
        <v>436</v>
      </c>
      <c r="AF77" s="7" t="s">
        <v>436</v>
      </c>
      <c r="AG77" s="7" t="s">
        <v>436</v>
      </c>
      <c r="AH77" s="7">
        <v>-5.4800000000000001E-2</v>
      </c>
      <c r="AI77" s="7" t="s">
        <v>80</v>
      </c>
      <c r="AJ77" s="7">
        <v>-5.4800000000000001E-2</v>
      </c>
      <c r="AK77" s="7">
        <v>8.6899999999999998E-4</v>
      </c>
      <c r="AL77" s="7"/>
      <c r="AM77" s="7">
        <f>-0.1125-0.003</f>
        <v>-0.11550000000000001</v>
      </c>
      <c r="AN77" s="19">
        <v>2.9478805949999999E-2</v>
      </c>
      <c r="AO77" s="7">
        <v>8.6899999999999998E-4</v>
      </c>
      <c r="AP77" s="7">
        <v>5366</v>
      </c>
      <c r="AQ77" s="11">
        <v>44620</v>
      </c>
      <c r="AR77" s="7"/>
      <c r="AS77" s="7"/>
      <c r="AT77" s="7"/>
      <c r="AU77" s="7" t="s">
        <v>44</v>
      </c>
      <c r="AV77" s="7" t="s">
        <v>44</v>
      </c>
      <c r="AW77" s="7" t="s">
        <v>44</v>
      </c>
    </row>
    <row r="78" spans="1:49" ht="15.75" customHeight="1" thickBot="1">
      <c r="A78" s="7">
        <v>94</v>
      </c>
      <c r="B78" s="7">
        <v>37</v>
      </c>
      <c r="C78" s="7" t="s">
        <v>1167</v>
      </c>
      <c r="D78" s="7">
        <v>2020</v>
      </c>
      <c r="E78" s="7" t="s">
        <v>450</v>
      </c>
      <c r="F78" s="7" t="s">
        <v>451</v>
      </c>
      <c r="G78" s="7">
        <v>2</v>
      </c>
      <c r="H78" s="7" t="s">
        <v>452</v>
      </c>
      <c r="I78" s="7">
        <v>2</v>
      </c>
      <c r="J78" s="7" t="s">
        <v>80</v>
      </c>
      <c r="K78" s="7" t="s">
        <v>453</v>
      </c>
      <c r="L78" s="7" t="s">
        <v>176</v>
      </c>
      <c r="M78" s="7" t="s">
        <v>33</v>
      </c>
      <c r="N78" s="7" t="s">
        <v>53</v>
      </c>
      <c r="O78" s="7" t="s">
        <v>53</v>
      </c>
      <c r="P78" s="7" t="s">
        <v>600</v>
      </c>
      <c r="Q78" s="7" t="s">
        <v>35</v>
      </c>
      <c r="R78" s="7" t="s">
        <v>35</v>
      </c>
      <c r="S78" s="7" t="s">
        <v>454</v>
      </c>
      <c r="T78" s="7">
        <v>0.58928571429999999</v>
      </c>
      <c r="U78" s="7">
        <v>56</v>
      </c>
      <c r="V78" s="7">
        <v>0.61855670100000004</v>
      </c>
      <c r="W78" s="7">
        <v>97</v>
      </c>
      <c r="X78" s="7" t="s">
        <v>80</v>
      </c>
      <c r="Y78" s="7" t="s">
        <v>80</v>
      </c>
      <c r="Z78" s="7" t="s">
        <v>455</v>
      </c>
      <c r="AA78" s="137" t="s">
        <v>80</v>
      </c>
      <c r="AB78" s="7" t="s">
        <v>80</v>
      </c>
      <c r="AC78" s="7" t="s">
        <v>71</v>
      </c>
      <c r="AD78" s="7" t="s">
        <v>456</v>
      </c>
      <c r="AE78" s="7" t="s">
        <v>58</v>
      </c>
      <c r="AF78" s="7" t="s">
        <v>58</v>
      </c>
      <c r="AG78" s="7" t="s">
        <v>58</v>
      </c>
      <c r="AH78" s="7">
        <v>6.7500000000000004E-2</v>
      </c>
      <c r="AI78" s="7" t="s">
        <v>80</v>
      </c>
      <c r="AJ78" s="7">
        <v>6.7500000000000004E-2</v>
      </c>
      <c r="AK78" s="7">
        <v>3.5707999999999997E-2</v>
      </c>
      <c r="AL78" s="7"/>
      <c r="AM78" s="7">
        <f>-0.3029-0.4379</f>
        <v>-0.74080000000000001</v>
      </c>
      <c r="AN78" s="19">
        <v>0.18896560530000001</v>
      </c>
      <c r="AO78" s="7">
        <v>3.5707999999999997E-2</v>
      </c>
      <c r="AP78" s="7">
        <v>130</v>
      </c>
      <c r="AQ78" s="11">
        <v>44620</v>
      </c>
      <c r="AR78" s="7"/>
      <c r="AS78" s="7"/>
      <c r="AT78" s="7"/>
      <c r="AU78" s="7" t="s">
        <v>44</v>
      </c>
      <c r="AV78" s="7" t="s">
        <v>44</v>
      </c>
      <c r="AW78" s="7" t="s">
        <v>44</v>
      </c>
    </row>
    <row r="79" spans="1:49" ht="15.75" customHeight="1" thickBot="1">
      <c r="A79" s="7">
        <v>96</v>
      </c>
      <c r="B79" s="7">
        <v>39</v>
      </c>
      <c r="C79" s="7" t="s">
        <v>1168</v>
      </c>
      <c r="D79" s="7">
        <v>2020</v>
      </c>
      <c r="E79" s="7" t="s">
        <v>462</v>
      </c>
      <c r="F79" s="7" t="s">
        <v>463</v>
      </c>
      <c r="G79" s="7">
        <v>16</v>
      </c>
      <c r="H79" s="7" t="s">
        <v>464</v>
      </c>
      <c r="I79" s="7">
        <v>4</v>
      </c>
      <c r="J79" s="7" t="s">
        <v>80</v>
      </c>
      <c r="K79" s="7" t="s">
        <v>465</v>
      </c>
      <c r="L79" s="7" t="s">
        <v>176</v>
      </c>
      <c r="M79" s="7" t="s">
        <v>33</v>
      </c>
      <c r="N79" s="7" t="s">
        <v>53</v>
      </c>
      <c r="O79" s="7" t="s">
        <v>466</v>
      </c>
      <c r="P79" s="7" t="s">
        <v>604</v>
      </c>
      <c r="Q79" s="7" t="s">
        <v>35</v>
      </c>
      <c r="R79" s="7" t="s">
        <v>35</v>
      </c>
      <c r="S79" s="7" t="s">
        <v>467</v>
      </c>
      <c r="T79" s="7">
        <v>0.208030303</v>
      </c>
      <c r="U79" s="7">
        <v>2310</v>
      </c>
      <c r="V79" s="7">
        <v>0.20704054829999999</v>
      </c>
      <c r="W79" s="7">
        <v>3502</v>
      </c>
      <c r="X79" s="7" t="s">
        <v>80</v>
      </c>
      <c r="Y79" s="7" t="s">
        <v>468</v>
      </c>
      <c r="Z79" s="7" t="s">
        <v>469</v>
      </c>
      <c r="AA79" s="137" t="s">
        <v>80</v>
      </c>
      <c r="AB79" s="7" t="s">
        <v>80</v>
      </c>
      <c r="AC79" s="7" t="s">
        <v>71</v>
      </c>
      <c r="AD79" s="7" t="s">
        <v>470</v>
      </c>
      <c r="AE79" s="7" t="s">
        <v>58</v>
      </c>
      <c r="AF79" s="7" t="s">
        <v>58</v>
      </c>
      <c r="AG79" s="7" t="s">
        <v>58</v>
      </c>
      <c r="AH79" s="7">
        <v>-4.0000000000000001E-3</v>
      </c>
      <c r="AI79" s="7" t="s">
        <v>80</v>
      </c>
      <c r="AJ79" s="7">
        <v>-4.0000000000000001E-3</v>
      </c>
      <c r="AK79" s="7">
        <v>1.3270000000000001E-3</v>
      </c>
      <c r="AL79" s="7"/>
      <c r="AM79" s="7">
        <f>-0.0754-0.0674</f>
        <v>-0.14279999999999998</v>
      </c>
      <c r="AN79" s="19">
        <v>3.6428011199999999E-2</v>
      </c>
      <c r="AO79" s="7">
        <v>1.3270000000000001E-3</v>
      </c>
      <c r="AP79" s="7">
        <v>5812</v>
      </c>
      <c r="AQ79" s="11">
        <v>44620</v>
      </c>
      <c r="AR79" s="7"/>
      <c r="AS79" s="7"/>
      <c r="AT79" s="7"/>
      <c r="AU79" s="7" t="s">
        <v>44</v>
      </c>
      <c r="AV79" s="7" t="s">
        <v>44</v>
      </c>
      <c r="AW79" s="7" t="s">
        <v>471</v>
      </c>
    </row>
    <row r="80" spans="1:49" ht="15.75" customHeight="1" thickBot="1">
      <c r="A80" s="7">
        <v>97</v>
      </c>
      <c r="B80" s="7">
        <v>40</v>
      </c>
      <c r="C80" s="7" t="s">
        <v>1169</v>
      </c>
      <c r="D80" s="7">
        <v>2022</v>
      </c>
      <c r="E80" s="7" t="s">
        <v>472</v>
      </c>
      <c r="F80" s="7" t="s">
        <v>473</v>
      </c>
      <c r="G80" s="7">
        <v>24</v>
      </c>
      <c r="H80" s="7" t="s">
        <v>474</v>
      </c>
      <c r="I80" s="7">
        <v>12</v>
      </c>
      <c r="J80" s="7" t="s">
        <v>80</v>
      </c>
      <c r="K80" s="7" t="s">
        <v>475</v>
      </c>
      <c r="L80" s="7" t="s">
        <v>599</v>
      </c>
      <c r="M80" s="7" t="s">
        <v>33</v>
      </c>
      <c r="N80" s="7" t="s">
        <v>53</v>
      </c>
      <c r="O80" s="7" t="s">
        <v>53</v>
      </c>
      <c r="P80" s="7" t="s">
        <v>602</v>
      </c>
      <c r="Q80" s="7" t="s">
        <v>35</v>
      </c>
      <c r="R80" s="7" t="s">
        <v>35</v>
      </c>
      <c r="S80" s="7" t="s">
        <v>476</v>
      </c>
      <c r="T80" s="7">
        <v>0.228066187</v>
      </c>
      <c r="U80" s="7">
        <v>31621.906269999999</v>
      </c>
      <c r="V80" s="7">
        <v>0.2228464419</v>
      </c>
      <c r="W80" s="7">
        <v>17314.37599</v>
      </c>
      <c r="X80" s="7" t="s">
        <v>80</v>
      </c>
      <c r="Y80" s="3">
        <v>0.89</v>
      </c>
      <c r="Z80" s="7" t="s">
        <v>1130</v>
      </c>
      <c r="AA80" s="137" t="s">
        <v>80</v>
      </c>
      <c r="AB80" s="7" t="s">
        <v>80</v>
      </c>
      <c r="AC80" s="7" t="s">
        <v>71</v>
      </c>
      <c r="AD80" s="7" t="s">
        <v>477</v>
      </c>
      <c r="AE80" s="7" t="s">
        <v>58</v>
      </c>
      <c r="AF80" s="7" t="s">
        <v>58</v>
      </c>
      <c r="AG80" s="7" t="s">
        <v>58</v>
      </c>
      <c r="AH80" s="7">
        <v>-1.66E-2</v>
      </c>
      <c r="AI80" s="7" t="s">
        <v>80</v>
      </c>
      <c r="AJ80" s="7">
        <v>-1.66E-2</v>
      </c>
      <c r="AK80" s="7">
        <v>1.56E-4</v>
      </c>
      <c r="AL80" s="7"/>
      <c r="AM80" s="7">
        <f>-0.0411-0.0079</f>
        <v>-4.9000000000000002E-2</v>
      </c>
      <c r="AN80" s="19">
        <v>1.2489996E-2</v>
      </c>
      <c r="AO80" s="7">
        <v>1.56E-4</v>
      </c>
      <c r="AP80" s="7">
        <v>48936</v>
      </c>
      <c r="AQ80" s="11">
        <v>44620</v>
      </c>
      <c r="AR80" s="7"/>
      <c r="AS80" s="7"/>
      <c r="AT80" s="7"/>
      <c r="AU80" s="7" t="s">
        <v>44</v>
      </c>
      <c r="AV80" s="7" t="s">
        <v>582</v>
      </c>
      <c r="AW80" s="7" t="s">
        <v>478</v>
      </c>
    </row>
    <row r="81" spans="1:49" ht="15.75" customHeight="1" thickBot="1">
      <c r="A81" s="7">
        <v>98</v>
      </c>
      <c r="B81" s="7">
        <v>41</v>
      </c>
      <c r="C81" s="7" t="s">
        <v>1170</v>
      </c>
      <c r="D81" s="7">
        <v>2021</v>
      </c>
      <c r="E81" s="7" t="s">
        <v>479</v>
      </c>
      <c r="F81" s="7" t="s">
        <v>393</v>
      </c>
      <c r="G81" s="7">
        <v>24</v>
      </c>
      <c r="H81" s="7">
        <v>2020</v>
      </c>
      <c r="I81" s="7">
        <v>12</v>
      </c>
      <c r="J81" s="7" t="s">
        <v>80</v>
      </c>
      <c r="K81" s="7" t="s">
        <v>480</v>
      </c>
      <c r="L81" s="7" t="s">
        <v>120</v>
      </c>
      <c r="M81" s="7" t="s">
        <v>33</v>
      </c>
      <c r="N81" s="7" t="s">
        <v>34</v>
      </c>
      <c r="O81" s="7" t="s">
        <v>34</v>
      </c>
      <c r="P81" s="7" t="s">
        <v>600</v>
      </c>
      <c r="Q81" s="7" t="s">
        <v>35</v>
      </c>
      <c r="R81" s="7" t="s">
        <v>35</v>
      </c>
      <c r="S81" s="7" t="s">
        <v>481</v>
      </c>
      <c r="T81" s="7">
        <v>0.38142198199999999</v>
      </c>
      <c r="U81" s="7">
        <v>1569</v>
      </c>
      <c r="V81" s="7">
        <v>0.40750126710000001</v>
      </c>
      <c r="W81" s="7">
        <v>932</v>
      </c>
      <c r="X81" s="7" t="s">
        <v>80</v>
      </c>
      <c r="Y81" s="7" t="s">
        <v>80</v>
      </c>
      <c r="Z81" s="7" t="s">
        <v>1131</v>
      </c>
      <c r="AA81" s="137" t="s">
        <v>80</v>
      </c>
      <c r="AB81" s="7" t="s">
        <v>80</v>
      </c>
      <c r="AC81" s="7" t="s">
        <v>71</v>
      </c>
      <c r="AD81" s="7" t="s">
        <v>482</v>
      </c>
      <c r="AE81" s="7" t="s">
        <v>58</v>
      </c>
      <c r="AF81" s="7" t="s">
        <v>58</v>
      </c>
      <c r="AG81" s="7" t="s">
        <v>58</v>
      </c>
      <c r="AH81" s="7">
        <v>6.5100000000000005E-2</v>
      </c>
      <c r="AI81" s="7" t="s">
        <v>80</v>
      </c>
      <c r="AJ81" s="7">
        <v>6.5100000000000005E-2</v>
      </c>
      <c r="AK81" s="7">
        <v>2.1840000000000002E-3</v>
      </c>
      <c r="AL81" s="7"/>
      <c r="AM81" s="7">
        <f>-0.0264- 0.1567</f>
        <v>-0.18310000000000001</v>
      </c>
      <c r="AN81" s="19">
        <v>4.6733285780000001E-2</v>
      </c>
      <c r="AO81" s="7">
        <v>2.1840000000000002E-3</v>
      </c>
      <c r="AP81" s="7">
        <v>2501</v>
      </c>
      <c r="AQ81" s="11">
        <v>44620</v>
      </c>
      <c r="AR81" s="7"/>
      <c r="AS81" s="7"/>
      <c r="AT81" s="7"/>
      <c r="AU81" s="7" t="s">
        <v>44</v>
      </c>
      <c r="AV81" s="7" t="s">
        <v>44</v>
      </c>
      <c r="AW81" s="7" t="s">
        <v>44</v>
      </c>
    </row>
    <row r="82" spans="1:49" ht="15.75" customHeight="1" thickBot="1">
      <c r="A82" s="7">
        <v>99</v>
      </c>
      <c r="B82" s="7">
        <v>41</v>
      </c>
      <c r="C82" s="7" t="s">
        <v>1170</v>
      </c>
      <c r="D82" s="7">
        <v>2021</v>
      </c>
      <c r="E82" s="7" t="s">
        <v>479</v>
      </c>
      <c r="F82" s="7" t="s">
        <v>393</v>
      </c>
      <c r="G82" s="7">
        <v>24</v>
      </c>
      <c r="H82" s="7">
        <v>2020</v>
      </c>
      <c r="I82" s="7">
        <v>12</v>
      </c>
      <c r="J82" s="7" t="s">
        <v>80</v>
      </c>
      <c r="K82" s="7" t="s">
        <v>480</v>
      </c>
      <c r="L82" s="7" t="s">
        <v>120</v>
      </c>
      <c r="M82" s="7" t="s">
        <v>33</v>
      </c>
      <c r="N82" s="7" t="s">
        <v>34</v>
      </c>
      <c r="O82" s="7" t="s">
        <v>34</v>
      </c>
      <c r="P82" s="7" t="s">
        <v>601</v>
      </c>
      <c r="Q82" s="7" t="s">
        <v>35</v>
      </c>
      <c r="R82" s="7" t="s">
        <v>35</v>
      </c>
      <c r="S82" s="7" t="s">
        <v>481</v>
      </c>
      <c r="T82" s="7">
        <v>0.25373776059999997</v>
      </c>
      <c r="U82" s="7">
        <v>1569</v>
      </c>
      <c r="V82" s="7">
        <v>0.22301064370000001</v>
      </c>
      <c r="W82" s="7">
        <v>932</v>
      </c>
      <c r="X82" s="7" t="s">
        <v>80</v>
      </c>
      <c r="Y82" s="7" t="s">
        <v>80</v>
      </c>
      <c r="Z82" s="7" t="s">
        <v>1131</v>
      </c>
      <c r="AA82" s="137" t="s">
        <v>80</v>
      </c>
      <c r="AB82" s="7" t="s">
        <v>80</v>
      </c>
      <c r="AC82" s="7" t="s">
        <v>71</v>
      </c>
      <c r="AD82" s="7" t="s">
        <v>483</v>
      </c>
      <c r="AE82" s="7" t="s">
        <v>58</v>
      </c>
      <c r="AF82" s="7" t="s">
        <v>58</v>
      </c>
      <c r="AG82" s="7" t="s">
        <v>58</v>
      </c>
      <c r="AH82" s="7">
        <v>-8.6900000000000005E-2</v>
      </c>
      <c r="AI82" s="7" t="s">
        <v>80</v>
      </c>
      <c r="AJ82" s="7">
        <v>-8.6900000000000005E-2</v>
      </c>
      <c r="AK82" s="7">
        <v>2.9429999999999999E-3</v>
      </c>
      <c r="AL82" s="7"/>
      <c r="AM82" s="7">
        <f>-0.1932-0.0195</f>
        <v>-0.2127</v>
      </c>
      <c r="AN82" s="19">
        <v>5.4249423960000001E-2</v>
      </c>
      <c r="AO82" s="7">
        <v>2.9429999999999999E-3</v>
      </c>
      <c r="AP82" s="7">
        <v>2501</v>
      </c>
      <c r="AQ82" s="11">
        <v>44620</v>
      </c>
      <c r="AR82" s="7"/>
      <c r="AS82" s="7"/>
      <c r="AT82" s="7"/>
      <c r="AU82" s="7" t="s">
        <v>44</v>
      </c>
      <c r="AV82" s="7" t="s">
        <v>44</v>
      </c>
      <c r="AW82" s="7" t="s">
        <v>44</v>
      </c>
    </row>
    <row r="83" spans="1:49" ht="15.75" customHeight="1" thickBot="1">
      <c r="A83" s="7">
        <v>100</v>
      </c>
      <c r="B83" s="7">
        <v>41</v>
      </c>
      <c r="C83" s="7" t="s">
        <v>1170</v>
      </c>
      <c r="D83" s="7">
        <v>2021</v>
      </c>
      <c r="E83" s="7" t="s">
        <v>479</v>
      </c>
      <c r="F83" s="7" t="s">
        <v>393</v>
      </c>
      <c r="G83" s="7">
        <v>24</v>
      </c>
      <c r="H83" s="7">
        <v>2020</v>
      </c>
      <c r="I83" s="7">
        <v>12</v>
      </c>
      <c r="J83" s="7" t="s">
        <v>80</v>
      </c>
      <c r="K83" s="7" t="s">
        <v>484</v>
      </c>
      <c r="L83" s="7" t="s">
        <v>244</v>
      </c>
      <c r="M83" s="7" t="s">
        <v>33</v>
      </c>
      <c r="N83" s="7" t="s">
        <v>34</v>
      </c>
      <c r="O83" s="7" t="s">
        <v>34</v>
      </c>
      <c r="P83" s="7" t="s">
        <v>600</v>
      </c>
      <c r="Q83" s="7" t="s">
        <v>35</v>
      </c>
      <c r="R83" s="7" t="s">
        <v>35</v>
      </c>
      <c r="S83" s="7" t="s">
        <v>481</v>
      </c>
      <c r="T83" s="7">
        <v>0.48289954429999998</v>
      </c>
      <c r="U83" s="7">
        <v>1898</v>
      </c>
      <c r="V83" s="7">
        <v>0.44754181450000002</v>
      </c>
      <c r="W83" s="7">
        <v>1147</v>
      </c>
      <c r="X83" s="7" t="s">
        <v>80</v>
      </c>
      <c r="Y83" s="7" t="s">
        <v>80</v>
      </c>
      <c r="Z83" s="7" t="s">
        <v>1131</v>
      </c>
      <c r="AA83" s="137" t="s">
        <v>80</v>
      </c>
      <c r="AB83" s="7" t="s">
        <v>80</v>
      </c>
      <c r="AC83" s="7" t="s">
        <v>71</v>
      </c>
      <c r="AD83" s="7" t="s">
        <v>485</v>
      </c>
      <c r="AE83" s="7" t="s">
        <v>58</v>
      </c>
      <c r="AF83" s="7" t="s">
        <v>58</v>
      </c>
      <c r="AG83" s="7" t="s">
        <v>58</v>
      </c>
      <c r="AH83" s="7">
        <v>-7.9100000000000004E-2</v>
      </c>
      <c r="AI83" s="7" t="s">
        <v>80</v>
      </c>
      <c r="AJ83" s="7">
        <v>-7.9100000000000004E-2</v>
      </c>
      <c r="AK83" s="7">
        <v>1.72E-3</v>
      </c>
      <c r="AL83" s="7"/>
      <c r="AM83" s="7">
        <f>-0.1604-0.0022</f>
        <v>-0.16259999999999999</v>
      </c>
      <c r="AN83" s="19">
        <v>4.1472882709999999E-2</v>
      </c>
      <c r="AO83" s="7">
        <v>1.72E-3</v>
      </c>
      <c r="AP83" s="7">
        <v>3045</v>
      </c>
      <c r="AQ83" s="11">
        <v>44620</v>
      </c>
      <c r="AR83" s="7"/>
      <c r="AS83" s="7"/>
      <c r="AT83" s="7"/>
      <c r="AU83" s="7" t="s">
        <v>44</v>
      </c>
      <c r="AV83" s="7" t="s">
        <v>44</v>
      </c>
      <c r="AW83" s="7" t="s">
        <v>44</v>
      </c>
    </row>
    <row r="84" spans="1:49" ht="15.75" customHeight="1" thickBot="1">
      <c r="A84" s="7">
        <v>101</v>
      </c>
      <c r="B84" s="7">
        <v>41</v>
      </c>
      <c r="C84" s="7" t="s">
        <v>1170</v>
      </c>
      <c r="D84" s="7">
        <v>2021</v>
      </c>
      <c r="E84" s="7" t="s">
        <v>479</v>
      </c>
      <c r="F84" s="7" t="s">
        <v>393</v>
      </c>
      <c r="G84" s="7">
        <v>24</v>
      </c>
      <c r="H84" s="7">
        <v>2020</v>
      </c>
      <c r="I84" s="7">
        <v>12</v>
      </c>
      <c r="J84" s="7" t="s">
        <v>80</v>
      </c>
      <c r="K84" s="7" t="s">
        <v>484</v>
      </c>
      <c r="L84" s="7" t="s">
        <v>244</v>
      </c>
      <c r="M84" s="7" t="s">
        <v>33</v>
      </c>
      <c r="N84" s="7" t="s">
        <v>34</v>
      </c>
      <c r="O84" s="7" t="s">
        <v>34</v>
      </c>
      <c r="P84" s="7" t="s">
        <v>601</v>
      </c>
      <c r="Q84" s="7" t="s">
        <v>35</v>
      </c>
      <c r="R84" s="7" t="s">
        <v>35</v>
      </c>
      <c r="S84" s="7" t="s">
        <v>481</v>
      </c>
      <c r="T84" s="7">
        <v>0.31087542730000001</v>
      </c>
      <c r="U84" s="7">
        <v>1898</v>
      </c>
      <c r="V84" s="7">
        <v>0.32083122149999999</v>
      </c>
      <c r="W84" s="7">
        <v>1147</v>
      </c>
      <c r="X84" s="7" t="s">
        <v>80</v>
      </c>
      <c r="Y84" s="7" t="s">
        <v>80</v>
      </c>
      <c r="Z84" s="7" t="s">
        <v>1131</v>
      </c>
      <c r="AA84" s="137" t="s">
        <v>80</v>
      </c>
      <c r="AB84" s="7" t="s">
        <v>80</v>
      </c>
      <c r="AC84" s="7" t="s">
        <v>71</v>
      </c>
      <c r="AD84" s="7" t="s">
        <v>486</v>
      </c>
      <c r="AE84" s="7" t="s">
        <v>58</v>
      </c>
      <c r="AF84" s="7" t="s">
        <v>58</v>
      </c>
      <c r="AG84" s="7" t="s">
        <v>58</v>
      </c>
      <c r="AH84" s="7">
        <v>3.3300000000000003E-2</v>
      </c>
      <c r="AI84" s="7" t="s">
        <v>80</v>
      </c>
      <c r="AJ84" s="7">
        <v>3.3300000000000003E-2</v>
      </c>
      <c r="AK84" s="7">
        <v>1.983E-3</v>
      </c>
      <c r="AL84" s="7"/>
      <c r="AM84" s="7">
        <f>-0.054-0.1206</f>
        <v>-0.17460000000000001</v>
      </c>
      <c r="AN84" s="19">
        <v>4.4530888159999997E-2</v>
      </c>
      <c r="AO84" s="7">
        <v>1.983E-3</v>
      </c>
      <c r="AP84" s="7">
        <v>3045</v>
      </c>
      <c r="AQ84" s="11">
        <v>44620</v>
      </c>
      <c r="AR84" s="7"/>
      <c r="AS84" s="7"/>
      <c r="AT84" s="7"/>
      <c r="AU84" s="7" t="s">
        <v>44</v>
      </c>
      <c r="AV84" s="7" t="s">
        <v>44</v>
      </c>
      <c r="AW84" s="7" t="s">
        <v>44</v>
      </c>
    </row>
    <row r="85" spans="1:49" ht="15.75" customHeight="1" thickBot="1">
      <c r="A85" s="7">
        <v>102</v>
      </c>
      <c r="B85" s="7">
        <v>42</v>
      </c>
      <c r="C85" s="7" t="s">
        <v>1171</v>
      </c>
      <c r="D85" s="7">
        <v>2021</v>
      </c>
      <c r="E85" s="7" t="s">
        <v>487</v>
      </c>
      <c r="F85" s="7" t="s">
        <v>488</v>
      </c>
      <c r="G85" s="7">
        <v>36</v>
      </c>
      <c r="H85" s="7">
        <v>2020</v>
      </c>
      <c r="I85" s="7">
        <v>12</v>
      </c>
      <c r="J85" s="7" t="s">
        <v>80</v>
      </c>
      <c r="K85" s="7" t="s">
        <v>489</v>
      </c>
      <c r="L85" s="7" t="s">
        <v>244</v>
      </c>
      <c r="M85" s="7" t="s">
        <v>33</v>
      </c>
      <c r="N85" s="7" t="s">
        <v>53</v>
      </c>
      <c r="O85" s="7" t="s">
        <v>53</v>
      </c>
      <c r="P85" s="7" t="s">
        <v>600</v>
      </c>
      <c r="Q85" s="7" t="s">
        <v>490</v>
      </c>
      <c r="R85" s="7" t="s">
        <v>490</v>
      </c>
      <c r="S85" s="7" t="s">
        <v>93</v>
      </c>
      <c r="T85" s="7">
        <v>0.45348837209999998</v>
      </c>
      <c r="U85" s="7">
        <v>172</v>
      </c>
      <c r="V85" s="7">
        <v>0.44588744590000001</v>
      </c>
      <c r="W85" s="7">
        <v>231</v>
      </c>
      <c r="X85" s="7" t="s">
        <v>80</v>
      </c>
      <c r="Y85" s="7" t="s">
        <v>80</v>
      </c>
      <c r="Z85" s="7" t="s">
        <v>1132</v>
      </c>
      <c r="AA85" s="137" t="s">
        <v>80</v>
      </c>
      <c r="AB85" s="7" t="s">
        <v>80</v>
      </c>
      <c r="AC85" s="7" t="s">
        <v>71</v>
      </c>
      <c r="AD85" s="7" t="s">
        <v>491</v>
      </c>
      <c r="AE85" s="7" t="s">
        <v>58</v>
      </c>
      <c r="AF85" s="7" t="s">
        <v>58</v>
      </c>
      <c r="AG85" s="7" t="s">
        <v>58</v>
      </c>
      <c r="AH85" s="7">
        <v>-1.6899999999999998E-2</v>
      </c>
      <c r="AI85" s="7" t="s">
        <v>80</v>
      </c>
      <c r="AJ85" s="7">
        <v>-1.6899999999999998E-2</v>
      </c>
      <c r="AK85" s="7">
        <v>1.2456E-2</v>
      </c>
      <c r="AL85" s="7"/>
      <c r="AM85" s="7">
        <f>-0.2357-0.2018</f>
        <v>-0.4375</v>
      </c>
      <c r="AN85" s="19">
        <v>0.1116064514</v>
      </c>
      <c r="AO85" s="7">
        <v>1.2456E-2</v>
      </c>
      <c r="AP85" s="7">
        <v>403</v>
      </c>
      <c r="AQ85" s="11">
        <v>44620</v>
      </c>
      <c r="AR85" s="7"/>
      <c r="AS85" s="7"/>
      <c r="AT85" s="7"/>
      <c r="AU85" s="7" t="s">
        <v>44</v>
      </c>
      <c r="AV85" s="7" t="s">
        <v>44</v>
      </c>
      <c r="AW85" s="7" t="s">
        <v>44</v>
      </c>
    </row>
    <row r="86" spans="1:49" ht="15.75" customHeight="1" thickBot="1">
      <c r="A86" s="7">
        <v>103</v>
      </c>
      <c r="B86" s="7">
        <v>42</v>
      </c>
      <c r="C86" s="7" t="s">
        <v>1171</v>
      </c>
      <c r="D86" s="7">
        <v>2021</v>
      </c>
      <c r="E86" s="7" t="s">
        <v>487</v>
      </c>
      <c r="F86" s="7" t="s">
        <v>488</v>
      </c>
      <c r="G86" s="7">
        <v>36</v>
      </c>
      <c r="H86" s="7">
        <v>2020</v>
      </c>
      <c r="I86" s="7">
        <v>12</v>
      </c>
      <c r="J86" s="7" t="s">
        <v>80</v>
      </c>
      <c r="K86" s="7" t="s">
        <v>489</v>
      </c>
      <c r="L86" s="7" t="s">
        <v>244</v>
      </c>
      <c r="M86" s="7" t="s">
        <v>33</v>
      </c>
      <c r="N86" s="7" t="s">
        <v>53</v>
      </c>
      <c r="O86" s="7" t="s">
        <v>53</v>
      </c>
      <c r="P86" s="7" t="s">
        <v>601</v>
      </c>
      <c r="Q86" s="7" t="s">
        <v>490</v>
      </c>
      <c r="R86" s="7" t="s">
        <v>490</v>
      </c>
      <c r="S86" s="7" t="s">
        <v>93</v>
      </c>
      <c r="T86" s="7">
        <v>0.4302325581</v>
      </c>
      <c r="U86" s="7">
        <v>172</v>
      </c>
      <c r="V86" s="7">
        <v>0.33766233769999998</v>
      </c>
      <c r="W86" s="7">
        <v>231</v>
      </c>
      <c r="X86" s="7" t="s">
        <v>80</v>
      </c>
      <c r="Y86" s="7" t="s">
        <v>80</v>
      </c>
      <c r="Z86" s="7" t="s">
        <v>1132</v>
      </c>
      <c r="AA86" s="137" t="s">
        <v>80</v>
      </c>
      <c r="AB86" s="7" t="s">
        <v>80</v>
      </c>
      <c r="AC86" s="7" t="s">
        <v>71</v>
      </c>
      <c r="AD86" s="7" t="s">
        <v>492</v>
      </c>
      <c r="AE86" s="7" t="s">
        <v>58</v>
      </c>
      <c r="AF86" s="7" t="s">
        <v>58</v>
      </c>
      <c r="AG86" s="7" t="s">
        <v>58</v>
      </c>
      <c r="AH86" s="7">
        <v>-0.21659999999999999</v>
      </c>
      <c r="AI86" s="7" t="s">
        <v>80</v>
      </c>
      <c r="AJ86" s="7">
        <v>-0.21659999999999999</v>
      </c>
      <c r="AK86" s="7">
        <v>1.3093E-2</v>
      </c>
      <c r="AL86" s="7"/>
      <c r="AM86" s="7">
        <f>-0.4408-0.0077</f>
        <v>-0.44850000000000001</v>
      </c>
      <c r="AN86" s="19">
        <v>0.11442464770000001</v>
      </c>
      <c r="AO86" s="7">
        <v>1.3093E-2</v>
      </c>
      <c r="AP86" s="7">
        <v>403</v>
      </c>
      <c r="AQ86" s="11">
        <v>44620</v>
      </c>
      <c r="AR86" s="7"/>
      <c r="AS86" s="7"/>
      <c r="AT86" s="7"/>
      <c r="AU86" s="7" t="s">
        <v>44</v>
      </c>
      <c r="AV86" s="7" t="s">
        <v>44</v>
      </c>
      <c r="AW86" s="7" t="s">
        <v>44</v>
      </c>
    </row>
    <row r="87" spans="1:49" ht="15.75" customHeight="1" thickBot="1">
      <c r="A87" s="7">
        <v>104</v>
      </c>
      <c r="B87" s="7">
        <v>42</v>
      </c>
      <c r="C87" s="7" t="s">
        <v>1171</v>
      </c>
      <c r="D87" s="7">
        <v>2021</v>
      </c>
      <c r="E87" s="7" t="s">
        <v>487</v>
      </c>
      <c r="F87" s="7" t="s">
        <v>488</v>
      </c>
      <c r="G87" s="7">
        <v>36</v>
      </c>
      <c r="H87" s="7">
        <v>2020</v>
      </c>
      <c r="I87" s="7">
        <v>12</v>
      </c>
      <c r="J87" s="7" t="s">
        <v>80</v>
      </c>
      <c r="K87" s="7" t="s">
        <v>489</v>
      </c>
      <c r="L87" s="7" t="s">
        <v>244</v>
      </c>
      <c r="M87" s="7" t="s">
        <v>33</v>
      </c>
      <c r="N87" s="7" t="s">
        <v>53</v>
      </c>
      <c r="O87" s="7" t="s">
        <v>53</v>
      </c>
      <c r="P87" s="7" t="s">
        <v>602</v>
      </c>
      <c r="Q87" s="7" t="s">
        <v>490</v>
      </c>
      <c r="R87" s="7" t="s">
        <v>490</v>
      </c>
      <c r="S87" s="7" t="s">
        <v>93</v>
      </c>
      <c r="T87" s="7">
        <v>0.39534883720000003</v>
      </c>
      <c r="U87" s="7">
        <v>172</v>
      </c>
      <c r="V87" s="7">
        <v>0.40692640689999998</v>
      </c>
      <c r="W87" s="7">
        <v>231</v>
      </c>
      <c r="X87" s="7" t="s">
        <v>80</v>
      </c>
      <c r="Y87" s="7" t="s">
        <v>80</v>
      </c>
      <c r="Z87" s="7" t="s">
        <v>1132</v>
      </c>
      <c r="AA87" s="137" t="s">
        <v>80</v>
      </c>
      <c r="AB87" s="7" t="s">
        <v>80</v>
      </c>
      <c r="AC87" s="7" t="s">
        <v>71</v>
      </c>
      <c r="AD87" s="7" t="s">
        <v>493</v>
      </c>
      <c r="AE87" s="7" t="s">
        <v>58</v>
      </c>
      <c r="AF87" s="7" t="s">
        <v>58</v>
      </c>
      <c r="AG87" s="7" t="s">
        <v>58</v>
      </c>
      <c r="AH87" s="7">
        <v>2.6599999999999999E-2</v>
      </c>
      <c r="AI87" s="7" t="s">
        <v>80</v>
      </c>
      <c r="AJ87" s="7">
        <v>2.6599999999999999E-2</v>
      </c>
      <c r="AK87" s="7">
        <v>1.2845000000000001E-2</v>
      </c>
      <c r="AL87" s="7"/>
      <c r="AM87" s="7">
        <f>-0.1956-0.2487</f>
        <v>-0.44430000000000003</v>
      </c>
      <c r="AN87" s="19">
        <v>0.11333578430000001</v>
      </c>
      <c r="AO87" s="7">
        <v>1.2845000000000001E-2</v>
      </c>
      <c r="AP87" s="7">
        <v>403</v>
      </c>
      <c r="AQ87" s="11">
        <v>44620</v>
      </c>
      <c r="AR87" s="7"/>
      <c r="AS87" s="7"/>
      <c r="AT87" s="7"/>
      <c r="AU87" s="7" t="s">
        <v>44</v>
      </c>
      <c r="AV87" s="7" t="s">
        <v>44</v>
      </c>
      <c r="AW87" s="7" t="s">
        <v>44</v>
      </c>
    </row>
    <row r="88" spans="1:49" ht="17" thickBot="1">
      <c r="A88" s="7">
        <v>107</v>
      </c>
      <c r="B88" s="7">
        <v>45</v>
      </c>
      <c r="C88" s="7" t="s">
        <v>1172</v>
      </c>
      <c r="D88" s="7">
        <v>2021</v>
      </c>
      <c r="E88" s="7" t="s">
        <v>507</v>
      </c>
      <c r="F88" s="7" t="s">
        <v>508</v>
      </c>
      <c r="G88" s="7">
        <v>8</v>
      </c>
      <c r="H88" s="7" t="s">
        <v>509</v>
      </c>
      <c r="I88" s="7">
        <v>4</v>
      </c>
      <c r="J88" s="7" t="s">
        <v>80</v>
      </c>
      <c r="K88" s="7" t="s">
        <v>510</v>
      </c>
      <c r="L88" s="7" t="s">
        <v>244</v>
      </c>
      <c r="M88" s="7" t="s">
        <v>33</v>
      </c>
      <c r="N88" s="7" t="s">
        <v>53</v>
      </c>
      <c r="O88" s="7" t="s">
        <v>53</v>
      </c>
      <c r="P88" s="7" t="s">
        <v>604</v>
      </c>
      <c r="Q88" s="7" t="s">
        <v>35</v>
      </c>
      <c r="R88" s="7" t="s">
        <v>35</v>
      </c>
      <c r="S88" s="7" t="s">
        <v>93</v>
      </c>
      <c r="T88" s="7" t="s">
        <v>80</v>
      </c>
      <c r="U88" s="7" t="s">
        <v>80</v>
      </c>
      <c r="V88" s="7" t="s">
        <v>80</v>
      </c>
      <c r="W88" s="7" t="s">
        <v>80</v>
      </c>
      <c r="X88" s="7" t="s">
        <v>80</v>
      </c>
      <c r="Y88" s="7" t="s">
        <v>80</v>
      </c>
      <c r="Z88" s="7" t="s">
        <v>511</v>
      </c>
      <c r="AA88" s="7" t="s">
        <v>1159</v>
      </c>
      <c r="AB88" s="7">
        <v>-0.16400000000000001</v>
      </c>
      <c r="AC88" s="7" t="s">
        <v>38</v>
      </c>
      <c r="AD88" s="7" t="s">
        <v>80</v>
      </c>
      <c r="AE88" s="7" t="s">
        <v>80</v>
      </c>
      <c r="AF88" s="7" t="s">
        <v>80</v>
      </c>
      <c r="AG88" s="7" t="s">
        <v>80</v>
      </c>
      <c r="AH88" s="7" t="s">
        <v>80</v>
      </c>
      <c r="AI88" s="7" t="s">
        <v>80</v>
      </c>
      <c r="AJ88" s="7">
        <v>-0.08</v>
      </c>
      <c r="AK88" s="7" t="s">
        <v>80</v>
      </c>
      <c r="AL88" s="7"/>
      <c r="AM88" s="7" t="s">
        <v>80</v>
      </c>
      <c r="AN88" s="19">
        <v>8.0000000000000002E-3</v>
      </c>
      <c r="AO88" s="7">
        <v>6.3999999999999997E-5</v>
      </c>
      <c r="AP88" s="7">
        <v>847892</v>
      </c>
      <c r="AQ88" s="11">
        <v>44620</v>
      </c>
      <c r="AR88" s="7"/>
      <c r="AS88" s="7"/>
      <c r="AT88" s="7"/>
      <c r="AU88" s="7" t="s">
        <v>44</v>
      </c>
      <c r="AV88" s="7" t="s">
        <v>44</v>
      </c>
      <c r="AW88" s="7" t="s">
        <v>512</v>
      </c>
    </row>
    <row r="89" spans="1:49" ht="17" thickBot="1">
      <c r="A89" s="7">
        <v>108</v>
      </c>
      <c r="B89" s="7">
        <v>45</v>
      </c>
      <c r="C89" s="7" t="s">
        <v>1172</v>
      </c>
      <c r="D89" s="7">
        <v>2021</v>
      </c>
      <c r="E89" s="7" t="s">
        <v>507</v>
      </c>
      <c r="F89" s="7" t="s">
        <v>508</v>
      </c>
      <c r="G89" s="7">
        <v>8</v>
      </c>
      <c r="H89" s="7" t="s">
        <v>509</v>
      </c>
      <c r="I89" s="7">
        <v>4</v>
      </c>
      <c r="J89" s="7" t="s">
        <v>80</v>
      </c>
      <c r="K89" s="7" t="s">
        <v>513</v>
      </c>
      <c r="L89" s="7" t="s">
        <v>120</v>
      </c>
      <c r="M89" s="7" t="s">
        <v>33</v>
      </c>
      <c r="N89" s="7" t="s">
        <v>53</v>
      </c>
      <c r="O89" s="7" t="s">
        <v>53</v>
      </c>
      <c r="P89" s="7" t="s">
        <v>604</v>
      </c>
      <c r="Q89" s="7" t="s">
        <v>35</v>
      </c>
      <c r="R89" s="7" t="s">
        <v>35</v>
      </c>
      <c r="S89" s="7" t="s">
        <v>93</v>
      </c>
      <c r="T89" s="7" t="s">
        <v>80</v>
      </c>
      <c r="U89" s="7" t="s">
        <v>80</v>
      </c>
      <c r="V89" s="7" t="s">
        <v>80</v>
      </c>
      <c r="W89" s="7" t="s">
        <v>80</v>
      </c>
      <c r="X89" s="7" t="s">
        <v>80</v>
      </c>
      <c r="Y89" s="7" t="s">
        <v>80</v>
      </c>
      <c r="Z89" s="7" t="s">
        <v>511</v>
      </c>
      <c r="AA89" s="7" t="s">
        <v>1159</v>
      </c>
      <c r="AB89" s="7">
        <v>-7.8E-2</v>
      </c>
      <c r="AC89" s="7" t="s">
        <v>38</v>
      </c>
      <c r="AD89" s="7" t="s">
        <v>80</v>
      </c>
      <c r="AE89" s="7" t="s">
        <v>80</v>
      </c>
      <c r="AF89" s="7" t="s">
        <v>80</v>
      </c>
      <c r="AG89" s="7" t="s">
        <v>80</v>
      </c>
      <c r="AH89" s="7" t="s">
        <v>80</v>
      </c>
      <c r="AI89" s="7" t="s">
        <v>80</v>
      </c>
      <c r="AJ89" s="7">
        <v>-2.9999999999999997E-4</v>
      </c>
      <c r="AK89" s="7" t="s">
        <v>80</v>
      </c>
      <c r="AL89" s="7"/>
      <c r="AM89" s="7" t="s">
        <v>80</v>
      </c>
      <c r="AN89" s="19">
        <v>8.0000000000000002E-3</v>
      </c>
      <c r="AO89" s="7">
        <v>6.3999999999999997E-5</v>
      </c>
      <c r="AP89" s="7">
        <v>571051</v>
      </c>
      <c r="AQ89" s="11">
        <v>44620</v>
      </c>
      <c r="AR89" s="7"/>
      <c r="AS89" s="7"/>
      <c r="AT89" s="7"/>
      <c r="AU89" s="7" t="s">
        <v>44</v>
      </c>
      <c r="AV89" s="7" t="s">
        <v>44</v>
      </c>
      <c r="AW89" s="7" t="s">
        <v>512</v>
      </c>
    </row>
    <row r="90" spans="1:49" ht="17" thickBot="1">
      <c r="A90" s="7">
        <v>109</v>
      </c>
      <c r="B90" s="7">
        <v>45</v>
      </c>
      <c r="C90" s="7" t="s">
        <v>1172</v>
      </c>
      <c r="D90" s="7">
        <v>2021</v>
      </c>
      <c r="E90" s="7" t="s">
        <v>507</v>
      </c>
      <c r="F90" s="7" t="s">
        <v>508</v>
      </c>
      <c r="G90" s="7">
        <v>8</v>
      </c>
      <c r="H90" s="7" t="s">
        <v>509</v>
      </c>
      <c r="I90" s="7">
        <v>4</v>
      </c>
      <c r="J90" s="7" t="s">
        <v>80</v>
      </c>
      <c r="K90" s="7" t="s">
        <v>514</v>
      </c>
      <c r="L90" s="7" t="s">
        <v>599</v>
      </c>
      <c r="M90" s="7" t="s">
        <v>33</v>
      </c>
      <c r="N90" s="7" t="s">
        <v>53</v>
      </c>
      <c r="O90" s="7" t="s">
        <v>53</v>
      </c>
      <c r="P90" s="7" t="s">
        <v>604</v>
      </c>
      <c r="Q90" s="7" t="s">
        <v>35</v>
      </c>
      <c r="R90" s="7" t="s">
        <v>35</v>
      </c>
      <c r="S90" s="7" t="s">
        <v>93</v>
      </c>
      <c r="T90" s="7" t="s">
        <v>80</v>
      </c>
      <c r="U90" s="7" t="s">
        <v>80</v>
      </c>
      <c r="V90" s="7" t="s">
        <v>80</v>
      </c>
      <c r="W90" s="7" t="s">
        <v>80</v>
      </c>
      <c r="X90" s="7" t="s">
        <v>80</v>
      </c>
      <c r="Y90" s="7" t="s">
        <v>80</v>
      </c>
      <c r="Z90" s="7" t="s">
        <v>511</v>
      </c>
      <c r="AA90" s="7" t="s">
        <v>1159</v>
      </c>
      <c r="AB90" s="7">
        <v>-9.7000000000000003E-2</v>
      </c>
      <c r="AC90" s="7" t="s">
        <v>38</v>
      </c>
      <c r="AD90" s="7" t="s">
        <v>80</v>
      </c>
      <c r="AE90" s="7" t="s">
        <v>80</v>
      </c>
      <c r="AF90" s="7" t="s">
        <v>80</v>
      </c>
      <c r="AG90" s="7" t="s">
        <v>80</v>
      </c>
      <c r="AH90" s="7" t="s">
        <v>80</v>
      </c>
      <c r="AI90" s="7" t="s">
        <v>80</v>
      </c>
      <c r="AJ90" s="7">
        <v>-1.6E-2</v>
      </c>
      <c r="AK90" s="7" t="s">
        <v>80</v>
      </c>
      <c r="AL90" s="7"/>
      <c r="AM90" s="7" t="s">
        <v>80</v>
      </c>
      <c r="AN90" s="19">
        <v>8.0000000000000002E-3</v>
      </c>
      <c r="AO90" s="7">
        <v>6.3999999999999997E-5</v>
      </c>
      <c r="AP90" s="7">
        <v>1026221</v>
      </c>
      <c r="AQ90" s="11">
        <v>44620</v>
      </c>
      <c r="AR90" s="7"/>
      <c r="AS90" s="7"/>
      <c r="AT90" s="7"/>
      <c r="AU90" s="7" t="s">
        <v>44</v>
      </c>
      <c r="AV90" s="7" t="s">
        <v>44</v>
      </c>
      <c r="AW90" s="7" t="s">
        <v>512</v>
      </c>
    </row>
    <row r="91" spans="1:49" ht="15.75" customHeight="1" thickBot="1">
      <c r="A91" s="7">
        <v>110</v>
      </c>
      <c r="B91" s="7">
        <v>45</v>
      </c>
      <c r="C91" s="7" t="s">
        <v>1172</v>
      </c>
      <c r="D91" s="7">
        <v>2021</v>
      </c>
      <c r="E91" s="7" t="s">
        <v>507</v>
      </c>
      <c r="F91" s="7" t="s">
        <v>508</v>
      </c>
      <c r="G91" s="7">
        <v>8</v>
      </c>
      <c r="H91" s="7" t="s">
        <v>509</v>
      </c>
      <c r="I91" s="7">
        <v>4</v>
      </c>
      <c r="J91" s="7" t="s">
        <v>80</v>
      </c>
      <c r="K91" s="7" t="s">
        <v>586</v>
      </c>
      <c r="L91" s="7" t="s">
        <v>176</v>
      </c>
      <c r="M91" s="7" t="s">
        <v>33</v>
      </c>
      <c r="N91" s="7" t="s">
        <v>53</v>
      </c>
      <c r="O91" s="7" t="s">
        <v>53</v>
      </c>
      <c r="P91" s="7" t="s">
        <v>604</v>
      </c>
      <c r="Q91" s="7" t="s">
        <v>35</v>
      </c>
      <c r="R91" s="7" t="s">
        <v>35</v>
      </c>
      <c r="S91" s="7" t="s">
        <v>93</v>
      </c>
      <c r="T91" s="7" t="s">
        <v>80</v>
      </c>
      <c r="U91" s="7" t="s">
        <v>80</v>
      </c>
      <c r="V91" s="7" t="s">
        <v>80</v>
      </c>
      <c r="W91" s="7" t="s">
        <v>80</v>
      </c>
      <c r="X91" s="7" t="s">
        <v>80</v>
      </c>
      <c r="Y91" s="7" t="s">
        <v>80</v>
      </c>
      <c r="Z91" s="7" t="s">
        <v>511</v>
      </c>
      <c r="AA91" s="7" t="s">
        <v>1159</v>
      </c>
      <c r="AB91" s="7">
        <v>-7.6999999999999999E-2</v>
      </c>
      <c r="AC91" s="7" t="s">
        <v>38</v>
      </c>
      <c r="AD91" s="7" t="s">
        <v>80</v>
      </c>
      <c r="AE91" s="7" t="s">
        <v>80</v>
      </c>
      <c r="AF91" s="7" t="s">
        <v>80</v>
      </c>
      <c r="AG91" s="7" t="s">
        <v>80</v>
      </c>
      <c r="AH91" s="7" t="s">
        <v>80</v>
      </c>
      <c r="AI91" s="7" t="s">
        <v>80</v>
      </c>
      <c r="AJ91" s="7">
        <v>-2.8000000000000001E-2</v>
      </c>
      <c r="AK91" s="7" t="s">
        <v>80</v>
      </c>
      <c r="AL91" s="7"/>
      <c r="AM91" s="7" t="s">
        <v>80</v>
      </c>
      <c r="AN91" s="19">
        <v>1.2E-2</v>
      </c>
      <c r="AO91" s="7">
        <v>1.44E-4</v>
      </c>
      <c r="AP91" s="7">
        <v>195157</v>
      </c>
      <c r="AQ91" s="11">
        <v>44620</v>
      </c>
      <c r="AR91" s="7"/>
      <c r="AS91" s="7"/>
      <c r="AT91" s="7"/>
      <c r="AU91" s="7" t="s">
        <v>44</v>
      </c>
      <c r="AV91" s="7" t="s">
        <v>44</v>
      </c>
      <c r="AW91" s="7" t="s">
        <v>512</v>
      </c>
    </row>
    <row r="92" spans="1:49" ht="17" thickBot="1">
      <c r="A92" s="7">
        <v>111</v>
      </c>
      <c r="B92" s="7">
        <v>46</v>
      </c>
      <c r="C92" s="7" t="s">
        <v>1173</v>
      </c>
      <c r="D92" s="7">
        <v>2022</v>
      </c>
      <c r="E92" s="7" t="s">
        <v>515</v>
      </c>
      <c r="F92" s="7" t="s">
        <v>516</v>
      </c>
      <c r="G92" s="7">
        <v>9</v>
      </c>
      <c r="H92" s="7" t="s">
        <v>517</v>
      </c>
      <c r="I92" s="7">
        <v>3</v>
      </c>
      <c r="J92" s="7" t="s">
        <v>80</v>
      </c>
      <c r="K92" s="7" t="s">
        <v>518</v>
      </c>
      <c r="L92" s="7" t="s">
        <v>176</v>
      </c>
      <c r="M92" s="7" t="s">
        <v>33</v>
      </c>
      <c r="N92" s="7" t="s">
        <v>53</v>
      </c>
      <c r="O92" s="7" t="s">
        <v>53</v>
      </c>
      <c r="P92" s="7" t="s">
        <v>600</v>
      </c>
      <c r="Q92" s="7" t="s">
        <v>490</v>
      </c>
      <c r="R92" s="7" t="s">
        <v>490</v>
      </c>
      <c r="S92" s="7" t="s">
        <v>93</v>
      </c>
      <c r="T92" s="7">
        <v>0.58095238100000002</v>
      </c>
      <c r="U92" s="7">
        <v>525</v>
      </c>
      <c r="V92" s="7">
        <v>0.61714285710000005</v>
      </c>
      <c r="W92" s="7">
        <v>175</v>
      </c>
      <c r="X92" s="7" t="s">
        <v>80</v>
      </c>
      <c r="Y92" s="7" t="s">
        <v>80</v>
      </c>
      <c r="Z92" s="7" t="s">
        <v>519</v>
      </c>
      <c r="AA92" s="137" t="s">
        <v>80</v>
      </c>
      <c r="AB92" s="7" t="s">
        <v>80</v>
      </c>
      <c r="AC92" s="7" t="s">
        <v>38</v>
      </c>
      <c r="AD92" s="7" t="s">
        <v>520</v>
      </c>
      <c r="AE92" s="7" t="s">
        <v>58</v>
      </c>
      <c r="AF92" s="7" t="s">
        <v>58</v>
      </c>
      <c r="AG92" s="7" t="s">
        <v>58</v>
      </c>
      <c r="AH92" s="7">
        <v>8.3099999999999993E-2</v>
      </c>
      <c r="AI92" s="7" t="s">
        <v>80</v>
      </c>
      <c r="AJ92" s="7">
        <v>8.3099999999999993E-2</v>
      </c>
      <c r="AK92" s="7">
        <v>9.7300000000000008E-3</v>
      </c>
      <c r="AL92" s="7"/>
      <c r="AM92" s="7">
        <f>-0.1102- 0.2764</f>
        <v>-0.3866</v>
      </c>
      <c r="AN92" s="19">
        <v>9.8640762369999996E-2</v>
      </c>
      <c r="AO92" s="7">
        <v>9.7300000000000008E-3</v>
      </c>
      <c r="AP92" s="7">
        <v>700</v>
      </c>
      <c r="AQ92" s="11">
        <v>44620</v>
      </c>
      <c r="AR92" s="7"/>
      <c r="AS92" s="7"/>
      <c r="AT92" s="7"/>
      <c r="AU92" s="7" t="s">
        <v>44</v>
      </c>
      <c r="AV92" s="7" t="s">
        <v>44</v>
      </c>
      <c r="AW92" s="7" t="s">
        <v>44</v>
      </c>
    </row>
    <row r="93" spans="1:49" ht="17" thickBot="1">
      <c r="A93" s="7">
        <v>112</v>
      </c>
      <c r="B93" s="7">
        <v>47</v>
      </c>
      <c r="C93" s="7" t="s">
        <v>1174</v>
      </c>
      <c r="D93" s="7">
        <v>2021</v>
      </c>
      <c r="E93" s="7" t="s">
        <v>521</v>
      </c>
      <c r="F93" s="7" t="s">
        <v>522</v>
      </c>
      <c r="G93" s="7" t="s">
        <v>80</v>
      </c>
      <c r="H93" s="7" t="s">
        <v>523</v>
      </c>
      <c r="I93" s="7" t="s">
        <v>80</v>
      </c>
      <c r="J93" s="7" t="s">
        <v>80</v>
      </c>
      <c r="K93" s="7" t="s">
        <v>524</v>
      </c>
      <c r="L93" s="7" t="s">
        <v>176</v>
      </c>
      <c r="M93" s="7" t="s">
        <v>33</v>
      </c>
      <c r="N93" s="7" t="s">
        <v>34</v>
      </c>
      <c r="O93" s="7" t="s">
        <v>34</v>
      </c>
      <c r="P93" s="7" t="s">
        <v>600</v>
      </c>
      <c r="Q93" s="7" t="s">
        <v>35</v>
      </c>
      <c r="R93" s="7" t="s">
        <v>35</v>
      </c>
      <c r="S93" s="7" t="s">
        <v>525</v>
      </c>
      <c r="T93" s="7">
        <v>0.2666666667</v>
      </c>
      <c r="U93" s="7">
        <v>210</v>
      </c>
      <c r="V93" s="7">
        <v>0.38235294120000002</v>
      </c>
      <c r="W93" s="7">
        <v>170</v>
      </c>
      <c r="X93" s="7" t="s">
        <v>80</v>
      </c>
      <c r="Y93" s="3">
        <v>0.9</v>
      </c>
      <c r="Z93" s="7" t="s">
        <v>526</v>
      </c>
      <c r="AA93" s="137" t="s">
        <v>80</v>
      </c>
      <c r="AB93" s="7" t="s">
        <v>80</v>
      </c>
      <c r="AC93" s="7" t="s">
        <v>71</v>
      </c>
      <c r="AD93" s="7" t="s">
        <v>527</v>
      </c>
      <c r="AE93" s="7" t="s">
        <v>58</v>
      </c>
      <c r="AF93" s="7" t="s">
        <v>58</v>
      </c>
      <c r="AG93" s="7" t="s">
        <v>58</v>
      </c>
      <c r="AH93" s="7">
        <v>0.29330000000000001</v>
      </c>
      <c r="AI93" s="7" t="s">
        <v>80</v>
      </c>
      <c r="AJ93" s="7">
        <v>0.29330000000000001</v>
      </c>
      <c r="AK93" s="7">
        <v>1.4973E-2</v>
      </c>
      <c r="AL93" s="7"/>
      <c r="AM93" s="7" t="s">
        <v>528</v>
      </c>
      <c r="AN93" s="19">
        <v>0.1223642105</v>
      </c>
      <c r="AO93" s="7">
        <v>1.4973E-2</v>
      </c>
      <c r="AP93" s="7">
        <v>380</v>
      </c>
      <c r="AQ93" s="11">
        <v>44620</v>
      </c>
      <c r="AR93" s="7"/>
      <c r="AS93" s="7"/>
      <c r="AT93" s="7"/>
      <c r="AU93" s="7" t="s">
        <v>44</v>
      </c>
      <c r="AV93" s="7" t="s">
        <v>529</v>
      </c>
      <c r="AW93" s="7" t="s">
        <v>44</v>
      </c>
    </row>
    <row r="94" spans="1:49" ht="15.75" customHeight="1" thickBot="1">
      <c r="A94" s="7">
        <v>116</v>
      </c>
      <c r="B94" s="7">
        <v>51</v>
      </c>
      <c r="C94" s="7" t="s">
        <v>1175</v>
      </c>
      <c r="D94" s="7">
        <v>2020</v>
      </c>
      <c r="E94" s="7" t="s">
        <v>1072</v>
      </c>
      <c r="F94" s="7" t="s">
        <v>1073</v>
      </c>
      <c r="G94" s="7">
        <v>6</v>
      </c>
      <c r="H94" s="7" t="s">
        <v>1074</v>
      </c>
      <c r="I94" s="7">
        <v>6</v>
      </c>
      <c r="J94" s="7" t="s">
        <v>80</v>
      </c>
      <c r="K94" s="7" t="s">
        <v>1075</v>
      </c>
      <c r="L94" s="7" t="s">
        <v>599</v>
      </c>
      <c r="M94" s="7" t="s">
        <v>33</v>
      </c>
      <c r="N94" s="7" t="s">
        <v>53</v>
      </c>
      <c r="O94" s="7" t="s">
        <v>53</v>
      </c>
      <c r="P94" s="7" t="s">
        <v>604</v>
      </c>
      <c r="Q94" s="7" t="s">
        <v>1076</v>
      </c>
      <c r="R94" s="7" t="s">
        <v>965</v>
      </c>
      <c r="S94" s="7" t="s">
        <v>407</v>
      </c>
      <c r="T94" s="7">
        <v>0.317</v>
      </c>
      <c r="U94" s="7">
        <v>224</v>
      </c>
      <c r="V94" s="7">
        <v>0.26600000000000001</v>
      </c>
      <c r="W94" s="7">
        <v>218</v>
      </c>
      <c r="X94" s="7" t="s">
        <v>80</v>
      </c>
      <c r="Y94" s="7" t="s">
        <v>80</v>
      </c>
      <c r="Z94" s="7" t="s">
        <v>1077</v>
      </c>
      <c r="AA94" s="137" t="s">
        <v>80</v>
      </c>
      <c r="AB94" s="7" t="s">
        <v>80</v>
      </c>
      <c r="AC94" s="7" t="s">
        <v>38</v>
      </c>
      <c r="AD94" s="7" t="s">
        <v>1080</v>
      </c>
      <c r="AE94" s="7" t="s">
        <v>58</v>
      </c>
      <c r="AF94" s="7" t="s">
        <v>58</v>
      </c>
      <c r="AG94" s="7" t="s">
        <v>58</v>
      </c>
      <c r="AH94" s="7">
        <v>-0.13619999999999999</v>
      </c>
      <c r="AI94" s="7" t="s">
        <v>80</v>
      </c>
      <c r="AJ94" s="7">
        <v>-0.13619999999999999</v>
      </c>
      <c r="AK94" s="7">
        <v>1.3408E-2</v>
      </c>
      <c r="AL94" s="7"/>
      <c r="AM94" s="7">
        <f>0.0908--0.3631</f>
        <v>0.45389999999999997</v>
      </c>
      <c r="AN94" s="20">
        <f t="shared" ref="AN94:AN108" si="0">AM94/3.92</f>
        <v>0.11579081632653061</v>
      </c>
      <c r="AO94" s="7">
        <v>1.3408E-2</v>
      </c>
      <c r="AP94" s="7">
        <f t="shared" ref="AP94:AP108" si="1">U94+W94</f>
        <v>442</v>
      </c>
      <c r="AQ94" s="11">
        <v>44404</v>
      </c>
      <c r="AR94" s="7"/>
      <c r="AS94" s="7"/>
      <c r="AT94" s="7"/>
      <c r="AU94" s="7" t="s">
        <v>44</v>
      </c>
      <c r="AV94" s="7" t="s">
        <v>44</v>
      </c>
      <c r="AW94" s="7" t="s">
        <v>44</v>
      </c>
    </row>
    <row r="95" spans="1:49" ht="17" thickBot="1">
      <c r="A95" s="7">
        <v>117</v>
      </c>
      <c r="B95" s="7">
        <v>52</v>
      </c>
      <c r="C95" s="7" t="s">
        <v>1078</v>
      </c>
      <c r="D95" s="7">
        <v>2021</v>
      </c>
      <c r="E95" s="7" t="s">
        <v>1013</v>
      </c>
      <c r="F95" s="7" t="s">
        <v>1073</v>
      </c>
      <c r="G95" s="7">
        <v>6</v>
      </c>
      <c r="H95" s="7" t="s">
        <v>1074</v>
      </c>
      <c r="I95" s="7">
        <v>6</v>
      </c>
      <c r="J95" s="7" t="s">
        <v>80</v>
      </c>
      <c r="K95" s="7" t="s">
        <v>1081</v>
      </c>
      <c r="L95" s="7" t="s">
        <v>244</v>
      </c>
      <c r="M95" s="7" t="s">
        <v>33</v>
      </c>
      <c r="N95" s="7" t="s">
        <v>53</v>
      </c>
      <c r="O95" s="7" t="s">
        <v>53</v>
      </c>
      <c r="P95" s="7" t="s">
        <v>602</v>
      </c>
      <c r="Q95" s="7" t="s">
        <v>35</v>
      </c>
      <c r="R95" s="7" t="s">
        <v>35</v>
      </c>
      <c r="S95" s="7" t="s">
        <v>407</v>
      </c>
      <c r="T95" s="7">
        <v>0.39200000000000002</v>
      </c>
      <c r="U95" s="7">
        <v>608</v>
      </c>
      <c r="V95" s="7">
        <v>0.38500000000000001</v>
      </c>
      <c r="W95" s="7">
        <v>749</v>
      </c>
      <c r="X95" s="7" t="s">
        <v>80</v>
      </c>
      <c r="Y95" s="7" t="s">
        <v>80</v>
      </c>
      <c r="Z95" s="7" t="s">
        <v>1133</v>
      </c>
      <c r="AA95" s="137" t="s">
        <v>80</v>
      </c>
      <c r="AB95" s="7" t="s">
        <v>80</v>
      </c>
      <c r="AC95" s="7" t="s">
        <v>38</v>
      </c>
      <c r="AD95" s="7" t="s">
        <v>1082</v>
      </c>
      <c r="AE95" s="7" t="s">
        <v>58</v>
      </c>
      <c r="AF95" s="7" t="s">
        <v>58</v>
      </c>
      <c r="AG95" s="7" t="s">
        <v>58</v>
      </c>
      <c r="AH95" s="7">
        <v>-1.7600000000000001E-2</v>
      </c>
      <c r="AI95" s="7" t="s">
        <v>80</v>
      </c>
      <c r="AJ95" s="7">
        <v>-1.7600000000000001E-2</v>
      </c>
      <c r="AK95" s="7">
        <v>3.8159999999999999E-3</v>
      </c>
      <c r="AL95" s="7"/>
      <c r="AM95" s="7">
        <f>0.1035- -0.1387</f>
        <v>0.24219999999999997</v>
      </c>
      <c r="AN95" s="20">
        <f t="shared" si="0"/>
        <v>6.1785714285714277E-2</v>
      </c>
      <c r="AO95" s="7">
        <v>3.8159999999999999E-3</v>
      </c>
      <c r="AP95" s="7">
        <f t="shared" si="1"/>
        <v>1357</v>
      </c>
      <c r="AQ95" s="11">
        <v>44404</v>
      </c>
      <c r="AR95" s="7"/>
      <c r="AS95" s="7"/>
      <c r="AT95" s="7"/>
      <c r="AU95" s="7" t="s">
        <v>44</v>
      </c>
      <c r="AV95" s="7" t="s">
        <v>44</v>
      </c>
      <c r="AW95" s="7" t="s">
        <v>44</v>
      </c>
    </row>
    <row r="96" spans="1:49" ht="15.75" customHeight="1" thickBot="1">
      <c r="A96" s="7">
        <v>118</v>
      </c>
      <c r="B96" s="7">
        <v>53</v>
      </c>
      <c r="C96" s="7" t="s">
        <v>1079</v>
      </c>
      <c r="D96" s="7">
        <v>2020</v>
      </c>
      <c r="E96" s="13" t="s">
        <v>1083</v>
      </c>
      <c r="F96" s="7" t="s">
        <v>451</v>
      </c>
      <c r="G96" s="7">
        <v>2</v>
      </c>
      <c r="H96" s="7" t="s">
        <v>452</v>
      </c>
      <c r="I96" s="7">
        <v>2</v>
      </c>
      <c r="J96" s="7" t="s">
        <v>80</v>
      </c>
      <c r="K96" s="7" t="s">
        <v>1084</v>
      </c>
      <c r="L96" s="7" t="s">
        <v>244</v>
      </c>
      <c r="M96" s="7" t="s">
        <v>33</v>
      </c>
      <c r="N96" s="7" t="s">
        <v>53</v>
      </c>
      <c r="O96" s="7" t="s">
        <v>53</v>
      </c>
      <c r="P96" s="7" t="s">
        <v>600</v>
      </c>
      <c r="Q96" s="7" t="s">
        <v>35</v>
      </c>
      <c r="R96" s="7" t="s">
        <v>35</v>
      </c>
      <c r="S96" s="7" t="s">
        <v>55</v>
      </c>
      <c r="T96" s="7">
        <f>119/(119+247)</f>
        <v>0.3251366120218579</v>
      </c>
      <c r="U96" s="7">
        <f>119+247</f>
        <v>366</v>
      </c>
      <c r="V96" s="7">
        <f>205/(205+494)</f>
        <v>0.29327610872675253</v>
      </c>
      <c r="W96" s="7">
        <f>205+494</f>
        <v>699</v>
      </c>
      <c r="X96" s="7" t="s">
        <v>80</v>
      </c>
      <c r="Y96" s="7" t="s">
        <v>80</v>
      </c>
      <c r="Z96" s="7" t="s">
        <v>70</v>
      </c>
      <c r="AA96" s="137" t="s">
        <v>80</v>
      </c>
      <c r="AB96" s="7" t="s">
        <v>80</v>
      </c>
      <c r="AC96" s="7" t="s">
        <v>38</v>
      </c>
      <c r="AD96" s="7" t="s">
        <v>1085</v>
      </c>
      <c r="AE96" s="7" t="s">
        <v>58</v>
      </c>
      <c r="AF96" s="7" t="s">
        <v>58</v>
      </c>
      <c r="AG96" s="7" t="s">
        <v>58</v>
      </c>
      <c r="AH96" s="7">
        <v>-8.2299999999999998E-2</v>
      </c>
      <c r="AI96" s="7" t="s">
        <v>80</v>
      </c>
      <c r="AJ96" s="7">
        <v>-8.2299999999999998E-2</v>
      </c>
      <c r="AK96" s="7">
        <v>5.8830000000000002E-3</v>
      </c>
      <c r="AL96" s="7"/>
      <c r="AM96" s="7">
        <f>0.068--0.2326</f>
        <v>0.30059999999999998</v>
      </c>
      <c r="AN96" s="20">
        <f t="shared" si="0"/>
        <v>7.6683673469387745E-2</v>
      </c>
      <c r="AO96" s="7">
        <v>5.8830000000000002E-3</v>
      </c>
      <c r="AP96" s="7">
        <f t="shared" si="1"/>
        <v>1065</v>
      </c>
      <c r="AQ96" s="11">
        <v>44404</v>
      </c>
      <c r="AR96" s="7"/>
      <c r="AS96" s="7"/>
      <c r="AT96" s="7"/>
      <c r="AU96" s="7" t="s">
        <v>44</v>
      </c>
      <c r="AV96" s="7" t="s">
        <v>44</v>
      </c>
      <c r="AW96" s="7" t="s">
        <v>44</v>
      </c>
    </row>
    <row r="97" spans="1:49" ht="15.75" customHeight="1" thickBot="1">
      <c r="A97" s="7">
        <v>119</v>
      </c>
      <c r="B97" s="7">
        <v>53</v>
      </c>
      <c r="C97" s="7" t="s">
        <v>1079</v>
      </c>
      <c r="D97" s="7">
        <v>2020</v>
      </c>
      <c r="E97" s="13" t="s">
        <v>1083</v>
      </c>
      <c r="F97" s="7" t="s">
        <v>451</v>
      </c>
      <c r="G97" s="7">
        <v>2</v>
      </c>
      <c r="H97" s="7" t="s">
        <v>452</v>
      </c>
      <c r="I97" s="7">
        <v>2</v>
      </c>
      <c r="J97" s="7" t="s">
        <v>80</v>
      </c>
      <c r="K97" s="7" t="s">
        <v>1084</v>
      </c>
      <c r="L97" s="7" t="s">
        <v>244</v>
      </c>
      <c r="M97" s="7" t="s">
        <v>33</v>
      </c>
      <c r="N97" s="7" t="s">
        <v>53</v>
      </c>
      <c r="O97" s="7" t="s">
        <v>53</v>
      </c>
      <c r="P97" s="7" t="s">
        <v>601</v>
      </c>
      <c r="Q97" s="7" t="s">
        <v>35</v>
      </c>
      <c r="R97" s="7" t="s">
        <v>35</v>
      </c>
      <c r="S97" s="7" t="s">
        <v>55</v>
      </c>
      <c r="T97" s="7">
        <f>98/(98+267)</f>
        <v>0.26849315068493151</v>
      </c>
      <c r="U97" s="7">
        <f>98+267</f>
        <v>365</v>
      </c>
      <c r="V97" s="7">
        <f>148/(148+551)</f>
        <v>0.21173104434907011</v>
      </c>
      <c r="W97" s="7">
        <f>148+551</f>
        <v>699</v>
      </c>
      <c r="X97" s="7" t="s">
        <v>80</v>
      </c>
      <c r="Y97" s="7" t="s">
        <v>80</v>
      </c>
      <c r="Z97" s="7" t="s">
        <v>70</v>
      </c>
      <c r="AA97" s="137" t="s">
        <v>80</v>
      </c>
      <c r="AB97" s="7" t="s">
        <v>80</v>
      </c>
      <c r="AC97" s="7" t="s">
        <v>38</v>
      </c>
      <c r="AD97" s="7" t="s">
        <v>1086</v>
      </c>
      <c r="AE97" s="7" t="s">
        <v>58</v>
      </c>
      <c r="AF97" s="7" t="s">
        <v>58</v>
      </c>
      <c r="AG97" s="7" t="s">
        <v>58</v>
      </c>
      <c r="AH97" s="7">
        <v>-0.1721</v>
      </c>
      <c r="AI97" s="7" t="s">
        <v>80</v>
      </c>
      <c r="AJ97" s="7">
        <v>-0.1721</v>
      </c>
      <c r="AK97" s="7">
        <v>6.8459999999999997E-3</v>
      </c>
      <c r="AL97" s="7"/>
      <c r="AM97" s="7">
        <f>0.01--0.3343</f>
        <v>0.34429999999999999</v>
      </c>
      <c r="AN97" s="20">
        <f t="shared" si="0"/>
        <v>8.7831632653061223E-2</v>
      </c>
      <c r="AO97" s="7">
        <v>6.8459999999999997E-3</v>
      </c>
      <c r="AP97" s="7">
        <f t="shared" si="1"/>
        <v>1064</v>
      </c>
      <c r="AQ97" s="11">
        <v>44404</v>
      </c>
      <c r="AR97" s="7"/>
      <c r="AS97" s="7"/>
      <c r="AT97" s="7"/>
      <c r="AU97" s="7" t="s">
        <v>44</v>
      </c>
      <c r="AV97" s="7" t="s">
        <v>44</v>
      </c>
      <c r="AW97" s="7" t="s">
        <v>44</v>
      </c>
    </row>
    <row r="98" spans="1:49" ht="15.75" customHeight="1" thickBot="1">
      <c r="A98" s="7">
        <v>120</v>
      </c>
      <c r="B98" s="7">
        <v>53</v>
      </c>
      <c r="C98" s="7" t="s">
        <v>1079</v>
      </c>
      <c r="D98" s="7">
        <v>2020</v>
      </c>
      <c r="E98" s="13" t="s">
        <v>1083</v>
      </c>
      <c r="F98" s="7" t="s">
        <v>451</v>
      </c>
      <c r="G98" s="7">
        <v>2</v>
      </c>
      <c r="H98" s="7" t="s">
        <v>452</v>
      </c>
      <c r="I98" s="7">
        <v>2</v>
      </c>
      <c r="J98" s="7" t="s">
        <v>80</v>
      </c>
      <c r="K98" s="7" t="s">
        <v>1084</v>
      </c>
      <c r="L98" s="7" t="s">
        <v>244</v>
      </c>
      <c r="M98" s="7" t="s">
        <v>33</v>
      </c>
      <c r="N98" s="7" t="s">
        <v>53</v>
      </c>
      <c r="O98" s="7" t="s">
        <v>53</v>
      </c>
      <c r="P98" s="7" t="s">
        <v>602</v>
      </c>
      <c r="Q98" s="7" t="s">
        <v>35</v>
      </c>
      <c r="R98" s="7" t="s">
        <v>35</v>
      </c>
      <c r="S98" s="7" t="s">
        <v>55</v>
      </c>
      <c r="T98" s="7">
        <f>105/(105+260)</f>
        <v>0.28767123287671231</v>
      </c>
      <c r="U98" s="7">
        <f>105+260</f>
        <v>365</v>
      </c>
      <c r="V98" s="7">
        <f>156/(156+542)</f>
        <v>0.22349570200573066</v>
      </c>
      <c r="W98" s="7">
        <f>156+542</f>
        <v>698</v>
      </c>
      <c r="X98" s="7" t="s">
        <v>80</v>
      </c>
      <c r="Y98" s="7" t="s">
        <v>80</v>
      </c>
      <c r="Z98" s="7" t="s">
        <v>70</v>
      </c>
      <c r="AA98" s="137" t="s">
        <v>80</v>
      </c>
      <c r="AB98" s="7" t="s">
        <v>80</v>
      </c>
      <c r="AC98" s="7" t="s">
        <v>38</v>
      </c>
      <c r="AD98" s="7" t="s">
        <v>1087</v>
      </c>
      <c r="AE98" s="7" t="s">
        <v>58</v>
      </c>
      <c r="AF98" s="7" t="s">
        <v>58</v>
      </c>
      <c r="AG98" s="7" t="s">
        <v>58</v>
      </c>
      <c r="AH98" s="7">
        <v>-0.1867</v>
      </c>
      <c r="AI98" s="7" t="s">
        <v>80</v>
      </c>
      <c r="AJ98" s="7">
        <v>-0.1867</v>
      </c>
      <c r="AK98" s="7">
        <v>6.5729999999999998E-3</v>
      </c>
      <c r="AL98" s="7"/>
      <c r="AM98" s="7">
        <f>-0.0278--0.3456</f>
        <v>0.31780000000000003</v>
      </c>
      <c r="AN98" s="20">
        <f t="shared" si="0"/>
        <v>8.1071428571428586E-2</v>
      </c>
      <c r="AO98" s="7">
        <v>6.5729999999999998E-3</v>
      </c>
      <c r="AP98" s="7">
        <f t="shared" si="1"/>
        <v>1063</v>
      </c>
      <c r="AQ98" s="11">
        <v>44404</v>
      </c>
      <c r="AR98" s="7"/>
      <c r="AS98" s="7"/>
      <c r="AT98" s="7"/>
      <c r="AU98" s="7" t="s">
        <v>44</v>
      </c>
      <c r="AV98" s="7" t="s">
        <v>44</v>
      </c>
      <c r="AW98" s="7" t="s">
        <v>44</v>
      </c>
    </row>
    <row r="99" spans="1:49" ht="15.75" customHeight="1" thickBot="1">
      <c r="A99" s="7">
        <v>121</v>
      </c>
      <c r="B99" s="7">
        <v>54</v>
      </c>
      <c r="C99" s="7" t="s">
        <v>1177</v>
      </c>
      <c r="D99" s="7">
        <v>2021</v>
      </c>
      <c r="E99" s="7" t="s">
        <v>1005</v>
      </c>
      <c r="F99" s="7" t="s">
        <v>1088</v>
      </c>
      <c r="G99" s="7">
        <v>7</v>
      </c>
      <c r="H99" s="7" t="s">
        <v>1089</v>
      </c>
      <c r="I99" s="7">
        <v>7</v>
      </c>
      <c r="J99" s="7" t="s">
        <v>80</v>
      </c>
      <c r="K99" s="7" t="s">
        <v>1004</v>
      </c>
      <c r="L99" s="7" t="s">
        <v>244</v>
      </c>
      <c r="M99" s="7" t="s">
        <v>33</v>
      </c>
      <c r="N99" s="7" t="s">
        <v>53</v>
      </c>
      <c r="O99" s="7" t="s">
        <v>53</v>
      </c>
      <c r="P99" s="7" t="s">
        <v>602</v>
      </c>
      <c r="Q99" s="7" t="s">
        <v>422</v>
      </c>
      <c r="R99" s="7" t="s">
        <v>490</v>
      </c>
      <c r="S99" s="7" t="s">
        <v>55</v>
      </c>
      <c r="T99" s="7">
        <f>140/(140+171)</f>
        <v>0.45016077170418006</v>
      </c>
      <c r="U99" s="7">
        <v>311</v>
      </c>
      <c r="V99" s="7">
        <f>172/W99</f>
        <v>0.39002267573696148</v>
      </c>
      <c r="W99" s="7">
        <v>441</v>
      </c>
      <c r="X99" s="7" t="s">
        <v>80</v>
      </c>
      <c r="Y99" s="7" t="s">
        <v>80</v>
      </c>
      <c r="Z99" s="7" t="s">
        <v>1090</v>
      </c>
      <c r="AA99" s="137" t="s">
        <v>80</v>
      </c>
      <c r="AB99" s="7" t="s">
        <v>80</v>
      </c>
      <c r="AC99" s="7" t="s">
        <v>38</v>
      </c>
      <c r="AD99" s="7" t="s">
        <v>1091</v>
      </c>
      <c r="AE99" s="7" t="s">
        <v>58</v>
      </c>
      <c r="AF99" s="7" t="s">
        <v>58</v>
      </c>
      <c r="AG99" s="7" t="s">
        <v>58</v>
      </c>
      <c r="AH99" s="7">
        <v>-0.1363</v>
      </c>
      <c r="AI99" s="7" t="s">
        <v>80</v>
      </c>
      <c r="AJ99" s="7">
        <v>-0.1363</v>
      </c>
      <c r="AK99" s="7">
        <v>6.8459999999999997E-3</v>
      </c>
      <c r="AL99" s="7"/>
      <c r="AM99" s="7">
        <f>0.0259--0.2985</f>
        <v>0.32439999999999997</v>
      </c>
      <c r="AN99" s="20">
        <f t="shared" si="0"/>
        <v>8.275510204081632E-2</v>
      </c>
      <c r="AO99" s="7">
        <v>6.8459999999999997E-3</v>
      </c>
      <c r="AP99" s="7">
        <f t="shared" si="1"/>
        <v>752</v>
      </c>
      <c r="AQ99" s="11">
        <v>44404</v>
      </c>
      <c r="AR99" s="7"/>
      <c r="AS99" s="7"/>
      <c r="AT99" s="7"/>
      <c r="AU99" s="7" t="s">
        <v>44</v>
      </c>
      <c r="AV99" s="7" t="s">
        <v>44</v>
      </c>
      <c r="AW99" s="7" t="s">
        <v>44</v>
      </c>
    </row>
    <row r="100" spans="1:49" ht="15.75" customHeight="1" thickBot="1">
      <c r="A100" s="7">
        <v>122</v>
      </c>
      <c r="B100" s="7">
        <v>55</v>
      </c>
      <c r="C100" s="7" t="s">
        <v>1176</v>
      </c>
      <c r="D100" s="7">
        <v>2021</v>
      </c>
      <c r="E100" s="7" t="s">
        <v>984</v>
      </c>
      <c r="F100" s="7" t="s">
        <v>1092</v>
      </c>
      <c r="G100" s="7">
        <v>2</v>
      </c>
      <c r="H100" s="7" t="s">
        <v>1093</v>
      </c>
      <c r="I100" s="7">
        <v>2</v>
      </c>
      <c r="J100" s="7" t="s">
        <v>80</v>
      </c>
      <c r="K100" s="7" t="s">
        <v>1094</v>
      </c>
      <c r="L100" s="7" t="s">
        <v>599</v>
      </c>
      <c r="M100" s="7" t="s">
        <v>33</v>
      </c>
      <c r="N100" s="7" t="s">
        <v>53</v>
      </c>
      <c r="O100" s="7" t="s">
        <v>53</v>
      </c>
      <c r="P100" s="7" t="s">
        <v>600</v>
      </c>
      <c r="Q100" s="7" t="s">
        <v>35</v>
      </c>
      <c r="R100" s="7" t="s">
        <v>35</v>
      </c>
      <c r="S100" s="7" t="s">
        <v>259</v>
      </c>
      <c r="T100" s="7">
        <v>0.25609999999999999</v>
      </c>
      <c r="U100" s="7">
        <v>82</v>
      </c>
      <c r="V100" s="7">
        <v>0.1333</v>
      </c>
      <c r="W100" s="7">
        <v>90</v>
      </c>
      <c r="X100" s="7" t="s">
        <v>80</v>
      </c>
      <c r="Y100" s="7" t="s">
        <v>80</v>
      </c>
      <c r="Z100" s="7" t="s">
        <v>1095</v>
      </c>
      <c r="AA100" s="137" t="s">
        <v>80</v>
      </c>
      <c r="AB100" s="7" t="s">
        <v>80</v>
      </c>
      <c r="AC100" s="7" t="s">
        <v>38</v>
      </c>
      <c r="AD100" s="7" t="s">
        <v>1096</v>
      </c>
      <c r="AE100" s="7" t="s">
        <v>58</v>
      </c>
      <c r="AF100" s="7" t="s">
        <v>58</v>
      </c>
      <c r="AG100" s="7" t="s">
        <v>58</v>
      </c>
      <c r="AH100" s="7">
        <v>-0.44409999999999999</v>
      </c>
      <c r="AI100" s="7" t="s">
        <v>80</v>
      </c>
      <c r="AJ100" s="7">
        <v>-0.44409999999999999</v>
      </c>
      <c r="AK100" s="7">
        <v>4.8684999999999999E-2</v>
      </c>
      <c r="AL100" s="7"/>
      <c r="AM100" s="7">
        <f>-0.0116--0.8765</f>
        <v>0.8649</v>
      </c>
      <c r="AN100" s="20">
        <f t="shared" si="0"/>
        <v>0.22063775510204081</v>
      </c>
      <c r="AO100" s="7">
        <v>4.8684999999999999E-2</v>
      </c>
      <c r="AP100" s="7">
        <f t="shared" si="1"/>
        <v>172</v>
      </c>
      <c r="AQ100" s="11">
        <v>44404</v>
      </c>
      <c r="AR100" s="7"/>
      <c r="AS100" s="7"/>
      <c r="AT100" s="7"/>
      <c r="AU100" s="7" t="s">
        <v>44</v>
      </c>
      <c r="AV100" s="7" t="s">
        <v>44</v>
      </c>
      <c r="AW100" s="7" t="s">
        <v>44</v>
      </c>
    </row>
    <row r="101" spans="1:49" ht="15.75" customHeight="1" thickBot="1">
      <c r="A101" s="7">
        <v>123</v>
      </c>
      <c r="B101" s="7">
        <v>55</v>
      </c>
      <c r="C101" s="7" t="s">
        <v>1176</v>
      </c>
      <c r="D101" s="7">
        <v>2021</v>
      </c>
      <c r="E101" s="7" t="s">
        <v>984</v>
      </c>
      <c r="F101" s="7" t="s">
        <v>1092</v>
      </c>
      <c r="G101" s="7">
        <v>2</v>
      </c>
      <c r="H101" s="7" t="s">
        <v>1093</v>
      </c>
      <c r="I101" s="7">
        <v>2</v>
      </c>
      <c r="J101" s="7" t="s">
        <v>80</v>
      </c>
      <c r="K101" s="7" t="s">
        <v>1097</v>
      </c>
      <c r="L101" s="7" t="s">
        <v>67</v>
      </c>
      <c r="M101" s="7" t="s">
        <v>33</v>
      </c>
      <c r="N101" s="7" t="s">
        <v>53</v>
      </c>
      <c r="O101" s="7" t="s">
        <v>53</v>
      </c>
      <c r="P101" s="7" t="s">
        <v>600</v>
      </c>
      <c r="Q101" s="7" t="s">
        <v>35</v>
      </c>
      <c r="R101" s="7" t="s">
        <v>35</v>
      </c>
      <c r="S101" s="7" t="s">
        <v>259</v>
      </c>
      <c r="T101" s="7">
        <v>0.26119999999999999</v>
      </c>
      <c r="U101" s="7">
        <v>725</v>
      </c>
      <c r="V101" s="7">
        <v>0.26</v>
      </c>
      <c r="W101" s="7">
        <v>2306</v>
      </c>
      <c r="X101" s="7" t="s">
        <v>80</v>
      </c>
      <c r="Y101" s="7" t="s">
        <v>80</v>
      </c>
      <c r="Z101" s="7" t="s">
        <v>1095</v>
      </c>
      <c r="AA101" s="137" t="s">
        <v>80</v>
      </c>
      <c r="AB101" s="7" t="s">
        <v>80</v>
      </c>
      <c r="AC101" s="7" t="s">
        <v>38</v>
      </c>
      <c r="AD101" s="7" t="s">
        <v>1098</v>
      </c>
      <c r="AE101" s="7" t="s">
        <v>58</v>
      </c>
      <c r="AF101" s="7" t="s">
        <v>58</v>
      </c>
      <c r="AG101" s="7" t="s">
        <v>58</v>
      </c>
      <c r="AH101" s="7">
        <v>-1.4E-3</v>
      </c>
      <c r="AI101" s="7" t="s">
        <v>80</v>
      </c>
      <c r="AJ101" s="7">
        <v>-1.4E-3</v>
      </c>
      <c r="AK101" s="7">
        <v>2.8600000000000001E-3</v>
      </c>
      <c r="AL101" s="7"/>
      <c r="AM101" s="7">
        <f>0.1034--0.1062</f>
        <v>0.20960000000000001</v>
      </c>
      <c r="AN101" s="20">
        <f t="shared" si="0"/>
        <v>5.3469387755102044E-2</v>
      </c>
      <c r="AO101" s="7">
        <v>2.8600000000000001E-3</v>
      </c>
      <c r="AP101" s="7">
        <f t="shared" si="1"/>
        <v>3031</v>
      </c>
      <c r="AQ101" s="11">
        <v>44404</v>
      </c>
      <c r="AR101" s="7"/>
      <c r="AS101" s="7"/>
      <c r="AT101" s="7"/>
      <c r="AU101" s="7" t="s">
        <v>44</v>
      </c>
      <c r="AV101" s="7" t="s">
        <v>44</v>
      </c>
      <c r="AW101" s="7" t="s">
        <v>44</v>
      </c>
    </row>
    <row r="102" spans="1:49" ht="15.75" customHeight="1" thickBot="1">
      <c r="A102" s="7">
        <v>124</v>
      </c>
      <c r="B102" s="7">
        <v>55</v>
      </c>
      <c r="C102" s="7" t="s">
        <v>1176</v>
      </c>
      <c r="D102" s="7">
        <v>2021</v>
      </c>
      <c r="E102" s="7" t="s">
        <v>984</v>
      </c>
      <c r="F102" s="7" t="s">
        <v>1092</v>
      </c>
      <c r="G102" s="7">
        <v>2</v>
      </c>
      <c r="H102" s="7" t="s">
        <v>1093</v>
      </c>
      <c r="I102" s="7">
        <v>2</v>
      </c>
      <c r="J102" s="7" t="s">
        <v>80</v>
      </c>
      <c r="K102" s="7" t="s">
        <v>695</v>
      </c>
      <c r="L102" s="7" t="s">
        <v>176</v>
      </c>
      <c r="M102" s="7" t="s">
        <v>33</v>
      </c>
      <c r="N102" s="7" t="s">
        <v>53</v>
      </c>
      <c r="O102" s="7" t="s">
        <v>53</v>
      </c>
      <c r="P102" s="7" t="s">
        <v>600</v>
      </c>
      <c r="Q102" s="7" t="s">
        <v>35</v>
      </c>
      <c r="R102" s="7" t="s">
        <v>35</v>
      </c>
      <c r="S102" s="7" t="s">
        <v>259</v>
      </c>
      <c r="T102" s="7">
        <v>0.18240000000000001</v>
      </c>
      <c r="U102" s="7">
        <v>178</v>
      </c>
      <c r="V102" s="7">
        <v>0.15129999999999999</v>
      </c>
      <c r="W102" s="7">
        <v>334</v>
      </c>
      <c r="X102" s="7" t="s">
        <v>80</v>
      </c>
      <c r="Y102" s="7" t="s">
        <v>80</v>
      </c>
      <c r="Z102" s="7" t="s">
        <v>1095</v>
      </c>
      <c r="AA102" s="137" t="s">
        <v>80</v>
      </c>
      <c r="AB102" s="7" t="s">
        <v>80</v>
      </c>
      <c r="AC102" s="7" t="s">
        <v>38</v>
      </c>
      <c r="AD102" s="7" t="s">
        <v>1099</v>
      </c>
      <c r="AE102" s="7" t="s">
        <v>58</v>
      </c>
      <c r="AF102" s="7" t="s">
        <v>58</v>
      </c>
      <c r="AG102" s="7" t="s">
        <v>58</v>
      </c>
      <c r="AH102" s="7">
        <v>-0.1079</v>
      </c>
      <c r="AI102" s="7" t="s">
        <v>80</v>
      </c>
      <c r="AJ102" s="7">
        <v>-0.1079</v>
      </c>
      <c r="AK102" s="7">
        <v>1.8615E-2</v>
      </c>
      <c r="AL102" s="7"/>
      <c r="AM102" s="7">
        <f>0.1595--0.3753</f>
        <v>0.53480000000000005</v>
      </c>
      <c r="AN102" s="20">
        <f t="shared" si="0"/>
        <v>0.13642857142857145</v>
      </c>
      <c r="AO102" s="7">
        <v>1.8615E-2</v>
      </c>
      <c r="AP102" s="7">
        <f t="shared" si="1"/>
        <v>512</v>
      </c>
      <c r="AQ102" s="11">
        <v>44404</v>
      </c>
      <c r="AR102" s="7"/>
      <c r="AS102" s="7"/>
      <c r="AT102" s="7"/>
      <c r="AU102" s="7" t="s">
        <v>44</v>
      </c>
      <c r="AV102" s="7" t="s">
        <v>44</v>
      </c>
      <c r="AW102" s="7" t="s">
        <v>44</v>
      </c>
    </row>
    <row r="103" spans="1:49" ht="15.75" customHeight="1" thickBot="1">
      <c r="A103" s="7">
        <v>125</v>
      </c>
      <c r="B103" s="7">
        <v>55</v>
      </c>
      <c r="C103" s="7" t="s">
        <v>1176</v>
      </c>
      <c r="D103" s="7">
        <v>2021</v>
      </c>
      <c r="E103" s="7" t="s">
        <v>984</v>
      </c>
      <c r="F103" s="7" t="s">
        <v>1092</v>
      </c>
      <c r="G103" s="7">
        <v>2</v>
      </c>
      <c r="H103" s="7" t="s">
        <v>1093</v>
      </c>
      <c r="I103" s="7">
        <v>2</v>
      </c>
      <c r="J103" s="7" t="s">
        <v>80</v>
      </c>
      <c r="K103" s="7" t="s">
        <v>1100</v>
      </c>
      <c r="L103" s="7" t="s">
        <v>67</v>
      </c>
      <c r="M103" s="7" t="s">
        <v>33</v>
      </c>
      <c r="N103" s="7" t="s">
        <v>53</v>
      </c>
      <c r="O103" s="7" t="s">
        <v>53</v>
      </c>
      <c r="P103" s="7" t="s">
        <v>600</v>
      </c>
      <c r="Q103" s="7" t="s">
        <v>35</v>
      </c>
      <c r="R103" s="7" t="s">
        <v>35</v>
      </c>
      <c r="S103" s="7" t="s">
        <v>259</v>
      </c>
      <c r="T103" s="7">
        <v>0.22691</v>
      </c>
      <c r="U103" s="7">
        <v>148</v>
      </c>
      <c r="V103" s="7">
        <v>0.22070000000000001</v>
      </c>
      <c r="W103" s="7">
        <v>238</v>
      </c>
      <c r="X103" s="7" t="s">
        <v>80</v>
      </c>
      <c r="Y103" s="7" t="s">
        <v>80</v>
      </c>
      <c r="Z103" s="7" t="s">
        <v>1095</v>
      </c>
      <c r="AA103" s="137" t="s">
        <v>80</v>
      </c>
      <c r="AB103" s="7" t="s">
        <v>80</v>
      </c>
      <c r="AC103" s="7" t="s">
        <v>38</v>
      </c>
      <c r="AD103" s="7" t="s">
        <v>1101</v>
      </c>
      <c r="AE103" s="7" t="s">
        <v>58</v>
      </c>
      <c r="AF103" s="7" t="s">
        <v>58</v>
      </c>
      <c r="AG103" s="7" t="s">
        <v>58</v>
      </c>
      <c r="AH103" s="7">
        <v>-2.2200000000000001E-2</v>
      </c>
      <c r="AI103" s="7" t="s">
        <v>80</v>
      </c>
      <c r="AJ103" s="7">
        <v>-2.2200000000000001E-2</v>
      </c>
      <c r="AK103" s="7">
        <v>1.8984999999999998E-2</v>
      </c>
      <c r="AL103" s="7"/>
      <c r="AM103" s="7">
        <f>0.2479--0.2922</f>
        <v>0.54010000000000002</v>
      </c>
      <c r="AN103" s="20">
        <f t="shared" si="0"/>
        <v>0.13778061224489796</v>
      </c>
      <c r="AO103" s="7">
        <v>1.8984999999999998E-2</v>
      </c>
      <c r="AP103" s="7">
        <f t="shared" si="1"/>
        <v>386</v>
      </c>
      <c r="AQ103" s="11">
        <v>44404</v>
      </c>
      <c r="AR103" s="7"/>
      <c r="AS103" s="7"/>
      <c r="AT103" s="7"/>
      <c r="AU103" s="7" t="s">
        <v>44</v>
      </c>
      <c r="AV103" s="7" t="s">
        <v>44</v>
      </c>
      <c r="AW103" s="7" t="s">
        <v>44</v>
      </c>
    </row>
    <row r="104" spans="1:49" ht="15.75" customHeight="1" thickBot="1">
      <c r="A104" s="7">
        <v>126</v>
      </c>
      <c r="B104" s="7">
        <v>55</v>
      </c>
      <c r="C104" s="7" t="s">
        <v>1176</v>
      </c>
      <c r="D104" s="7">
        <v>2021</v>
      </c>
      <c r="E104" s="7" t="s">
        <v>984</v>
      </c>
      <c r="F104" s="7" t="s">
        <v>1092</v>
      </c>
      <c r="G104" s="7">
        <v>2</v>
      </c>
      <c r="H104" s="7" t="s">
        <v>1093</v>
      </c>
      <c r="I104" s="7">
        <v>2</v>
      </c>
      <c r="J104" s="7" t="s">
        <v>80</v>
      </c>
      <c r="K104" s="7" t="s">
        <v>1102</v>
      </c>
      <c r="L104" s="7" t="s">
        <v>599</v>
      </c>
      <c r="M104" s="7" t="s">
        <v>33</v>
      </c>
      <c r="N104" s="7" t="s">
        <v>53</v>
      </c>
      <c r="O104" s="7" t="s">
        <v>53</v>
      </c>
      <c r="P104" s="7" t="s">
        <v>600</v>
      </c>
      <c r="Q104" s="7" t="s">
        <v>35</v>
      </c>
      <c r="R104" s="7" t="s">
        <v>35</v>
      </c>
      <c r="S104" s="7" t="s">
        <v>259</v>
      </c>
      <c r="T104" s="7">
        <v>0.31929999999999997</v>
      </c>
      <c r="U104" s="7">
        <v>454</v>
      </c>
      <c r="V104" s="7">
        <v>0.32219999999999999</v>
      </c>
      <c r="W104" s="7">
        <v>811</v>
      </c>
      <c r="X104" s="7" t="s">
        <v>80</v>
      </c>
      <c r="Y104" s="7" t="s">
        <v>80</v>
      </c>
      <c r="Z104" s="7" t="s">
        <v>1095</v>
      </c>
      <c r="AA104" s="137" t="s">
        <v>80</v>
      </c>
      <c r="AB104" s="7" t="s">
        <v>80</v>
      </c>
      <c r="AC104" s="7" t="s">
        <v>38</v>
      </c>
      <c r="AD104" s="7" t="s">
        <v>1103</v>
      </c>
      <c r="AE104" s="7" t="s">
        <v>58</v>
      </c>
      <c r="AF104" s="7" t="s">
        <v>58</v>
      </c>
      <c r="AG104" s="7" t="s">
        <v>58</v>
      </c>
      <c r="AH104" s="7">
        <v>6.1999999999999998E-3</v>
      </c>
      <c r="AI104" s="7" t="s">
        <v>80</v>
      </c>
      <c r="AJ104" s="7">
        <v>6.1999999999999998E-3</v>
      </c>
      <c r="AK104" s="7">
        <v>4.797E-3</v>
      </c>
      <c r="AL104" s="7"/>
      <c r="AM104" s="7">
        <f>0.1419--0.1296</f>
        <v>0.27149999999999996</v>
      </c>
      <c r="AN104" s="20">
        <f t="shared" si="0"/>
        <v>6.9260204081632651E-2</v>
      </c>
      <c r="AO104" s="7">
        <v>4.797E-3</v>
      </c>
      <c r="AP104" s="7">
        <f t="shared" si="1"/>
        <v>1265</v>
      </c>
      <c r="AQ104" s="11">
        <v>44404</v>
      </c>
      <c r="AR104" s="7"/>
      <c r="AS104" s="7"/>
      <c r="AT104" s="7"/>
      <c r="AU104" s="7" t="s">
        <v>44</v>
      </c>
      <c r="AV104" s="7" t="s">
        <v>44</v>
      </c>
      <c r="AW104" s="7" t="s">
        <v>44</v>
      </c>
    </row>
    <row r="105" spans="1:49" ht="17" thickBot="1">
      <c r="A105" s="7">
        <v>127</v>
      </c>
      <c r="B105" s="7">
        <v>55</v>
      </c>
      <c r="C105" s="7" t="s">
        <v>1176</v>
      </c>
      <c r="D105" s="7">
        <v>2021</v>
      </c>
      <c r="E105" s="7" t="s">
        <v>984</v>
      </c>
      <c r="F105" s="7" t="s">
        <v>1092</v>
      </c>
      <c r="G105" s="7">
        <v>2</v>
      </c>
      <c r="H105" s="7" t="s">
        <v>1093</v>
      </c>
      <c r="I105" s="7">
        <v>2</v>
      </c>
      <c r="J105" s="7" t="s">
        <v>80</v>
      </c>
      <c r="K105" s="7" t="s">
        <v>1104</v>
      </c>
      <c r="L105" s="7" t="s">
        <v>176</v>
      </c>
      <c r="M105" s="7" t="s">
        <v>33</v>
      </c>
      <c r="N105" s="7" t="s">
        <v>53</v>
      </c>
      <c r="O105" s="7" t="s">
        <v>53</v>
      </c>
      <c r="P105" s="7" t="s">
        <v>600</v>
      </c>
      <c r="Q105" s="7" t="s">
        <v>35</v>
      </c>
      <c r="R105" s="7" t="s">
        <v>35</v>
      </c>
      <c r="S105" s="7" t="s">
        <v>259</v>
      </c>
      <c r="T105" s="7">
        <v>0.31459999999999999</v>
      </c>
      <c r="U105" s="7">
        <v>134</v>
      </c>
      <c r="V105" s="7">
        <v>0.22750000000000001</v>
      </c>
      <c r="W105" s="7">
        <v>100</v>
      </c>
      <c r="X105" s="7" t="s">
        <v>80</v>
      </c>
      <c r="Y105" s="7" t="s">
        <v>80</v>
      </c>
      <c r="Z105" s="7" t="s">
        <v>1095</v>
      </c>
      <c r="AA105" s="137" t="s">
        <v>80</v>
      </c>
      <c r="AB105" s="7" t="s">
        <v>80</v>
      </c>
      <c r="AC105" s="7" t="s">
        <v>38</v>
      </c>
      <c r="AD105" s="7" t="s">
        <v>1105</v>
      </c>
      <c r="AE105" s="7" t="s">
        <v>58</v>
      </c>
      <c r="AF105" s="7" t="s">
        <v>58</v>
      </c>
      <c r="AG105" s="7" t="s">
        <v>58</v>
      </c>
      <c r="AH105" s="7">
        <v>-0.2339</v>
      </c>
      <c r="AI105" s="7" t="s">
        <v>80</v>
      </c>
      <c r="AJ105" s="7">
        <v>-0.2339</v>
      </c>
      <c r="AK105" s="7">
        <v>2.7705E-2</v>
      </c>
      <c r="AL105" s="7"/>
      <c r="AM105" s="7">
        <f>0.0924--0.5601</f>
        <v>0.65250000000000008</v>
      </c>
      <c r="AN105" s="20">
        <f t="shared" si="0"/>
        <v>0.16645408163265307</v>
      </c>
      <c r="AO105" s="7">
        <v>2.7705E-2</v>
      </c>
      <c r="AP105" s="7">
        <f t="shared" si="1"/>
        <v>234</v>
      </c>
      <c r="AQ105" s="11">
        <v>44404</v>
      </c>
      <c r="AR105" s="7"/>
      <c r="AS105" s="7"/>
      <c r="AT105" s="7"/>
      <c r="AU105" s="7" t="s">
        <v>44</v>
      </c>
      <c r="AV105" s="7" t="s">
        <v>44</v>
      </c>
      <c r="AW105" s="7" t="s">
        <v>44</v>
      </c>
    </row>
    <row r="106" spans="1:49" ht="17" thickBot="1">
      <c r="A106" s="7">
        <v>128</v>
      </c>
      <c r="B106" s="7">
        <v>55</v>
      </c>
      <c r="C106" s="7" t="s">
        <v>1176</v>
      </c>
      <c r="D106" s="7">
        <v>2021</v>
      </c>
      <c r="E106" s="7" t="s">
        <v>984</v>
      </c>
      <c r="F106" s="7" t="s">
        <v>1092</v>
      </c>
      <c r="G106" s="7">
        <v>2</v>
      </c>
      <c r="H106" s="7" t="s">
        <v>1093</v>
      </c>
      <c r="I106" s="7">
        <v>2</v>
      </c>
      <c r="J106" s="7" t="s">
        <v>80</v>
      </c>
      <c r="K106" s="7" t="s">
        <v>1075</v>
      </c>
      <c r="L106" s="7" t="s">
        <v>599</v>
      </c>
      <c r="M106" s="7" t="s">
        <v>33</v>
      </c>
      <c r="N106" s="7" t="s">
        <v>53</v>
      </c>
      <c r="O106" s="7" t="s">
        <v>53</v>
      </c>
      <c r="P106" s="7" t="s">
        <v>600</v>
      </c>
      <c r="Q106" s="7" t="s">
        <v>35</v>
      </c>
      <c r="R106" s="7" t="s">
        <v>35</v>
      </c>
      <c r="S106" s="7" t="s">
        <v>259</v>
      </c>
      <c r="T106" s="7">
        <v>0.14580000000000001</v>
      </c>
      <c r="U106" s="7">
        <v>19655</v>
      </c>
      <c r="V106" s="7">
        <v>0.1474</v>
      </c>
      <c r="W106" s="7">
        <v>22085</v>
      </c>
      <c r="X106" s="7" t="s">
        <v>80</v>
      </c>
      <c r="Y106" s="7" t="s">
        <v>80</v>
      </c>
      <c r="Z106" s="7" t="s">
        <v>1095</v>
      </c>
      <c r="AA106" s="137" t="s">
        <v>80</v>
      </c>
      <c r="AB106" s="7" t="s">
        <v>80</v>
      </c>
      <c r="AC106" s="7" t="s">
        <v>38</v>
      </c>
      <c r="AD106" s="7" t="s">
        <v>1106</v>
      </c>
      <c r="AE106" s="7" t="s">
        <v>58</v>
      </c>
      <c r="AF106" s="7" t="s">
        <v>58</v>
      </c>
      <c r="AG106" s="7" t="s">
        <v>58</v>
      </c>
      <c r="AH106" s="7">
        <v>6.8999999999999999E-3</v>
      </c>
      <c r="AI106" s="7" t="s">
        <v>80</v>
      </c>
      <c r="AJ106" s="7">
        <v>6.8999999999999999E-3</v>
      </c>
      <c r="AK106" s="7">
        <v>2.34E-4</v>
      </c>
      <c r="AL106" s="7"/>
      <c r="AM106" s="7">
        <f>0.0369--0.023</f>
        <v>5.9900000000000002E-2</v>
      </c>
      <c r="AN106" s="20">
        <f t="shared" si="0"/>
        <v>1.528061224489796E-2</v>
      </c>
      <c r="AO106" s="7">
        <v>2.34E-4</v>
      </c>
      <c r="AP106" s="7">
        <f t="shared" si="1"/>
        <v>41740</v>
      </c>
      <c r="AQ106" s="11">
        <v>44404</v>
      </c>
      <c r="AR106" s="7"/>
      <c r="AS106" s="7"/>
      <c r="AT106" s="7"/>
      <c r="AU106" s="7" t="s">
        <v>44</v>
      </c>
      <c r="AV106" s="7" t="s">
        <v>44</v>
      </c>
      <c r="AW106" s="7" t="s">
        <v>44</v>
      </c>
    </row>
    <row r="107" spans="1:49" ht="15.75" customHeight="1" thickBot="1">
      <c r="A107" s="7">
        <v>129</v>
      </c>
      <c r="B107" s="7">
        <v>55</v>
      </c>
      <c r="C107" s="7" t="s">
        <v>1176</v>
      </c>
      <c r="D107" s="7">
        <v>2021</v>
      </c>
      <c r="E107" s="7" t="s">
        <v>984</v>
      </c>
      <c r="F107" s="7" t="s">
        <v>1092</v>
      </c>
      <c r="G107" s="7">
        <v>2</v>
      </c>
      <c r="H107" s="7" t="s">
        <v>1093</v>
      </c>
      <c r="I107" s="7">
        <v>2</v>
      </c>
      <c r="J107" s="7" t="s">
        <v>80</v>
      </c>
      <c r="K107" s="7" t="s">
        <v>213</v>
      </c>
      <c r="L107" s="7" t="s">
        <v>120</v>
      </c>
      <c r="M107" s="7" t="s">
        <v>33</v>
      </c>
      <c r="N107" s="7" t="s">
        <v>53</v>
      </c>
      <c r="O107" s="7" t="s">
        <v>53</v>
      </c>
      <c r="P107" s="7" t="s">
        <v>600</v>
      </c>
      <c r="Q107" s="7" t="s">
        <v>35</v>
      </c>
      <c r="R107" s="7" t="s">
        <v>35</v>
      </c>
      <c r="S107" s="7" t="s">
        <v>259</v>
      </c>
      <c r="T107" s="7">
        <v>0.30430000000000001</v>
      </c>
      <c r="U107" s="7">
        <v>451</v>
      </c>
      <c r="V107" s="7">
        <v>0.31119999999999998</v>
      </c>
      <c r="W107" s="7">
        <v>869</v>
      </c>
      <c r="X107" s="7" t="s">
        <v>80</v>
      </c>
      <c r="Y107" s="7" t="s">
        <v>80</v>
      </c>
      <c r="Z107" s="7" t="s">
        <v>1095</v>
      </c>
      <c r="AA107" s="137" t="s">
        <v>80</v>
      </c>
      <c r="AB107" s="7" t="s">
        <v>80</v>
      </c>
      <c r="AC107" s="7" t="s">
        <v>38</v>
      </c>
      <c r="AD107" s="7" t="s">
        <v>1107</v>
      </c>
      <c r="AE107" s="7" t="s">
        <v>58</v>
      </c>
      <c r="AF107" s="7" t="s">
        <v>58</v>
      </c>
      <c r="AG107" s="7" t="s">
        <v>58</v>
      </c>
      <c r="AH107" s="7">
        <v>1.7999999999999999E-2</v>
      </c>
      <c r="AI107" s="7" t="s">
        <v>80</v>
      </c>
      <c r="AJ107" s="7">
        <v>1.7999999999999999E-2</v>
      </c>
      <c r="AK107" s="7">
        <v>4.8199999999999996E-3</v>
      </c>
      <c r="AL107" s="7"/>
      <c r="AM107" s="7">
        <f>0.154--0.1181</f>
        <v>0.27210000000000001</v>
      </c>
      <c r="AN107" s="20">
        <f t="shared" si="0"/>
        <v>6.9413265306122449E-2</v>
      </c>
      <c r="AO107" s="7">
        <v>4.8199999999999996E-3</v>
      </c>
      <c r="AP107" s="7">
        <f t="shared" si="1"/>
        <v>1320</v>
      </c>
      <c r="AQ107" s="11">
        <v>44404</v>
      </c>
      <c r="AR107" s="7"/>
      <c r="AS107" s="7"/>
      <c r="AT107" s="7"/>
      <c r="AU107" s="7" t="s">
        <v>44</v>
      </c>
      <c r="AV107" s="7" t="s">
        <v>44</v>
      </c>
      <c r="AW107" s="7" t="s">
        <v>44</v>
      </c>
    </row>
    <row r="108" spans="1:49" ht="15.75" customHeight="1" thickBot="1">
      <c r="A108" s="7">
        <v>130</v>
      </c>
      <c r="B108" s="7">
        <v>55</v>
      </c>
      <c r="C108" s="7" t="s">
        <v>1176</v>
      </c>
      <c r="D108" s="7">
        <v>2021</v>
      </c>
      <c r="E108" s="7" t="s">
        <v>984</v>
      </c>
      <c r="F108" s="7" t="s">
        <v>1092</v>
      </c>
      <c r="G108" s="7">
        <v>2</v>
      </c>
      <c r="H108" s="7" t="s">
        <v>1093</v>
      </c>
      <c r="I108" s="7">
        <v>2</v>
      </c>
      <c r="J108" s="7" t="s">
        <v>80</v>
      </c>
      <c r="K108" s="7" t="s">
        <v>170</v>
      </c>
      <c r="L108" s="7" t="s">
        <v>244</v>
      </c>
      <c r="M108" s="7" t="s">
        <v>33</v>
      </c>
      <c r="N108" s="7" t="s">
        <v>53</v>
      </c>
      <c r="O108" s="7" t="s">
        <v>53</v>
      </c>
      <c r="P108" s="7" t="s">
        <v>600</v>
      </c>
      <c r="Q108" s="7" t="s">
        <v>35</v>
      </c>
      <c r="R108" s="7" t="s">
        <v>35</v>
      </c>
      <c r="S108" s="7" t="s">
        <v>259</v>
      </c>
      <c r="T108" s="7">
        <v>0.34210000000000002</v>
      </c>
      <c r="U108" s="7">
        <v>3736</v>
      </c>
      <c r="V108" s="7">
        <v>0.22220000000000001</v>
      </c>
      <c r="W108" s="7">
        <v>7024</v>
      </c>
      <c r="X108" s="7" t="s">
        <v>80</v>
      </c>
      <c r="Y108" s="7" t="s">
        <v>80</v>
      </c>
      <c r="Z108" s="7" t="s">
        <v>1095</v>
      </c>
      <c r="AA108" s="137" t="s">
        <v>80</v>
      </c>
      <c r="AB108" s="7" t="s">
        <v>80</v>
      </c>
      <c r="AC108" s="7" t="s">
        <v>38</v>
      </c>
      <c r="AD108" s="7" t="s">
        <v>1108</v>
      </c>
      <c r="AE108" s="7" t="s">
        <v>58</v>
      </c>
      <c r="AF108" s="7" t="s">
        <v>58</v>
      </c>
      <c r="AG108" s="7" t="s">
        <v>58</v>
      </c>
      <c r="AH108" s="7">
        <v>-0.33</v>
      </c>
      <c r="AI108" s="7" t="s">
        <v>80</v>
      </c>
      <c r="AJ108" s="7">
        <v>-0.33</v>
      </c>
      <c r="AK108" s="7">
        <v>6.1200000000000002E-4</v>
      </c>
      <c r="AL108" s="7"/>
      <c r="AM108" s="7">
        <f>-0.2816--0.3785</f>
        <v>9.6899999999999986E-2</v>
      </c>
      <c r="AN108" s="20">
        <f t="shared" si="0"/>
        <v>2.4719387755102039E-2</v>
      </c>
      <c r="AO108" s="7">
        <v>6.1200000000000002E-4</v>
      </c>
      <c r="AP108" s="7">
        <f t="shared" si="1"/>
        <v>10760</v>
      </c>
      <c r="AQ108" s="11">
        <v>44404</v>
      </c>
      <c r="AR108" s="7"/>
      <c r="AS108" s="7"/>
      <c r="AT108" s="7"/>
      <c r="AU108" s="7" t="s">
        <v>44</v>
      </c>
      <c r="AV108" s="7" t="s">
        <v>44</v>
      </c>
      <c r="AW108" s="7" t="s">
        <v>44</v>
      </c>
    </row>
    <row r="109" spans="1:49" ht="15.75" customHeight="1" thickBot="1">
      <c r="A109" s="7">
        <v>7</v>
      </c>
      <c r="B109" s="7">
        <v>5</v>
      </c>
      <c r="C109" s="7" t="s">
        <v>86</v>
      </c>
      <c r="D109" s="7">
        <v>2021</v>
      </c>
      <c r="E109" s="7" t="s">
        <v>87</v>
      </c>
      <c r="F109" s="7" t="s">
        <v>88</v>
      </c>
      <c r="G109" s="7">
        <v>2</v>
      </c>
      <c r="H109" s="7" t="s">
        <v>89</v>
      </c>
      <c r="I109" s="7">
        <v>2</v>
      </c>
      <c r="J109" s="11">
        <v>43966</v>
      </c>
      <c r="K109" s="7" t="s">
        <v>90</v>
      </c>
      <c r="L109" s="7" t="s">
        <v>599</v>
      </c>
      <c r="M109" s="2" t="s">
        <v>91</v>
      </c>
      <c r="N109" s="2" t="s">
        <v>53</v>
      </c>
      <c r="O109" s="2" t="s">
        <v>593</v>
      </c>
      <c r="P109" s="2" t="s">
        <v>600</v>
      </c>
      <c r="Q109" s="7" t="s">
        <v>92</v>
      </c>
      <c r="R109" s="7" t="s">
        <v>490</v>
      </c>
      <c r="S109" s="7" t="s">
        <v>93</v>
      </c>
      <c r="T109" s="7"/>
      <c r="U109" s="7"/>
      <c r="V109" s="7"/>
      <c r="W109" s="7"/>
      <c r="X109" s="7" t="s">
        <v>80</v>
      </c>
      <c r="Y109" s="10" t="s">
        <v>80</v>
      </c>
      <c r="Z109" s="7" t="s">
        <v>91</v>
      </c>
      <c r="AA109" s="137" t="s">
        <v>80</v>
      </c>
      <c r="AB109" s="7" t="s">
        <v>80</v>
      </c>
      <c r="AC109" s="7" t="s">
        <v>71</v>
      </c>
      <c r="AD109" s="7" t="s">
        <v>94</v>
      </c>
      <c r="AE109" s="7" t="s">
        <v>58</v>
      </c>
      <c r="AF109" s="7" t="s">
        <v>58</v>
      </c>
      <c r="AG109" s="7" t="s">
        <v>58</v>
      </c>
      <c r="AH109" s="7">
        <v>-0.16550000000000001</v>
      </c>
      <c r="AI109" s="7" t="s">
        <v>80</v>
      </c>
      <c r="AJ109" s="7">
        <v>-0.16550000000000001</v>
      </c>
      <c r="AK109" s="2">
        <v>1.396E-2</v>
      </c>
      <c r="AL109" s="2">
        <v>1.396E-2</v>
      </c>
      <c r="AM109" s="7">
        <f>-0.397 - 0.0661</f>
        <v>-0.46310000000000001</v>
      </c>
      <c r="AN109" s="19">
        <v>0.1181524439</v>
      </c>
      <c r="AO109" s="2">
        <v>1.396E-2</v>
      </c>
      <c r="AP109" s="7">
        <v>280</v>
      </c>
      <c r="AQ109" s="11">
        <v>44404</v>
      </c>
      <c r="AR109" s="7" t="s">
        <v>1152</v>
      </c>
      <c r="AS109" s="7" t="s">
        <v>553</v>
      </c>
      <c r="AT109" s="7" t="s">
        <v>554</v>
      </c>
      <c r="AU109" s="7" t="s">
        <v>594</v>
      </c>
      <c r="AV109" s="7" t="s">
        <v>44</v>
      </c>
      <c r="AW109" s="7" t="s">
        <v>44</v>
      </c>
    </row>
    <row r="110" spans="1:49" ht="15.75" customHeight="1" thickBot="1">
      <c r="A110" s="7">
        <v>8</v>
      </c>
      <c r="B110" s="2">
        <v>5</v>
      </c>
      <c r="C110" s="2" t="s">
        <v>86</v>
      </c>
      <c r="D110" s="7">
        <v>2021</v>
      </c>
      <c r="E110" s="2" t="s">
        <v>87</v>
      </c>
      <c r="F110" s="2" t="s">
        <v>88</v>
      </c>
      <c r="G110" s="2">
        <v>2</v>
      </c>
      <c r="H110" s="2" t="s">
        <v>89</v>
      </c>
      <c r="I110" s="2">
        <v>2</v>
      </c>
      <c r="J110" s="11">
        <v>43966</v>
      </c>
      <c r="K110" s="2" t="s">
        <v>90</v>
      </c>
      <c r="L110" s="7" t="s">
        <v>599</v>
      </c>
      <c r="M110" s="2" t="s">
        <v>91</v>
      </c>
      <c r="N110" s="2" t="s">
        <v>53</v>
      </c>
      <c r="O110" s="2" t="s">
        <v>593</v>
      </c>
      <c r="P110" s="2" t="s">
        <v>601</v>
      </c>
      <c r="Q110" s="2" t="s">
        <v>92</v>
      </c>
      <c r="R110" s="7" t="s">
        <v>490</v>
      </c>
      <c r="S110" s="2" t="s">
        <v>93</v>
      </c>
      <c r="T110" s="2"/>
      <c r="U110" s="2"/>
      <c r="V110" s="2"/>
      <c r="W110" s="2"/>
      <c r="X110" s="7" t="s">
        <v>80</v>
      </c>
      <c r="Y110" s="10" t="s">
        <v>80</v>
      </c>
      <c r="Z110" s="7" t="s">
        <v>91</v>
      </c>
      <c r="AA110" s="137" t="s">
        <v>80</v>
      </c>
      <c r="AB110" s="7" t="s">
        <v>80</v>
      </c>
      <c r="AC110" s="7" t="s">
        <v>71</v>
      </c>
      <c r="AD110" s="7" t="s">
        <v>95</v>
      </c>
      <c r="AE110" s="7" t="s">
        <v>58</v>
      </c>
      <c r="AF110" s="7" t="s">
        <v>58</v>
      </c>
      <c r="AG110" s="7" t="s">
        <v>58</v>
      </c>
      <c r="AH110" s="2">
        <v>-0.1966</v>
      </c>
      <c r="AI110" s="7" t="s">
        <v>80</v>
      </c>
      <c r="AJ110" s="2">
        <v>-0.1966</v>
      </c>
      <c r="AK110" s="2">
        <v>1.6376000000000002E-2</v>
      </c>
      <c r="AL110" s="2">
        <v>1.6376000000000002E-2</v>
      </c>
      <c r="AM110" s="7">
        <f>-0.4475 - 0.0542</f>
        <v>-0.50170000000000003</v>
      </c>
      <c r="AN110" s="19">
        <v>0.12796874620000001</v>
      </c>
      <c r="AO110" s="7">
        <v>1.6376000000000002E-2</v>
      </c>
      <c r="AP110" s="7">
        <v>280</v>
      </c>
      <c r="AQ110" s="11">
        <v>44404</v>
      </c>
      <c r="AR110" s="7" t="s">
        <v>1152</v>
      </c>
      <c r="AS110" s="7"/>
      <c r="AT110" s="7" t="s">
        <v>554</v>
      </c>
      <c r="AU110" s="7" t="s">
        <v>594</v>
      </c>
      <c r="AV110" s="2" t="s">
        <v>44</v>
      </c>
      <c r="AW110" s="2" t="s">
        <v>44</v>
      </c>
    </row>
    <row r="111" spans="1:49" ht="15.75" customHeight="1" thickBot="1">
      <c r="A111" s="7">
        <v>9</v>
      </c>
      <c r="B111" s="2">
        <v>5</v>
      </c>
      <c r="C111" s="2" t="s">
        <v>86</v>
      </c>
      <c r="D111" s="7">
        <v>2021</v>
      </c>
      <c r="E111" s="2" t="s">
        <v>87</v>
      </c>
      <c r="F111" s="2" t="s">
        <v>88</v>
      </c>
      <c r="G111" s="2">
        <v>2</v>
      </c>
      <c r="H111" s="2" t="s">
        <v>89</v>
      </c>
      <c r="I111" s="2">
        <v>2</v>
      </c>
      <c r="J111" s="11">
        <v>43966</v>
      </c>
      <c r="K111" s="2" t="s">
        <v>90</v>
      </c>
      <c r="L111" s="7" t="s">
        <v>599</v>
      </c>
      <c r="M111" s="2" t="s">
        <v>91</v>
      </c>
      <c r="N111" s="2" t="s">
        <v>53</v>
      </c>
      <c r="O111" s="2" t="s">
        <v>593</v>
      </c>
      <c r="P111" s="2" t="s">
        <v>603</v>
      </c>
      <c r="Q111" s="2" t="s">
        <v>92</v>
      </c>
      <c r="R111" s="7" t="s">
        <v>490</v>
      </c>
      <c r="S111" s="2" t="s">
        <v>93</v>
      </c>
      <c r="T111" s="2"/>
      <c r="U111" s="2"/>
      <c r="V111" s="2"/>
      <c r="W111" s="7"/>
      <c r="X111" s="7" t="s">
        <v>80</v>
      </c>
      <c r="Y111" s="10" t="s">
        <v>80</v>
      </c>
      <c r="Z111" s="7" t="s">
        <v>91</v>
      </c>
      <c r="AA111" s="137" t="s">
        <v>80</v>
      </c>
      <c r="AB111" s="7" t="s">
        <v>80</v>
      </c>
      <c r="AC111" s="7" t="s">
        <v>71</v>
      </c>
      <c r="AD111" s="7" t="s">
        <v>96</v>
      </c>
      <c r="AE111" s="7" t="s">
        <v>58</v>
      </c>
      <c r="AF111" s="7" t="s">
        <v>58</v>
      </c>
      <c r="AG111" s="7" t="s">
        <v>58</v>
      </c>
      <c r="AH111" s="2">
        <v>-0.16550000000000001</v>
      </c>
      <c r="AI111" s="7" t="s">
        <v>80</v>
      </c>
      <c r="AJ111" s="2">
        <v>-0.16550000000000001</v>
      </c>
      <c r="AK111" s="2">
        <v>1.1690000000000001E-2</v>
      </c>
      <c r="AL111" s="2">
        <v>1.1690000000000001E-2</v>
      </c>
      <c r="AM111" s="7">
        <f>-0.3774 - 0.0465</f>
        <v>-0.4239</v>
      </c>
      <c r="AN111" s="19">
        <v>0.10812030340000001</v>
      </c>
      <c r="AO111" s="7">
        <v>1.1690000000000001E-2</v>
      </c>
      <c r="AP111" s="7">
        <v>280</v>
      </c>
      <c r="AQ111" s="11">
        <v>44404</v>
      </c>
      <c r="AR111" s="7" t="s">
        <v>1152</v>
      </c>
      <c r="AS111" s="7"/>
      <c r="AT111" s="7" t="s">
        <v>554</v>
      </c>
      <c r="AU111" s="7" t="s">
        <v>594</v>
      </c>
      <c r="AV111" s="2" t="s">
        <v>44</v>
      </c>
      <c r="AW111" s="2" t="s">
        <v>44</v>
      </c>
    </row>
    <row r="112" spans="1:49" ht="15.75" customHeight="1" thickBot="1">
      <c r="A112" s="7">
        <v>20</v>
      </c>
      <c r="B112" s="7">
        <v>7</v>
      </c>
      <c r="C112" s="7" t="s">
        <v>117</v>
      </c>
      <c r="D112" s="7">
        <v>2021</v>
      </c>
      <c r="E112" s="7" t="s">
        <v>118</v>
      </c>
      <c r="F112" s="7" t="s">
        <v>80</v>
      </c>
      <c r="G112" s="7" t="s">
        <v>80</v>
      </c>
      <c r="H112" s="7" t="s">
        <v>80</v>
      </c>
      <c r="I112" s="7" t="s">
        <v>80</v>
      </c>
      <c r="J112" s="7" t="s">
        <v>80</v>
      </c>
      <c r="K112" s="2" t="s">
        <v>119</v>
      </c>
      <c r="L112" s="7" t="s">
        <v>120</v>
      </c>
      <c r="M112" s="2" t="s">
        <v>91</v>
      </c>
      <c r="N112" s="7" t="s">
        <v>121</v>
      </c>
      <c r="O112" s="7" t="s">
        <v>1117</v>
      </c>
      <c r="P112" s="7" t="s">
        <v>122</v>
      </c>
      <c r="Q112" s="7" t="s">
        <v>123</v>
      </c>
      <c r="R112" s="7" t="s">
        <v>965</v>
      </c>
      <c r="S112" s="7" t="s">
        <v>124</v>
      </c>
      <c r="T112" s="7" t="s">
        <v>80</v>
      </c>
      <c r="U112" s="7" t="s">
        <v>80</v>
      </c>
      <c r="V112" s="7" t="s">
        <v>80</v>
      </c>
      <c r="W112" s="7" t="s">
        <v>80</v>
      </c>
      <c r="X112" s="7">
        <v>0.82499999999999996</v>
      </c>
      <c r="Y112" s="7" t="s">
        <v>80</v>
      </c>
      <c r="Z112" s="7" t="s">
        <v>91</v>
      </c>
      <c r="AA112" s="137" t="s">
        <v>80</v>
      </c>
      <c r="AB112" s="7" t="s">
        <v>80</v>
      </c>
      <c r="AC112" s="2" t="s">
        <v>38</v>
      </c>
      <c r="AD112" s="14" t="s">
        <v>125</v>
      </c>
      <c r="AE112" s="2" t="s">
        <v>588</v>
      </c>
      <c r="AF112" s="2" t="s">
        <v>126</v>
      </c>
      <c r="AG112" s="2" t="s">
        <v>126</v>
      </c>
      <c r="AH112" s="2">
        <v>0.88790000000000002</v>
      </c>
      <c r="AI112" s="7">
        <v>0.91510000000000002</v>
      </c>
      <c r="AJ112" s="7">
        <v>0.91510000000000002</v>
      </c>
      <c r="AK112" s="2">
        <v>6.4100000000000004E-2</v>
      </c>
      <c r="AL112" s="2">
        <v>6.4299999999999996E-2</v>
      </c>
      <c r="AM112" s="7" t="s">
        <v>127</v>
      </c>
      <c r="AN112" s="19">
        <v>0.25357444670000001</v>
      </c>
      <c r="AO112" s="7">
        <v>6.4299999999999996E-2</v>
      </c>
      <c r="AP112" s="7">
        <v>114</v>
      </c>
      <c r="AQ112" s="11">
        <v>44404</v>
      </c>
      <c r="AR112" s="7" t="s">
        <v>1152</v>
      </c>
      <c r="AS112" s="7" t="s">
        <v>128</v>
      </c>
      <c r="AT112" s="7" t="s">
        <v>129</v>
      </c>
      <c r="AU112" s="7" t="s">
        <v>130</v>
      </c>
      <c r="AV112" s="7" t="s">
        <v>44</v>
      </c>
      <c r="AW112" s="7" t="s">
        <v>131</v>
      </c>
    </row>
    <row r="113" spans="1:49" ht="156" thickBot="1">
      <c r="A113" s="7">
        <v>21</v>
      </c>
      <c r="B113" s="7">
        <v>8</v>
      </c>
      <c r="C113" s="7" t="s">
        <v>132</v>
      </c>
      <c r="D113" s="7">
        <v>2020</v>
      </c>
      <c r="E113" s="7" t="s">
        <v>133</v>
      </c>
      <c r="F113" s="7"/>
      <c r="G113" s="7" t="s">
        <v>80</v>
      </c>
      <c r="H113" s="7"/>
      <c r="I113" s="7" t="s">
        <v>80</v>
      </c>
      <c r="J113" s="7" t="s">
        <v>80</v>
      </c>
      <c r="K113" s="2" t="s">
        <v>134</v>
      </c>
      <c r="L113" s="7" t="s">
        <v>599</v>
      </c>
      <c r="M113" s="2" t="s">
        <v>91</v>
      </c>
      <c r="N113" s="7" t="s">
        <v>121</v>
      </c>
      <c r="O113" s="2" t="s">
        <v>135</v>
      </c>
      <c r="P113" s="2" t="s">
        <v>136</v>
      </c>
      <c r="Q113" s="7" t="s">
        <v>137</v>
      </c>
      <c r="R113" s="7" t="s">
        <v>965</v>
      </c>
      <c r="S113" s="7" t="s">
        <v>138</v>
      </c>
      <c r="T113" s="7" t="s">
        <v>80</v>
      </c>
      <c r="U113" s="7" t="s">
        <v>80</v>
      </c>
      <c r="V113" s="7" t="s">
        <v>80</v>
      </c>
      <c r="W113" s="7" t="s">
        <v>80</v>
      </c>
      <c r="X113" s="2">
        <v>0.64</v>
      </c>
      <c r="Y113" s="7" t="s">
        <v>80</v>
      </c>
      <c r="Z113" s="7" t="s">
        <v>91</v>
      </c>
      <c r="AA113" s="137" t="s">
        <v>80</v>
      </c>
      <c r="AB113" s="7" t="s">
        <v>80</v>
      </c>
      <c r="AC113" s="2" t="s">
        <v>38</v>
      </c>
      <c r="AD113" s="13" t="s">
        <v>139</v>
      </c>
      <c r="AE113" s="7" t="s">
        <v>429</v>
      </c>
      <c r="AF113" s="7" t="s">
        <v>140</v>
      </c>
      <c r="AG113" s="7" t="s">
        <v>140</v>
      </c>
      <c r="AH113" s="7">
        <v>-9.7999999999999997E-3</v>
      </c>
      <c r="AI113" s="7">
        <v>-9.7999999999999997E-3</v>
      </c>
      <c r="AJ113" s="7">
        <v>-9.7999999999999997E-3</v>
      </c>
      <c r="AK113" s="7">
        <v>6.6E-3</v>
      </c>
      <c r="AL113" s="7"/>
      <c r="AM113" s="7">
        <f>-0.1696 - 0.15</f>
        <v>-0.3196</v>
      </c>
      <c r="AN113" s="19">
        <v>8.1240384050000003E-2</v>
      </c>
      <c r="AO113" s="7">
        <v>6.6E-3</v>
      </c>
      <c r="AP113" s="2">
        <v>653</v>
      </c>
      <c r="AQ113" s="11">
        <v>44404</v>
      </c>
      <c r="AR113" s="7" t="s">
        <v>1152</v>
      </c>
      <c r="AS113" s="7" t="s">
        <v>141</v>
      </c>
      <c r="AT113" s="7" t="s">
        <v>142</v>
      </c>
      <c r="AU113" s="7" t="s">
        <v>143</v>
      </c>
      <c r="AV113" s="7" t="s">
        <v>44</v>
      </c>
      <c r="AW113" s="7" t="s">
        <v>44</v>
      </c>
    </row>
    <row r="114" spans="1:49" ht="100" thickBot="1">
      <c r="A114" s="7">
        <v>22</v>
      </c>
      <c r="B114" s="7">
        <v>9</v>
      </c>
      <c r="C114" s="7" t="s">
        <v>144</v>
      </c>
      <c r="D114" s="7">
        <v>2020</v>
      </c>
      <c r="E114" s="7" t="s">
        <v>145</v>
      </c>
      <c r="F114" s="7" t="s">
        <v>80</v>
      </c>
      <c r="G114" s="7" t="s">
        <v>80</v>
      </c>
      <c r="H114" s="7" t="s">
        <v>146</v>
      </c>
      <c r="I114" s="7" t="s">
        <v>80</v>
      </c>
      <c r="J114" s="11">
        <v>43941</v>
      </c>
      <c r="K114" s="7" t="s">
        <v>67</v>
      </c>
      <c r="L114" s="7" t="s">
        <v>67</v>
      </c>
      <c r="M114" s="2" t="s">
        <v>91</v>
      </c>
      <c r="N114" s="7" t="s">
        <v>121</v>
      </c>
      <c r="O114" s="7" t="s">
        <v>1117</v>
      </c>
      <c r="P114" s="7" t="s">
        <v>556</v>
      </c>
      <c r="Q114" s="7" t="s">
        <v>147</v>
      </c>
      <c r="R114" s="7" t="s">
        <v>1111</v>
      </c>
      <c r="S114" s="7" t="s">
        <v>148</v>
      </c>
      <c r="T114" s="7" t="s">
        <v>80</v>
      </c>
      <c r="U114" s="7" t="s">
        <v>80</v>
      </c>
      <c r="V114" s="7" t="s">
        <v>80</v>
      </c>
      <c r="W114" s="7" t="s">
        <v>80</v>
      </c>
      <c r="X114" s="7"/>
      <c r="Y114" s="7" t="s">
        <v>80</v>
      </c>
      <c r="Z114" s="7" t="s">
        <v>91</v>
      </c>
      <c r="AA114" s="13" t="s">
        <v>1157</v>
      </c>
      <c r="AB114" s="129">
        <v>-5.2999999999999999E-2</v>
      </c>
      <c r="AC114" s="13" t="s">
        <v>71</v>
      </c>
      <c r="AD114" s="13" t="s">
        <v>80</v>
      </c>
      <c r="AE114" s="13" t="s">
        <v>80</v>
      </c>
      <c r="AF114" s="14" t="s">
        <v>80</v>
      </c>
      <c r="AG114" s="14" t="s">
        <v>80</v>
      </c>
      <c r="AH114" s="13" t="s">
        <v>80</v>
      </c>
      <c r="AI114" s="13" t="s">
        <v>80</v>
      </c>
      <c r="AJ114" s="131">
        <v>-5.2999999999999999E-2</v>
      </c>
      <c r="AK114" s="13" t="s">
        <v>80</v>
      </c>
      <c r="AL114" s="13" t="s">
        <v>80</v>
      </c>
      <c r="AM114" s="13">
        <f>-0.0812 - -0.0249</f>
        <v>-5.6299999999999996E-2</v>
      </c>
      <c r="AN114" s="19">
        <v>2.8724489799999999E-2</v>
      </c>
      <c r="AO114" s="129">
        <v>8.2509631400000004E-4</v>
      </c>
      <c r="AP114" s="131">
        <v>4535</v>
      </c>
      <c r="AQ114" s="135">
        <v>44404</v>
      </c>
      <c r="AR114" s="7" t="s">
        <v>1152</v>
      </c>
      <c r="AS114" s="7"/>
      <c r="AT114" s="7" t="s">
        <v>149</v>
      </c>
      <c r="AU114" s="7" t="s">
        <v>150</v>
      </c>
      <c r="AV114" s="12" t="s">
        <v>44</v>
      </c>
      <c r="AW114" s="2" t="s">
        <v>557</v>
      </c>
    </row>
    <row r="115" spans="1:49" ht="17" thickBot="1">
      <c r="A115" s="7">
        <v>23</v>
      </c>
      <c r="B115" s="2">
        <v>10</v>
      </c>
      <c r="C115" s="2" t="s">
        <v>151</v>
      </c>
      <c r="D115" s="2">
        <v>2020</v>
      </c>
      <c r="E115" s="2" t="s">
        <v>152</v>
      </c>
      <c r="F115" s="2" t="s">
        <v>80</v>
      </c>
      <c r="G115" s="2" t="s">
        <v>80</v>
      </c>
      <c r="H115" s="2" t="s">
        <v>80</v>
      </c>
      <c r="I115" s="2" t="s">
        <v>80</v>
      </c>
      <c r="J115" s="2" t="s">
        <v>80</v>
      </c>
      <c r="K115" s="2" t="s">
        <v>153</v>
      </c>
      <c r="L115" s="7" t="s">
        <v>67</v>
      </c>
      <c r="M115" s="2" t="s">
        <v>91</v>
      </c>
      <c r="N115" s="2" t="s">
        <v>53</v>
      </c>
      <c r="O115" s="2" t="s">
        <v>593</v>
      </c>
      <c r="P115" s="2" t="s">
        <v>587</v>
      </c>
      <c r="Q115" s="2" t="s">
        <v>154</v>
      </c>
      <c r="R115" s="2" t="s">
        <v>1112</v>
      </c>
      <c r="S115" s="2" t="s">
        <v>155</v>
      </c>
      <c r="T115" s="7" t="s">
        <v>80</v>
      </c>
      <c r="U115" s="7" t="s">
        <v>80</v>
      </c>
      <c r="V115" s="7" t="s">
        <v>80</v>
      </c>
      <c r="W115" s="7" t="s">
        <v>80</v>
      </c>
      <c r="X115" s="7">
        <v>0.68400000000000005</v>
      </c>
      <c r="Y115" s="7" t="s">
        <v>80</v>
      </c>
      <c r="Z115" s="7" t="s">
        <v>91</v>
      </c>
      <c r="AA115" s="2" t="s">
        <v>80</v>
      </c>
      <c r="AB115" s="2" t="s">
        <v>80</v>
      </c>
      <c r="AC115" s="7" t="s">
        <v>38</v>
      </c>
      <c r="AD115" s="7" t="s">
        <v>156</v>
      </c>
      <c r="AE115" s="7" t="s">
        <v>157</v>
      </c>
      <c r="AF115" s="2" t="s">
        <v>157</v>
      </c>
      <c r="AG115" s="2" t="s">
        <v>157</v>
      </c>
      <c r="AH115" s="2">
        <v>-0.3296</v>
      </c>
      <c r="AI115" s="2">
        <v>-0.3296</v>
      </c>
      <c r="AJ115" s="2">
        <v>-0.3296</v>
      </c>
      <c r="AK115" s="2">
        <v>1.1999999999999999E-3</v>
      </c>
      <c r="AL115" s="2">
        <v>1.1999999999999999E-3</v>
      </c>
      <c r="AM115" s="2">
        <f>-0.2609 - -0.3982</f>
        <v>0.13729999999999998</v>
      </c>
      <c r="AN115" s="19">
        <v>3.4641016150000002E-2</v>
      </c>
      <c r="AO115" s="2">
        <v>1.1999999999999999E-3</v>
      </c>
      <c r="AP115" s="2">
        <v>3345</v>
      </c>
      <c r="AQ115" s="11">
        <v>44404</v>
      </c>
      <c r="AR115" s="2" t="s">
        <v>1153</v>
      </c>
      <c r="AS115" s="7" t="s">
        <v>158</v>
      </c>
      <c r="AT115" s="7" t="s">
        <v>80</v>
      </c>
      <c r="AU115" s="7" t="s">
        <v>159</v>
      </c>
      <c r="AV115" s="7" t="s">
        <v>44</v>
      </c>
      <c r="AW115" s="7" t="s">
        <v>44</v>
      </c>
    </row>
    <row r="116" spans="1:49" ht="15.75" customHeight="1" thickBot="1">
      <c r="A116" s="7">
        <v>35</v>
      </c>
      <c r="B116" s="7">
        <v>12</v>
      </c>
      <c r="C116" s="7" t="s">
        <v>172</v>
      </c>
      <c r="D116" s="7">
        <v>2021</v>
      </c>
      <c r="E116" s="7" t="s">
        <v>173</v>
      </c>
      <c r="F116" s="7" t="s">
        <v>80</v>
      </c>
      <c r="G116" s="7" t="s">
        <v>80</v>
      </c>
      <c r="H116" s="7" t="s">
        <v>174</v>
      </c>
      <c r="I116" s="7" t="s">
        <v>80</v>
      </c>
      <c r="J116" s="11">
        <v>43981</v>
      </c>
      <c r="K116" s="7" t="s">
        <v>175</v>
      </c>
      <c r="L116" s="7" t="s">
        <v>176</v>
      </c>
      <c r="M116" s="2" t="s">
        <v>91</v>
      </c>
      <c r="N116" s="7" t="s">
        <v>121</v>
      </c>
      <c r="O116" s="7" t="s">
        <v>1117</v>
      </c>
      <c r="P116" s="7" t="s">
        <v>177</v>
      </c>
      <c r="Q116" s="7" t="s">
        <v>178</v>
      </c>
      <c r="R116" s="7" t="s">
        <v>490</v>
      </c>
      <c r="S116" s="7" t="s">
        <v>179</v>
      </c>
      <c r="T116" s="7"/>
      <c r="U116" s="7"/>
      <c r="V116" s="7"/>
      <c r="W116" s="7"/>
      <c r="X116" s="7">
        <v>0.65300000000000002</v>
      </c>
      <c r="Y116" s="7" t="s">
        <v>80</v>
      </c>
      <c r="Z116" s="7" t="s">
        <v>91</v>
      </c>
      <c r="AA116" s="7" t="s">
        <v>80</v>
      </c>
      <c r="AB116" s="7" t="s">
        <v>80</v>
      </c>
      <c r="AC116" s="7" t="s">
        <v>71</v>
      </c>
      <c r="AD116" s="7" t="s">
        <v>180</v>
      </c>
      <c r="AE116" s="7" t="s">
        <v>181</v>
      </c>
      <c r="AF116" s="7" t="s">
        <v>181</v>
      </c>
      <c r="AG116" s="7" t="s">
        <v>181</v>
      </c>
      <c r="AH116" s="7">
        <v>-3.5000000000000001E-3</v>
      </c>
      <c r="AI116" s="7">
        <v>-3.5000000000000001E-3</v>
      </c>
      <c r="AJ116" s="7">
        <v>-3.5000000000000001E-3</v>
      </c>
      <c r="AK116" s="7">
        <v>4.7000000000000002E-3</v>
      </c>
      <c r="AL116" s="2">
        <v>6.8900000000000003E-3</v>
      </c>
      <c r="AM116" s="7">
        <f>-0.1662-0.1592</f>
        <v>-0.32540000000000002</v>
      </c>
      <c r="AN116" s="19">
        <v>8.3006023880000002E-2</v>
      </c>
      <c r="AO116" s="7">
        <v>6.8900000000000003E-3</v>
      </c>
      <c r="AP116" s="2">
        <v>852</v>
      </c>
      <c r="AQ116" s="11">
        <v>44404</v>
      </c>
      <c r="AR116" s="7" t="s">
        <v>1153</v>
      </c>
      <c r="AS116" s="7" t="s">
        <v>182</v>
      </c>
      <c r="AT116" s="7" t="s">
        <v>569</v>
      </c>
      <c r="AU116" s="7" t="s">
        <v>183</v>
      </c>
      <c r="AV116" s="7" t="s">
        <v>44</v>
      </c>
      <c r="AW116" s="7" t="s">
        <v>44</v>
      </c>
    </row>
    <row r="117" spans="1:49" ht="15.75" customHeight="1" thickBot="1">
      <c r="A117" s="7">
        <v>50</v>
      </c>
      <c r="B117" s="7">
        <v>19</v>
      </c>
      <c r="C117" s="2" t="s">
        <v>254</v>
      </c>
      <c r="D117" s="2">
        <v>2021</v>
      </c>
      <c r="E117" s="7" t="s">
        <v>255</v>
      </c>
      <c r="F117" s="7"/>
      <c r="G117" s="7" t="s">
        <v>80</v>
      </c>
      <c r="H117" s="7" t="s">
        <v>256</v>
      </c>
      <c r="I117" s="7" t="s">
        <v>80</v>
      </c>
      <c r="J117" s="11">
        <v>44139</v>
      </c>
      <c r="K117" s="7" t="s">
        <v>257</v>
      </c>
      <c r="L117" s="7" t="s">
        <v>176</v>
      </c>
      <c r="M117" s="2" t="s">
        <v>91</v>
      </c>
      <c r="N117" s="7" t="s">
        <v>121</v>
      </c>
      <c r="O117" s="7" t="s">
        <v>135</v>
      </c>
      <c r="P117" s="7" t="s">
        <v>258</v>
      </c>
      <c r="Q117" s="7" t="s">
        <v>35</v>
      </c>
      <c r="R117" s="7" t="s">
        <v>35</v>
      </c>
      <c r="S117" s="7" t="s">
        <v>259</v>
      </c>
      <c r="T117" s="7" t="s">
        <v>80</v>
      </c>
      <c r="U117" s="7" t="s">
        <v>80</v>
      </c>
      <c r="V117" s="7" t="s">
        <v>80</v>
      </c>
      <c r="W117" s="2">
        <v>1008</v>
      </c>
      <c r="X117" s="2">
        <v>0.33200000000000002</v>
      </c>
      <c r="Y117" s="7" t="s">
        <v>80</v>
      </c>
      <c r="Z117" s="7" t="s">
        <v>91</v>
      </c>
      <c r="AA117" s="137" t="s">
        <v>80</v>
      </c>
      <c r="AB117" s="2" t="s">
        <v>80</v>
      </c>
      <c r="AC117" s="7" t="s">
        <v>71</v>
      </c>
      <c r="AD117" s="7" t="s">
        <v>260</v>
      </c>
      <c r="AE117" s="7" t="s">
        <v>429</v>
      </c>
      <c r="AF117" s="2" t="s">
        <v>261</v>
      </c>
      <c r="AG117" s="2" t="s">
        <v>261</v>
      </c>
      <c r="AH117" s="2">
        <v>-0.19020000000000001</v>
      </c>
      <c r="AI117" s="7">
        <v>-0.2427</v>
      </c>
      <c r="AJ117" s="7">
        <v>-0.2427</v>
      </c>
      <c r="AK117" s="6">
        <v>3.3E-3</v>
      </c>
      <c r="AL117" s="6">
        <v>4.4999999999999997E-3</v>
      </c>
      <c r="AM117" s="6">
        <f>-0.3031 - -0.0773</f>
        <v>-0.2258</v>
      </c>
      <c r="AN117" s="19">
        <v>6.7082039319999995E-2</v>
      </c>
      <c r="AO117" s="6">
        <v>4.4999999999999997E-3</v>
      </c>
      <c r="AP117" s="2">
        <v>1008</v>
      </c>
      <c r="AQ117" s="11">
        <v>44404</v>
      </c>
      <c r="AR117" s="7" t="s">
        <v>1154</v>
      </c>
      <c r="AS117" s="7" t="s">
        <v>262</v>
      </c>
      <c r="AT117" s="2" t="s">
        <v>263</v>
      </c>
      <c r="AU117" s="7" t="s">
        <v>264</v>
      </c>
      <c r="AV117" s="7" t="s">
        <v>44</v>
      </c>
      <c r="AW117" s="7" t="s">
        <v>265</v>
      </c>
    </row>
    <row r="118" spans="1:49" ht="15.75" customHeight="1" thickBot="1">
      <c r="A118" s="7">
        <v>51</v>
      </c>
      <c r="B118" s="7">
        <v>20</v>
      </c>
      <c r="C118" s="2" t="s">
        <v>266</v>
      </c>
      <c r="D118" s="2">
        <v>2021</v>
      </c>
      <c r="E118" s="5" t="s">
        <v>267</v>
      </c>
      <c r="F118" s="7"/>
      <c r="G118" s="7" t="s">
        <v>80</v>
      </c>
      <c r="H118" s="7" t="s">
        <v>268</v>
      </c>
      <c r="I118" s="7" t="s">
        <v>80</v>
      </c>
      <c r="J118" s="11">
        <v>44175</v>
      </c>
      <c r="K118" s="7"/>
      <c r="L118" s="7" t="s">
        <v>67</v>
      </c>
      <c r="M118" s="2" t="s">
        <v>91</v>
      </c>
      <c r="N118" s="7" t="s">
        <v>121</v>
      </c>
      <c r="O118" s="7" t="s">
        <v>135</v>
      </c>
      <c r="P118" s="7" t="s">
        <v>269</v>
      </c>
      <c r="Q118" s="7" t="s">
        <v>270</v>
      </c>
      <c r="R118" s="7" t="s">
        <v>1111</v>
      </c>
      <c r="S118" s="7" t="s">
        <v>271</v>
      </c>
      <c r="T118" s="7" t="s">
        <v>80</v>
      </c>
      <c r="U118" s="7" t="s">
        <v>80</v>
      </c>
      <c r="V118" s="7" t="s">
        <v>80</v>
      </c>
      <c r="W118" s="2">
        <v>740</v>
      </c>
      <c r="X118" s="2">
        <v>0.39</v>
      </c>
      <c r="Y118" s="7" t="s">
        <v>80</v>
      </c>
      <c r="Z118" s="7" t="s">
        <v>91</v>
      </c>
      <c r="AA118" s="7" t="s">
        <v>80</v>
      </c>
      <c r="AB118" s="7" t="s">
        <v>80</v>
      </c>
      <c r="AC118" s="7" t="s">
        <v>71</v>
      </c>
      <c r="AD118" s="7" t="s">
        <v>272</v>
      </c>
      <c r="AE118" s="2" t="s">
        <v>58</v>
      </c>
      <c r="AF118" s="2" t="s">
        <v>273</v>
      </c>
      <c r="AG118" s="2" t="s">
        <v>273</v>
      </c>
      <c r="AH118" s="2">
        <v>-0.32500000000000001</v>
      </c>
      <c r="AI118" s="7">
        <v>-0.3337</v>
      </c>
      <c r="AJ118" s="7">
        <v>-0.3337</v>
      </c>
      <c r="AK118" s="7">
        <v>8.0479999999999996E-3</v>
      </c>
      <c r="AL118" s="2">
        <v>8.3350000000000004E-3</v>
      </c>
      <c r="AM118" s="7">
        <f>-0.5505 - -0.164</f>
        <v>-0.38649999999999995</v>
      </c>
      <c r="AN118" s="19">
        <v>9.1296221169999997E-2</v>
      </c>
      <c r="AO118" s="7">
        <v>8.3350000000000004E-3</v>
      </c>
      <c r="AP118" s="2">
        <v>725</v>
      </c>
      <c r="AQ118" s="11">
        <v>44404</v>
      </c>
      <c r="AR118" s="7" t="s">
        <v>1154</v>
      </c>
      <c r="AS118" s="7" t="s">
        <v>274</v>
      </c>
      <c r="AT118" s="2" t="s">
        <v>275</v>
      </c>
      <c r="AU118" s="7" t="s">
        <v>44</v>
      </c>
      <c r="AV118" s="7" t="s">
        <v>44</v>
      </c>
      <c r="AW118" s="7" t="s">
        <v>276</v>
      </c>
    </row>
    <row r="119" spans="1:49" ht="15.75" customHeight="1" thickBot="1">
      <c r="A119" s="7">
        <v>52</v>
      </c>
      <c r="B119" s="7">
        <v>21</v>
      </c>
      <c r="C119" s="2" t="s">
        <v>277</v>
      </c>
      <c r="D119" s="2">
        <v>2021</v>
      </c>
      <c r="E119" s="7" t="s">
        <v>278</v>
      </c>
      <c r="F119" s="7"/>
      <c r="G119" s="7" t="s">
        <v>80</v>
      </c>
      <c r="H119" s="7" t="s">
        <v>279</v>
      </c>
      <c r="I119" s="7" t="s">
        <v>80</v>
      </c>
      <c r="J119" s="11">
        <v>44040</v>
      </c>
      <c r="K119" s="7" t="s">
        <v>280</v>
      </c>
      <c r="L119" s="7" t="s">
        <v>176</v>
      </c>
      <c r="M119" s="2" t="s">
        <v>91</v>
      </c>
      <c r="N119" s="7" t="s">
        <v>53</v>
      </c>
      <c r="O119" s="2" t="s">
        <v>593</v>
      </c>
      <c r="P119" s="7" t="s">
        <v>281</v>
      </c>
      <c r="Q119" s="7" t="s">
        <v>282</v>
      </c>
      <c r="R119" s="7" t="s">
        <v>490</v>
      </c>
      <c r="S119" s="7" t="s">
        <v>283</v>
      </c>
      <c r="T119" s="7" t="s">
        <v>80</v>
      </c>
      <c r="U119" s="7" t="s">
        <v>80</v>
      </c>
      <c r="V119" s="7" t="s">
        <v>80</v>
      </c>
      <c r="W119" s="2">
        <v>170</v>
      </c>
      <c r="X119" s="2">
        <v>0.55000000000000004</v>
      </c>
      <c r="Y119" s="7" t="s">
        <v>80</v>
      </c>
      <c r="Z119" s="7" t="s">
        <v>91</v>
      </c>
      <c r="AA119" s="7" t="s">
        <v>80</v>
      </c>
      <c r="AB119" s="7" t="s">
        <v>80</v>
      </c>
      <c r="AC119" s="7" t="s">
        <v>38</v>
      </c>
      <c r="AD119" s="7" t="s">
        <v>284</v>
      </c>
      <c r="AE119" s="2" t="s">
        <v>58</v>
      </c>
      <c r="AF119" s="2" t="s">
        <v>285</v>
      </c>
      <c r="AG119" s="2" t="s">
        <v>285</v>
      </c>
      <c r="AH119" s="5">
        <v>-0.19020000000000001</v>
      </c>
      <c r="AI119" s="7">
        <v>-0.1754</v>
      </c>
      <c r="AJ119" s="7">
        <v>-0.1754</v>
      </c>
      <c r="AK119" s="15">
        <v>3.7571E-2</v>
      </c>
      <c r="AL119" s="15">
        <v>3.6942000000000003E-2</v>
      </c>
      <c r="AM119" s="15">
        <f>-0.5701 - 0.1897</f>
        <v>-0.75980000000000003</v>
      </c>
      <c r="AN119" s="19">
        <v>0.19220301770000001</v>
      </c>
      <c r="AO119" s="15">
        <v>3.6942000000000003E-2</v>
      </c>
      <c r="AP119" s="2">
        <v>170</v>
      </c>
      <c r="AQ119" s="11">
        <v>44404</v>
      </c>
      <c r="AR119" s="7" t="s">
        <v>1154</v>
      </c>
      <c r="AS119" s="7" t="s">
        <v>286</v>
      </c>
      <c r="AT119" s="2" t="s">
        <v>287</v>
      </c>
      <c r="AU119" s="7" t="s">
        <v>288</v>
      </c>
      <c r="AV119" s="7" t="s">
        <v>44</v>
      </c>
      <c r="AW119" s="7" t="s">
        <v>289</v>
      </c>
    </row>
    <row r="120" spans="1:49" ht="15.75" customHeight="1" thickBot="1">
      <c r="A120" s="7">
        <v>60</v>
      </c>
      <c r="B120" s="7">
        <v>26</v>
      </c>
      <c r="C120" s="7" t="s">
        <v>1178</v>
      </c>
      <c r="D120" s="7">
        <v>2022</v>
      </c>
      <c r="E120" s="7" t="s">
        <v>329</v>
      </c>
      <c r="F120" s="7" t="s">
        <v>80</v>
      </c>
      <c r="G120" s="7" t="s">
        <v>80</v>
      </c>
      <c r="H120" s="7" t="s">
        <v>330</v>
      </c>
      <c r="I120" s="7" t="s">
        <v>80</v>
      </c>
      <c r="J120" s="11">
        <v>44012</v>
      </c>
      <c r="K120" s="7" t="s">
        <v>331</v>
      </c>
      <c r="L120" s="7" t="s">
        <v>67</v>
      </c>
      <c r="M120" s="2" t="s">
        <v>91</v>
      </c>
      <c r="N120" s="7" t="s">
        <v>121</v>
      </c>
      <c r="O120" s="7" t="s">
        <v>135</v>
      </c>
      <c r="P120" s="7" t="s">
        <v>332</v>
      </c>
      <c r="Q120" s="7" t="s">
        <v>333</v>
      </c>
      <c r="R120" s="7" t="s">
        <v>490</v>
      </c>
      <c r="S120" s="7" t="s">
        <v>93</v>
      </c>
      <c r="T120" s="7" t="s">
        <v>80</v>
      </c>
      <c r="U120" s="7" t="s">
        <v>80</v>
      </c>
      <c r="V120" s="7" t="s">
        <v>80</v>
      </c>
      <c r="W120" s="7" t="s">
        <v>80</v>
      </c>
      <c r="X120" s="7">
        <v>0.52</v>
      </c>
      <c r="Y120" s="7" t="s">
        <v>80</v>
      </c>
      <c r="Z120" s="7" t="s">
        <v>91</v>
      </c>
      <c r="AA120" s="7" t="s">
        <v>80</v>
      </c>
      <c r="AB120" s="7" t="s">
        <v>80</v>
      </c>
      <c r="AC120" s="7" t="s">
        <v>71</v>
      </c>
      <c r="AD120" s="7" t="s">
        <v>334</v>
      </c>
      <c r="AE120" s="7" t="s">
        <v>58</v>
      </c>
      <c r="AF120" s="7" t="s">
        <v>58</v>
      </c>
      <c r="AG120" s="7" t="s">
        <v>58</v>
      </c>
      <c r="AH120" s="7">
        <v>-0.3407</v>
      </c>
      <c r="AI120" s="7" t="s">
        <v>80</v>
      </c>
      <c r="AJ120" s="7">
        <v>-0.3407</v>
      </c>
      <c r="AK120" s="7">
        <v>7.4180000000000001E-3</v>
      </c>
      <c r="AL120" s="7"/>
      <c r="AM120" s="7">
        <f>-0.5095--0.1719</f>
        <v>-0.33759999999999996</v>
      </c>
      <c r="AN120" s="19">
        <v>8.6127811999999998E-2</v>
      </c>
      <c r="AO120" s="7">
        <v>7.4180000000000001E-3</v>
      </c>
      <c r="AP120" s="7">
        <v>549</v>
      </c>
      <c r="AQ120" s="11">
        <v>44620</v>
      </c>
      <c r="AR120" s="7"/>
      <c r="AS120" s="7"/>
      <c r="AT120" s="7" t="s">
        <v>335</v>
      </c>
      <c r="AU120" s="7" t="s">
        <v>44</v>
      </c>
      <c r="AV120" s="7" t="s">
        <v>44</v>
      </c>
      <c r="AW120" s="7" t="s">
        <v>44</v>
      </c>
    </row>
    <row r="121" spans="1:49" ht="15.75" customHeight="1" thickBot="1">
      <c r="A121" s="7">
        <v>88</v>
      </c>
      <c r="B121" s="7">
        <v>31</v>
      </c>
      <c r="C121" s="7" t="s">
        <v>1179</v>
      </c>
      <c r="D121" s="7">
        <v>2021</v>
      </c>
      <c r="E121" s="7" t="s">
        <v>410</v>
      </c>
      <c r="F121" s="7"/>
      <c r="G121" s="7" t="s">
        <v>80</v>
      </c>
      <c r="H121" s="7" t="s">
        <v>411</v>
      </c>
      <c r="I121" s="7" t="s">
        <v>80</v>
      </c>
      <c r="J121" s="11">
        <v>44052</v>
      </c>
      <c r="K121" s="7" t="s">
        <v>412</v>
      </c>
      <c r="L121" s="7" t="s">
        <v>244</v>
      </c>
      <c r="M121" s="2" t="s">
        <v>91</v>
      </c>
      <c r="N121" s="7" t="s">
        <v>121</v>
      </c>
      <c r="O121" s="7" t="s">
        <v>413</v>
      </c>
      <c r="P121" s="7" t="s">
        <v>414</v>
      </c>
      <c r="Q121" s="7" t="s">
        <v>415</v>
      </c>
      <c r="R121" s="7" t="s">
        <v>1112</v>
      </c>
      <c r="S121" s="7" t="s">
        <v>416</v>
      </c>
      <c r="T121" s="7" t="s">
        <v>80</v>
      </c>
      <c r="U121" s="7" t="s">
        <v>80</v>
      </c>
      <c r="V121" s="7" t="s">
        <v>80</v>
      </c>
      <c r="W121" s="7" t="s">
        <v>80</v>
      </c>
      <c r="X121" s="7">
        <v>0.246</v>
      </c>
      <c r="Y121" s="7" t="s">
        <v>80</v>
      </c>
      <c r="Z121" s="7" t="s">
        <v>91</v>
      </c>
      <c r="AA121" s="7" t="s">
        <v>80</v>
      </c>
      <c r="AB121" s="7" t="s">
        <v>80</v>
      </c>
      <c r="AC121" s="7" t="s">
        <v>71</v>
      </c>
      <c r="AD121" s="7" t="s">
        <v>417</v>
      </c>
      <c r="AE121" s="7" t="s">
        <v>58</v>
      </c>
      <c r="AF121" s="7" t="s">
        <v>58</v>
      </c>
      <c r="AG121" s="7" t="s">
        <v>58</v>
      </c>
      <c r="AH121" s="7">
        <v>-1.2927999999999999</v>
      </c>
      <c r="AI121" s="7" t="s">
        <v>80</v>
      </c>
      <c r="AJ121" s="7">
        <v>-1.2927999999999999</v>
      </c>
      <c r="AK121" s="7">
        <v>4.8288999999999999E-2</v>
      </c>
      <c r="AL121" s="7"/>
      <c r="AM121" s="7">
        <f>-1.7235- -0.8621</f>
        <v>-0.86140000000000005</v>
      </c>
      <c r="AN121" s="19">
        <v>0.21974758250000001</v>
      </c>
      <c r="AO121" s="7">
        <v>4.8288999999999999E-2</v>
      </c>
      <c r="AP121" s="7">
        <v>177</v>
      </c>
      <c r="AQ121" s="11">
        <v>44620</v>
      </c>
      <c r="AR121" s="7"/>
      <c r="AS121" s="7"/>
      <c r="AT121" s="7"/>
      <c r="AU121" s="7" t="s">
        <v>44</v>
      </c>
      <c r="AV121" s="7" t="s">
        <v>44</v>
      </c>
      <c r="AW121" s="7" t="s">
        <v>44</v>
      </c>
    </row>
    <row r="122" spans="1:49" ht="15.75" customHeight="1" thickBot="1">
      <c r="A122" s="7">
        <v>89</v>
      </c>
      <c r="B122" s="7">
        <v>32</v>
      </c>
      <c r="C122" s="7" t="s">
        <v>1180</v>
      </c>
      <c r="D122" s="7">
        <v>2022</v>
      </c>
      <c r="E122" s="7" t="s">
        <v>418</v>
      </c>
      <c r="F122" s="7" t="s">
        <v>80</v>
      </c>
      <c r="G122" s="7" t="s">
        <v>80</v>
      </c>
      <c r="H122" s="7" t="s">
        <v>419</v>
      </c>
      <c r="I122" s="7" t="s">
        <v>80</v>
      </c>
      <c r="J122" s="11">
        <v>44227</v>
      </c>
      <c r="K122" s="7" t="s">
        <v>420</v>
      </c>
      <c r="L122" s="7" t="s">
        <v>244</v>
      </c>
      <c r="M122" s="2" t="s">
        <v>91</v>
      </c>
      <c r="N122" s="7" t="s">
        <v>121</v>
      </c>
      <c r="O122" s="7" t="s">
        <v>135</v>
      </c>
      <c r="P122" s="7" t="s">
        <v>421</v>
      </c>
      <c r="Q122" s="7" t="s">
        <v>422</v>
      </c>
      <c r="R122" s="7" t="s">
        <v>490</v>
      </c>
      <c r="S122" s="7" t="s">
        <v>346</v>
      </c>
      <c r="T122" s="7" t="s">
        <v>80</v>
      </c>
      <c r="U122" s="7" t="s">
        <v>80</v>
      </c>
      <c r="V122" s="7" t="s">
        <v>80</v>
      </c>
      <c r="W122" s="7" t="s">
        <v>80</v>
      </c>
      <c r="X122" s="7">
        <v>0.52</v>
      </c>
      <c r="Y122" s="7" t="s">
        <v>80</v>
      </c>
      <c r="Z122" s="7" t="s">
        <v>91</v>
      </c>
      <c r="AA122" s="7" t="s">
        <v>80</v>
      </c>
      <c r="AB122" s="7" t="s">
        <v>80</v>
      </c>
      <c r="AC122" s="7" t="s">
        <v>71</v>
      </c>
      <c r="AD122" s="7" t="s">
        <v>423</v>
      </c>
      <c r="AE122" s="7" t="s">
        <v>58</v>
      </c>
      <c r="AF122" s="7" t="s">
        <v>58</v>
      </c>
      <c r="AG122" s="7" t="s">
        <v>58</v>
      </c>
      <c r="AH122" s="7">
        <v>0.16020000000000001</v>
      </c>
      <c r="AI122" s="7" t="s">
        <v>80</v>
      </c>
      <c r="AJ122" s="7">
        <v>0.16020000000000001</v>
      </c>
      <c r="AK122" s="7">
        <v>5.1633999999999999E-2</v>
      </c>
      <c r="AL122" s="7"/>
      <c r="AM122" s="7">
        <f>-0.2851- 0.6056</f>
        <v>-0.89070000000000005</v>
      </c>
      <c r="AN122" s="19">
        <v>0.2272311598</v>
      </c>
      <c r="AO122" s="7">
        <v>5.1633999999999999E-2</v>
      </c>
      <c r="AP122" s="7">
        <v>100</v>
      </c>
      <c r="AQ122" s="11">
        <v>44620</v>
      </c>
      <c r="AR122" s="7"/>
      <c r="AS122" s="7"/>
      <c r="AT122" s="7"/>
      <c r="AU122" s="7" t="s">
        <v>44</v>
      </c>
      <c r="AV122" s="7" t="s">
        <v>44</v>
      </c>
      <c r="AW122" s="7" t="s">
        <v>44</v>
      </c>
    </row>
    <row r="123" spans="1:49" ht="15.75" customHeight="1" thickBot="1">
      <c r="A123" s="7">
        <v>90</v>
      </c>
      <c r="B123" s="7">
        <v>33</v>
      </c>
      <c r="C123" s="7" t="s">
        <v>1181</v>
      </c>
      <c r="D123" s="7">
        <v>2021</v>
      </c>
      <c r="E123" s="7" t="s">
        <v>424</v>
      </c>
      <c r="F123" s="7" t="s">
        <v>80</v>
      </c>
      <c r="G123" s="7" t="s">
        <v>80</v>
      </c>
      <c r="H123" s="7" t="s">
        <v>425</v>
      </c>
      <c r="I123" s="7" t="s">
        <v>80</v>
      </c>
      <c r="J123" s="11">
        <v>44159</v>
      </c>
      <c r="K123" s="7" t="s">
        <v>426</v>
      </c>
      <c r="L123" s="7" t="s">
        <v>244</v>
      </c>
      <c r="M123" s="2" t="s">
        <v>91</v>
      </c>
      <c r="N123" s="7" t="s">
        <v>121</v>
      </c>
      <c r="O123" s="7" t="s">
        <v>135</v>
      </c>
      <c r="P123" s="7" t="s">
        <v>427</v>
      </c>
      <c r="Q123" s="7" t="s">
        <v>245</v>
      </c>
      <c r="R123" s="7" t="s">
        <v>490</v>
      </c>
      <c r="S123" s="7" t="s">
        <v>428</v>
      </c>
      <c r="T123" s="7" t="s">
        <v>80</v>
      </c>
      <c r="U123" s="7" t="s">
        <v>80</v>
      </c>
      <c r="V123" s="7" t="s">
        <v>80</v>
      </c>
      <c r="W123" s="7" t="s">
        <v>80</v>
      </c>
      <c r="X123" s="7">
        <v>0.46899999999999997</v>
      </c>
      <c r="Y123" s="7" t="s">
        <v>80</v>
      </c>
      <c r="Z123" s="7" t="s">
        <v>91</v>
      </c>
      <c r="AA123" s="7" t="s">
        <v>80</v>
      </c>
      <c r="AB123" s="7" t="s">
        <v>80</v>
      </c>
      <c r="AC123" s="7" t="s">
        <v>71</v>
      </c>
      <c r="AD123" s="7" t="s">
        <v>577</v>
      </c>
      <c r="AE123" s="7" t="s">
        <v>429</v>
      </c>
      <c r="AF123" s="7" t="s">
        <v>429</v>
      </c>
      <c r="AG123" s="7" t="s">
        <v>429</v>
      </c>
      <c r="AH123" s="7">
        <v>-0.56120000000000003</v>
      </c>
      <c r="AI123" s="7" t="s">
        <v>80</v>
      </c>
      <c r="AJ123" s="7">
        <v>-0.56120000000000003</v>
      </c>
      <c r="AK123" s="7">
        <v>4.3499999999999997E-2</v>
      </c>
      <c r="AL123" s="7"/>
      <c r="AM123" s="7">
        <f>-0.9699- -0.1526</f>
        <v>-0.81729999999999992</v>
      </c>
      <c r="AN123" s="19">
        <v>0.20856653610000001</v>
      </c>
      <c r="AO123" s="7">
        <v>4.3499999999999997E-2</v>
      </c>
      <c r="AP123" s="7">
        <v>96</v>
      </c>
      <c r="AQ123" s="11">
        <v>44620</v>
      </c>
      <c r="AR123" s="7"/>
      <c r="AS123" s="7"/>
      <c r="AT123" s="7"/>
      <c r="AU123" s="7" t="s">
        <v>44</v>
      </c>
      <c r="AV123" s="7" t="s">
        <v>44</v>
      </c>
      <c r="AW123" s="7" t="s">
        <v>44</v>
      </c>
    </row>
    <row r="124" spans="1:49" ht="15.75" customHeight="1" thickBot="1">
      <c r="A124" s="7">
        <v>92</v>
      </c>
      <c r="B124" s="7">
        <v>35</v>
      </c>
      <c r="C124" s="7" t="s">
        <v>1182</v>
      </c>
      <c r="D124" s="7">
        <v>2021</v>
      </c>
      <c r="E124" s="7" t="s">
        <v>437</v>
      </c>
      <c r="F124" s="7" t="s">
        <v>80</v>
      </c>
      <c r="G124" s="7" t="s">
        <v>80</v>
      </c>
      <c r="H124" s="7" t="s">
        <v>438</v>
      </c>
      <c r="I124" s="7" t="s">
        <v>80</v>
      </c>
      <c r="J124" s="11">
        <v>44033</v>
      </c>
      <c r="K124" s="7" t="s">
        <v>331</v>
      </c>
      <c r="L124" s="7" t="s">
        <v>67</v>
      </c>
      <c r="M124" s="2" t="s">
        <v>91</v>
      </c>
      <c r="N124" s="7" t="s">
        <v>121</v>
      </c>
      <c r="O124" s="7" t="s">
        <v>1117</v>
      </c>
      <c r="P124" s="7" t="s">
        <v>439</v>
      </c>
      <c r="Q124" s="7" t="s">
        <v>35</v>
      </c>
      <c r="R124" s="7" t="s">
        <v>35</v>
      </c>
      <c r="S124" s="7" t="s">
        <v>440</v>
      </c>
      <c r="T124" s="7" t="s">
        <v>80</v>
      </c>
      <c r="U124" s="7" t="s">
        <v>80</v>
      </c>
      <c r="V124" s="7" t="s">
        <v>80</v>
      </c>
      <c r="W124" s="7" t="s">
        <v>80</v>
      </c>
      <c r="X124" s="7">
        <v>0.40200000000000002</v>
      </c>
      <c r="Y124" s="7" t="s">
        <v>80</v>
      </c>
      <c r="Z124" s="7" t="s">
        <v>91</v>
      </c>
      <c r="AA124" s="7" t="s">
        <v>80</v>
      </c>
      <c r="AB124" s="7" t="s">
        <v>80</v>
      </c>
      <c r="AC124" s="7" t="s">
        <v>38</v>
      </c>
      <c r="AD124" s="7" t="s">
        <v>441</v>
      </c>
      <c r="AE124" s="7" t="s">
        <v>442</v>
      </c>
      <c r="AF124" s="7" t="s">
        <v>442</v>
      </c>
      <c r="AG124" s="7" t="s">
        <v>442</v>
      </c>
      <c r="AH124" s="7">
        <v>-5.6300000000000003E-2</v>
      </c>
      <c r="AI124" s="7" t="s">
        <v>80</v>
      </c>
      <c r="AJ124" s="17">
        <v>-5.6300000000000003E-2</v>
      </c>
      <c r="AK124" s="7">
        <v>2.0900000000000001E-4</v>
      </c>
      <c r="AL124" s="7"/>
      <c r="AM124" s="7">
        <f>-0.0279--0.0846</f>
        <v>5.6699999999999993E-2</v>
      </c>
      <c r="AN124" s="19">
        <v>1.4456832290000001E-2</v>
      </c>
      <c r="AO124" s="7">
        <v>2.0900000000000001E-4</v>
      </c>
      <c r="AP124" s="18">
        <v>19905</v>
      </c>
      <c r="AQ124" s="11">
        <v>44620</v>
      </c>
      <c r="AR124" s="7"/>
      <c r="AS124" s="7"/>
      <c r="AT124" s="7"/>
      <c r="AU124" s="7" t="s">
        <v>443</v>
      </c>
      <c r="AV124" s="7" t="s">
        <v>444</v>
      </c>
      <c r="AW124" s="7" t="s">
        <v>445</v>
      </c>
    </row>
    <row r="125" spans="1:49" ht="15.75" customHeight="1" thickBot="1">
      <c r="A125" s="7">
        <v>93</v>
      </c>
      <c r="B125" s="7">
        <v>36</v>
      </c>
      <c r="C125" s="7" t="s">
        <v>1183</v>
      </c>
      <c r="D125" s="7">
        <v>2021</v>
      </c>
      <c r="E125" s="7" t="s">
        <v>585</v>
      </c>
      <c r="F125" s="7" t="s">
        <v>80</v>
      </c>
      <c r="G125" s="7" t="s">
        <v>80</v>
      </c>
      <c r="H125" s="7" t="s">
        <v>446</v>
      </c>
      <c r="I125" s="7" t="s">
        <v>80</v>
      </c>
      <c r="J125" s="11">
        <v>44027</v>
      </c>
      <c r="K125" s="7" t="s">
        <v>447</v>
      </c>
      <c r="L125" s="7" t="s">
        <v>176</v>
      </c>
      <c r="M125" s="2" t="s">
        <v>91</v>
      </c>
      <c r="N125" s="7" t="s">
        <v>121</v>
      </c>
      <c r="O125" s="7" t="s">
        <v>135</v>
      </c>
      <c r="P125" s="7" t="s">
        <v>448</v>
      </c>
      <c r="Q125" s="7" t="s">
        <v>154</v>
      </c>
      <c r="R125" s="7" t="s">
        <v>1112</v>
      </c>
      <c r="S125" s="7" t="s">
        <v>324</v>
      </c>
      <c r="T125" s="7" t="s">
        <v>80</v>
      </c>
      <c r="U125" s="7" t="s">
        <v>80</v>
      </c>
      <c r="V125" s="7" t="s">
        <v>80</v>
      </c>
      <c r="W125" s="7" t="s">
        <v>80</v>
      </c>
      <c r="X125" s="7">
        <v>0.496</v>
      </c>
      <c r="Y125" s="7" t="s">
        <v>80</v>
      </c>
      <c r="Z125" s="7" t="s">
        <v>91</v>
      </c>
      <c r="AA125" s="7" t="s">
        <v>80</v>
      </c>
      <c r="AB125" s="7" t="s">
        <v>80</v>
      </c>
      <c r="AC125" s="7" t="s">
        <v>71</v>
      </c>
      <c r="AD125" s="7" t="s">
        <v>579</v>
      </c>
      <c r="AE125" s="7" t="s">
        <v>429</v>
      </c>
      <c r="AF125" s="7" t="s">
        <v>429</v>
      </c>
      <c r="AG125" s="7" t="s">
        <v>429</v>
      </c>
      <c r="AH125" s="7">
        <v>-3.1899999999999998E-2</v>
      </c>
      <c r="AI125" s="7" t="s">
        <v>80</v>
      </c>
      <c r="AJ125" s="7">
        <v>-3.1899999999999998E-2</v>
      </c>
      <c r="AK125" s="7">
        <v>0.01</v>
      </c>
      <c r="AL125" s="7"/>
      <c r="AM125" s="7">
        <f>-0.2277-0.1638</f>
        <v>-0.39150000000000001</v>
      </c>
      <c r="AN125" s="19">
        <v>0.1</v>
      </c>
      <c r="AO125" s="7">
        <v>0.01</v>
      </c>
      <c r="AP125" s="18">
        <v>1073</v>
      </c>
      <c r="AQ125" s="11">
        <v>44620</v>
      </c>
      <c r="AR125" s="7"/>
      <c r="AS125" s="7"/>
      <c r="AT125" s="7"/>
      <c r="AU125" s="7" t="s">
        <v>44</v>
      </c>
      <c r="AV125" s="7" t="s">
        <v>449</v>
      </c>
      <c r="AW125" s="7" t="s">
        <v>44</v>
      </c>
    </row>
    <row r="126" spans="1:49" ht="15.75" customHeight="1" thickBot="1">
      <c r="A126" s="7">
        <v>95</v>
      </c>
      <c r="B126" s="7">
        <v>38</v>
      </c>
      <c r="C126" s="7" t="s">
        <v>1184</v>
      </c>
      <c r="D126" s="7">
        <v>2021</v>
      </c>
      <c r="E126" s="7" t="s">
        <v>457</v>
      </c>
      <c r="F126" s="7" t="s">
        <v>80</v>
      </c>
      <c r="G126" s="7" t="s">
        <v>80</v>
      </c>
      <c r="H126" s="7" t="s">
        <v>458</v>
      </c>
      <c r="I126" s="7" t="s">
        <v>80</v>
      </c>
      <c r="J126" s="11">
        <v>44001</v>
      </c>
      <c r="K126" s="7" t="s">
        <v>459</v>
      </c>
      <c r="L126" s="7" t="s">
        <v>244</v>
      </c>
      <c r="M126" s="2" t="s">
        <v>91</v>
      </c>
      <c r="N126" s="7" t="s">
        <v>121</v>
      </c>
      <c r="O126" s="7" t="s">
        <v>135</v>
      </c>
      <c r="P126" s="7" t="s">
        <v>460</v>
      </c>
      <c r="Q126" s="7" t="s">
        <v>580</v>
      </c>
      <c r="R126" s="7" t="s">
        <v>1111</v>
      </c>
      <c r="S126" s="7" t="s">
        <v>93</v>
      </c>
      <c r="T126" s="7" t="s">
        <v>80</v>
      </c>
      <c r="U126" s="7" t="s">
        <v>80</v>
      </c>
      <c r="V126" s="7" t="s">
        <v>80</v>
      </c>
      <c r="W126" s="7" t="s">
        <v>80</v>
      </c>
      <c r="X126" s="7">
        <v>0.57899999999999996</v>
      </c>
      <c r="Y126" s="7" t="s">
        <v>80</v>
      </c>
      <c r="Z126" s="7" t="s">
        <v>91</v>
      </c>
      <c r="AA126" s="7" t="s">
        <v>80</v>
      </c>
      <c r="AB126" s="7" t="s">
        <v>80</v>
      </c>
      <c r="AC126" s="7" t="s">
        <v>71</v>
      </c>
      <c r="AD126" s="7" t="s">
        <v>581</v>
      </c>
      <c r="AE126" s="7" t="s">
        <v>429</v>
      </c>
      <c r="AF126" s="7" t="s">
        <v>429</v>
      </c>
      <c r="AG126" s="7" t="s">
        <v>429</v>
      </c>
      <c r="AH126" s="7">
        <v>-0.39300000000000002</v>
      </c>
      <c r="AI126" s="7" t="s">
        <v>80</v>
      </c>
      <c r="AJ126" s="7">
        <v>-0.39300000000000002</v>
      </c>
      <c r="AK126" s="7">
        <v>3.6700000000000003E-2</v>
      </c>
      <c r="AL126" s="7"/>
      <c r="AM126" s="7">
        <f>-0.7683- -0.0177</f>
        <v>-0.75059999999999993</v>
      </c>
      <c r="AN126" s="19">
        <v>0.1915724406</v>
      </c>
      <c r="AO126" s="7">
        <v>3.6700000000000003E-2</v>
      </c>
      <c r="AP126" s="7">
        <v>114</v>
      </c>
      <c r="AQ126" s="11">
        <v>44620</v>
      </c>
      <c r="AR126" s="7"/>
      <c r="AS126" s="7"/>
      <c r="AT126" s="7"/>
      <c r="AU126" s="7" t="s">
        <v>44</v>
      </c>
      <c r="AV126" s="7" t="s">
        <v>44</v>
      </c>
      <c r="AW126" s="7" t="s">
        <v>461</v>
      </c>
    </row>
    <row r="127" spans="1:49" ht="15.75" customHeight="1" thickBot="1">
      <c r="A127" s="7">
        <v>105</v>
      </c>
      <c r="B127" s="7">
        <v>43</v>
      </c>
      <c r="C127" s="7" t="s">
        <v>1185</v>
      </c>
      <c r="D127" s="7">
        <v>2022</v>
      </c>
      <c r="E127" s="7" t="s">
        <v>494</v>
      </c>
      <c r="F127" s="7" t="s">
        <v>80</v>
      </c>
      <c r="G127" s="7" t="s">
        <v>80</v>
      </c>
      <c r="H127" s="7" t="s">
        <v>495</v>
      </c>
      <c r="I127" s="7" t="s">
        <v>80</v>
      </c>
      <c r="J127" s="11">
        <v>44104</v>
      </c>
      <c r="K127" s="7" t="s">
        <v>496</v>
      </c>
      <c r="L127" s="7" t="s">
        <v>244</v>
      </c>
      <c r="M127" s="2" t="s">
        <v>91</v>
      </c>
      <c r="N127" s="7" t="s">
        <v>121</v>
      </c>
      <c r="O127" s="7" t="s">
        <v>135</v>
      </c>
      <c r="P127" s="7" t="s">
        <v>497</v>
      </c>
      <c r="Q127" s="7" t="s">
        <v>490</v>
      </c>
      <c r="R127" s="7" t="s">
        <v>490</v>
      </c>
      <c r="S127" s="7" t="s">
        <v>342</v>
      </c>
      <c r="T127" s="7" t="s">
        <v>80</v>
      </c>
      <c r="U127" s="7" t="s">
        <v>80</v>
      </c>
      <c r="V127" s="7" t="s">
        <v>80</v>
      </c>
      <c r="W127" s="7" t="s">
        <v>80</v>
      </c>
      <c r="X127" s="7">
        <v>0.623</v>
      </c>
      <c r="Y127" s="7" t="s">
        <v>80</v>
      </c>
      <c r="Z127" s="7" t="s">
        <v>91</v>
      </c>
      <c r="AA127" s="7" t="s">
        <v>80</v>
      </c>
      <c r="AB127" s="7" t="s">
        <v>80</v>
      </c>
      <c r="AC127" s="7" t="s">
        <v>38</v>
      </c>
      <c r="AD127" s="7" t="s">
        <v>498</v>
      </c>
      <c r="AE127" s="7" t="s">
        <v>58</v>
      </c>
      <c r="AF127" s="7" t="s">
        <v>58</v>
      </c>
      <c r="AG127" s="7" t="s">
        <v>58</v>
      </c>
      <c r="AH127" s="7">
        <v>-0.1895</v>
      </c>
      <c r="AI127" s="7" t="s">
        <v>80</v>
      </c>
      <c r="AJ127" s="7">
        <v>-0.1895</v>
      </c>
      <c r="AK127" s="7">
        <v>2.1453E-2</v>
      </c>
      <c r="AL127" s="7"/>
      <c r="AM127" s="7">
        <f>-0.4766-0.0975</f>
        <v>-0.57410000000000005</v>
      </c>
      <c r="AN127" s="19">
        <v>0.14646842660000001</v>
      </c>
      <c r="AO127" s="7">
        <v>2.1453E-2</v>
      </c>
      <c r="AP127" s="7">
        <v>290</v>
      </c>
      <c r="AQ127" s="11">
        <v>44620</v>
      </c>
      <c r="AR127" s="7"/>
      <c r="AS127" s="7"/>
      <c r="AT127" s="7"/>
      <c r="AU127" s="7" t="s">
        <v>499</v>
      </c>
      <c r="AV127" s="7" t="s">
        <v>44</v>
      </c>
      <c r="AW127" s="7" t="s">
        <v>500</v>
      </c>
    </row>
    <row r="128" spans="1:49" ht="15.75" customHeight="1" thickBot="1">
      <c r="A128" s="7">
        <v>106</v>
      </c>
      <c r="B128" s="7">
        <v>44</v>
      </c>
      <c r="C128" s="7" t="s">
        <v>1186</v>
      </c>
      <c r="D128" s="7">
        <v>2021</v>
      </c>
      <c r="E128" s="7" t="s">
        <v>501</v>
      </c>
      <c r="F128" s="7" t="s">
        <v>80</v>
      </c>
      <c r="G128" s="7" t="s">
        <v>80</v>
      </c>
      <c r="H128" s="7" t="s">
        <v>502</v>
      </c>
      <c r="I128" s="7" t="s">
        <v>80</v>
      </c>
      <c r="J128" s="11">
        <v>44255</v>
      </c>
      <c r="K128" s="7" t="s">
        <v>503</v>
      </c>
      <c r="L128" s="7" t="s">
        <v>244</v>
      </c>
      <c r="M128" s="2" t="s">
        <v>91</v>
      </c>
      <c r="N128" s="7" t="s">
        <v>121</v>
      </c>
      <c r="O128" s="7" t="s">
        <v>135</v>
      </c>
      <c r="P128" s="7" t="s">
        <v>504</v>
      </c>
      <c r="Q128" s="7" t="s">
        <v>505</v>
      </c>
      <c r="R128" s="7" t="s">
        <v>1111</v>
      </c>
      <c r="S128" s="7" t="s">
        <v>506</v>
      </c>
      <c r="T128" s="7" t="s">
        <v>80</v>
      </c>
      <c r="U128" s="7" t="s">
        <v>80</v>
      </c>
      <c r="V128" s="7" t="s">
        <v>80</v>
      </c>
      <c r="W128" s="7" t="s">
        <v>80</v>
      </c>
      <c r="X128" s="7">
        <v>0.75900000000000001</v>
      </c>
      <c r="Y128" s="7" t="s">
        <v>80</v>
      </c>
      <c r="Z128" s="7" t="s">
        <v>91</v>
      </c>
      <c r="AA128" s="7" t="s">
        <v>80</v>
      </c>
      <c r="AB128" s="7" t="s">
        <v>80</v>
      </c>
      <c r="AC128" s="7" t="s">
        <v>38</v>
      </c>
      <c r="AD128" s="7" t="s">
        <v>583</v>
      </c>
      <c r="AE128" s="7" t="s">
        <v>429</v>
      </c>
      <c r="AF128" s="7" t="s">
        <v>429</v>
      </c>
      <c r="AG128" s="7" t="s">
        <v>429</v>
      </c>
      <c r="AH128" s="7">
        <v>-0.73550000000000004</v>
      </c>
      <c r="AI128" s="7" t="s">
        <v>80</v>
      </c>
      <c r="AJ128" s="7">
        <v>-0.73550000000000004</v>
      </c>
      <c r="AK128" s="7">
        <v>5.4800000000000001E-2</v>
      </c>
      <c r="AL128" s="7"/>
      <c r="AM128" s="7">
        <f>-1.1945- -0.2766</f>
        <v>-0.91789999999999994</v>
      </c>
      <c r="AN128" s="19">
        <v>0.23409399819999999</v>
      </c>
      <c r="AO128" s="7">
        <v>5.4800000000000001E-2</v>
      </c>
      <c r="AP128" s="7">
        <v>87</v>
      </c>
      <c r="AQ128" s="11">
        <v>44620</v>
      </c>
      <c r="AR128" s="7"/>
      <c r="AS128" s="7"/>
      <c r="AT128" s="7"/>
      <c r="AU128" s="7" t="s">
        <v>44</v>
      </c>
      <c r="AV128" s="7" t="s">
        <v>44</v>
      </c>
      <c r="AW128" s="7" t="s">
        <v>44</v>
      </c>
    </row>
    <row r="129" spans="1:49" ht="15.75" customHeight="1" thickBot="1">
      <c r="A129" s="7">
        <v>113</v>
      </c>
      <c r="B129" s="7">
        <v>48</v>
      </c>
      <c r="C129" s="7" t="s">
        <v>1187</v>
      </c>
      <c r="D129" s="7">
        <v>2021</v>
      </c>
      <c r="E129" s="7" t="s">
        <v>530</v>
      </c>
      <c r="F129" s="7" t="s">
        <v>80</v>
      </c>
      <c r="G129" s="7" t="s">
        <v>80</v>
      </c>
      <c r="H129" s="7" t="s">
        <v>531</v>
      </c>
      <c r="I129" s="7" t="s">
        <v>80</v>
      </c>
      <c r="J129" s="11">
        <v>44227</v>
      </c>
      <c r="K129" s="7" t="s">
        <v>67</v>
      </c>
      <c r="L129" s="7" t="s">
        <v>67</v>
      </c>
      <c r="M129" s="2" t="s">
        <v>91</v>
      </c>
      <c r="N129" s="7" t="s">
        <v>121</v>
      </c>
      <c r="O129" s="7" t="s">
        <v>532</v>
      </c>
      <c r="P129" s="7" t="s">
        <v>533</v>
      </c>
      <c r="Q129" s="7" t="s">
        <v>147</v>
      </c>
      <c r="R129" s="7" t="s">
        <v>1111</v>
      </c>
      <c r="S129" s="7" t="s">
        <v>534</v>
      </c>
      <c r="T129" s="7" t="s">
        <v>80</v>
      </c>
      <c r="U129" s="7" t="s">
        <v>80</v>
      </c>
      <c r="V129" s="7" t="s">
        <v>80</v>
      </c>
      <c r="W129" s="7" t="s">
        <v>80</v>
      </c>
      <c r="X129" s="7" t="s">
        <v>80</v>
      </c>
      <c r="Y129" s="7" t="s">
        <v>80</v>
      </c>
      <c r="Z129" s="7" t="s">
        <v>91</v>
      </c>
      <c r="AA129" s="13" t="s">
        <v>1157</v>
      </c>
      <c r="AB129" s="7">
        <v>-0.2046801872</v>
      </c>
      <c r="AC129" s="7" t="s">
        <v>38</v>
      </c>
      <c r="AD129" s="7" t="s">
        <v>80</v>
      </c>
      <c r="AE129" s="7" t="s">
        <v>80</v>
      </c>
      <c r="AF129" s="7" t="s">
        <v>80</v>
      </c>
      <c r="AG129" s="7" t="s">
        <v>80</v>
      </c>
      <c r="AH129" s="7" t="s">
        <v>80</v>
      </c>
      <c r="AI129" s="7" t="s">
        <v>80</v>
      </c>
      <c r="AJ129" s="7">
        <v>-0.2046801872</v>
      </c>
      <c r="AK129" s="7" t="s">
        <v>80</v>
      </c>
      <c r="AL129" s="7"/>
      <c r="AM129" s="7" t="s">
        <v>80</v>
      </c>
      <c r="AN129" s="19">
        <v>0.1550702028</v>
      </c>
      <c r="AO129" s="7">
        <v>2.40467678E-2</v>
      </c>
      <c r="AP129" s="7">
        <v>6982</v>
      </c>
      <c r="AQ129" s="11">
        <v>44620</v>
      </c>
      <c r="AR129" s="7"/>
      <c r="AS129" s="7" t="s">
        <v>41</v>
      </c>
      <c r="AT129" s="7"/>
      <c r="AU129" s="7" t="s">
        <v>535</v>
      </c>
      <c r="AV129" s="7" t="s">
        <v>44</v>
      </c>
      <c r="AW129" s="7" t="s">
        <v>536</v>
      </c>
    </row>
    <row r="130" spans="1:49" ht="15.75" customHeight="1" thickBot="1">
      <c r="A130" s="7">
        <v>114</v>
      </c>
      <c r="B130" s="7">
        <v>49</v>
      </c>
      <c r="C130" s="7" t="s">
        <v>1188</v>
      </c>
      <c r="D130" s="7">
        <v>2021</v>
      </c>
      <c r="E130" s="7" t="s">
        <v>537</v>
      </c>
      <c r="F130" s="7" t="s">
        <v>80</v>
      </c>
      <c r="G130" s="7" t="s">
        <v>80</v>
      </c>
      <c r="H130" s="7" t="s">
        <v>538</v>
      </c>
      <c r="I130" s="7" t="s">
        <v>80</v>
      </c>
      <c r="J130" s="11">
        <v>44012</v>
      </c>
      <c r="K130" s="7" t="s">
        <v>539</v>
      </c>
      <c r="L130" s="7" t="s">
        <v>176</v>
      </c>
      <c r="M130" s="2" t="s">
        <v>91</v>
      </c>
      <c r="N130" s="7" t="s">
        <v>121</v>
      </c>
      <c r="O130" s="7" t="s">
        <v>591</v>
      </c>
      <c r="P130" s="7" t="s">
        <v>540</v>
      </c>
      <c r="Q130" s="7" t="s">
        <v>541</v>
      </c>
      <c r="R130" s="7" t="s">
        <v>490</v>
      </c>
      <c r="S130" s="7" t="s">
        <v>542</v>
      </c>
      <c r="T130" s="7" t="s">
        <v>80</v>
      </c>
      <c r="U130" s="7" t="s">
        <v>80</v>
      </c>
      <c r="V130" s="7" t="s">
        <v>80</v>
      </c>
      <c r="W130" s="7" t="s">
        <v>80</v>
      </c>
      <c r="X130" s="7">
        <v>0.56999999999999995</v>
      </c>
      <c r="Y130" s="7" t="s">
        <v>80</v>
      </c>
      <c r="Z130" s="7" t="s">
        <v>91</v>
      </c>
      <c r="AA130" s="7" t="s">
        <v>80</v>
      </c>
      <c r="AB130" s="7" t="s">
        <v>80</v>
      </c>
      <c r="AC130" s="7" t="s">
        <v>38</v>
      </c>
      <c r="AD130" s="7" t="s">
        <v>543</v>
      </c>
      <c r="AE130" s="7" t="s">
        <v>58</v>
      </c>
      <c r="AF130" s="7" t="s">
        <v>58</v>
      </c>
      <c r="AG130" s="7" t="s">
        <v>58</v>
      </c>
      <c r="AH130" s="7">
        <v>-0.51</v>
      </c>
      <c r="AI130" s="7" t="s">
        <v>80</v>
      </c>
      <c r="AJ130" s="7">
        <v>-0.51</v>
      </c>
      <c r="AK130" s="7">
        <v>2.5876E-2</v>
      </c>
      <c r="AL130" s="7"/>
      <c r="AM130" s="7">
        <f>-0.8253--0.1947</f>
        <v>-0.63060000000000005</v>
      </c>
      <c r="AN130" s="19">
        <v>0.16086018769999999</v>
      </c>
      <c r="AO130" s="7">
        <v>2.5876E-2</v>
      </c>
      <c r="AP130" s="7">
        <v>555</v>
      </c>
      <c r="AQ130" s="11">
        <v>44620</v>
      </c>
      <c r="AR130" s="7"/>
      <c r="AS130" s="7"/>
      <c r="AT130" s="7"/>
      <c r="AU130" s="7" t="s">
        <v>44</v>
      </c>
      <c r="AV130" s="7" t="s">
        <v>44</v>
      </c>
      <c r="AW130" s="7" t="s">
        <v>544</v>
      </c>
    </row>
    <row r="131" spans="1:49" ht="15.75" customHeight="1" thickBot="1">
      <c r="A131" s="7">
        <v>115</v>
      </c>
      <c r="B131" s="7">
        <v>50</v>
      </c>
      <c r="C131" s="7" t="s">
        <v>1189</v>
      </c>
      <c r="D131" s="7">
        <v>2021</v>
      </c>
      <c r="E131" s="7" t="s">
        <v>545</v>
      </c>
      <c r="F131" s="7" t="s">
        <v>80</v>
      </c>
      <c r="G131" s="7" t="s">
        <v>80</v>
      </c>
      <c r="H131" s="7" t="s">
        <v>546</v>
      </c>
      <c r="I131" s="7" t="s">
        <v>80</v>
      </c>
      <c r="J131" s="11">
        <v>44002</v>
      </c>
      <c r="K131" s="7" t="s">
        <v>67</v>
      </c>
      <c r="L131" s="7" t="s">
        <v>67</v>
      </c>
      <c r="M131" s="2" t="s">
        <v>91</v>
      </c>
      <c r="N131" s="7" t="s">
        <v>121</v>
      </c>
      <c r="O131" s="7" t="s">
        <v>135</v>
      </c>
      <c r="P131" s="7" t="s">
        <v>547</v>
      </c>
      <c r="Q131" s="7" t="s">
        <v>548</v>
      </c>
      <c r="R131" s="7" t="s">
        <v>1111</v>
      </c>
      <c r="S131" s="7" t="s">
        <v>342</v>
      </c>
      <c r="T131" s="7" t="s">
        <v>80</v>
      </c>
      <c r="U131" s="7" t="s">
        <v>80</v>
      </c>
      <c r="V131" s="7" t="s">
        <v>80</v>
      </c>
      <c r="W131" s="7" t="s">
        <v>80</v>
      </c>
      <c r="X131" s="7">
        <v>0.65</v>
      </c>
      <c r="Y131" s="7" t="s">
        <v>80</v>
      </c>
      <c r="Z131" s="7" t="s">
        <v>91</v>
      </c>
      <c r="AA131" s="7" t="s">
        <v>1158</v>
      </c>
      <c r="AB131" s="7">
        <v>-0.51500000000000001</v>
      </c>
      <c r="AC131" s="7" t="s">
        <v>38</v>
      </c>
      <c r="AD131" s="7" t="s">
        <v>80</v>
      </c>
      <c r="AE131" s="7" t="s">
        <v>80</v>
      </c>
      <c r="AF131" s="7" t="s">
        <v>80</v>
      </c>
      <c r="AG131" s="7" t="s">
        <v>80</v>
      </c>
      <c r="AH131" s="7" t="s">
        <v>80</v>
      </c>
      <c r="AI131" s="7" t="s">
        <v>80</v>
      </c>
      <c r="AJ131" s="7">
        <v>-0.51500000000000001</v>
      </c>
      <c r="AK131" s="7" t="s">
        <v>80</v>
      </c>
      <c r="AL131" s="7"/>
      <c r="AM131" s="7" t="s">
        <v>80</v>
      </c>
      <c r="AN131" s="19">
        <v>0.308</v>
      </c>
      <c r="AO131" s="7">
        <v>9.4864000000000004E-2</v>
      </c>
      <c r="AP131" s="7">
        <v>180</v>
      </c>
      <c r="AQ131" s="11">
        <v>44620</v>
      </c>
      <c r="AR131" s="7"/>
      <c r="AS131" s="7"/>
      <c r="AT131" s="7"/>
      <c r="AU131" s="7" t="s">
        <v>549</v>
      </c>
      <c r="AV131" s="7" t="s">
        <v>44</v>
      </c>
      <c r="AW131" s="7" t="s">
        <v>536</v>
      </c>
    </row>
    <row r="132" spans="1:49" ht="15.75" customHeight="1" thickBo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0"/>
      <c r="AO132" s="7"/>
      <c r="AP132" s="7"/>
      <c r="AQ132" s="7"/>
      <c r="AR132" s="7"/>
      <c r="AS132" s="7"/>
      <c r="AT132" s="7"/>
      <c r="AU132" s="7"/>
      <c r="AV132" s="7"/>
      <c r="AW132" s="7"/>
    </row>
    <row r="133" spans="1:49" ht="15.75" customHeight="1" thickBo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0"/>
      <c r="AO133" s="7"/>
      <c r="AP133" s="7"/>
      <c r="AQ133" s="7"/>
      <c r="AR133" s="7"/>
      <c r="AS133" s="7"/>
      <c r="AT133" s="7"/>
      <c r="AU133" s="7"/>
      <c r="AV133" s="7"/>
      <c r="AW133" s="7"/>
    </row>
    <row r="134" spans="1:49" ht="15.75" customHeight="1" thickBo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0"/>
      <c r="AO134" s="7"/>
      <c r="AP134" s="7"/>
      <c r="AQ134" s="7"/>
      <c r="AR134" s="7"/>
      <c r="AS134" s="7"/>
      <c r="AT134" s="7"/>
      <c r="AU134" s="7"/>
      <c r="AV134" s="7"/>
      <c r="AW134" s="7"/>
    </row>
    <row r="135" spans="1:49" ht="15.75" customHeight="1" thickBo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0"/>
      <c r="AO135" s="7"/>
      <c r="AP135" s="7"/>
      <c r="AQ135" s="7"/>
      <c r="AR135" s="7"/>
      <c r="AS135" s="7"/>
      <c r="AT135" s="7"/>
      <c r="AU135" s="7"/>
      <c r="AV135" s="7"/>
      <c r="AW135" s="7"/>
    </row>
    <row r="136" spans="1:49" ht="15.75" customHeight="1" thickBo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0"/>
      <c r="AO136" s="7"/>
      <c r="AP136" s="7"/>
      <c r="AQ136" s="7"/>
      <c r="AR136" s="7"/>
      <c r="AS136" s="7"/>
      <c r="AT136" s="7"/>
      <c r="AU136" s="7"/>
      <c r="AV136" s="7"/>
      <c r="AW136" s="7"/>
    </row>
    <row r="137" spans="1:49" ht="15.75" customHeight="1" thickBo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0"/>
      <c r="AO137" s="7"/>
      <c r="AP137" s="7"/>
      <c r="AQ137" s="7"/>
      <c r="AR137" s="7"/>
      <c r="AS137" s="7"/>
      <c r="AT137" s="7"/>
      <c r="AU137" s="7"/>
      <c r="AV137" s="7"/>
      <c r="AW137" s="7"/>
    </row>
    <row r="138" spans="1:49" ht="15.75" customHeight="1" thickBo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0"/>
      <c r="AO138" s="7"/>
      <c r="AP138" s="7"/>
      <c r="AQ138" s="7"/>
      <c r="AR138" s="7"/>
      <c r="AS138" s="7"/>
      <c r="AT138" s="7"/>
      <c r="AU138" s="7"/>
      <c r="AV138" s="7"/>
      <c r="AW138" s="7"/>
    </row>
    <row r="139" spans="1:49" ht="15.75" customHeight="1" thickBo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0"/>
      <c r="AO139" s="7"/>
      <c r="AP139" s="7"/>
      <c r="AQ139" s="7"/>
      <c r="AR139" s="7"/>
      <c r="AS139" s="7"/>
      <c r="AT139" s="7"/>
      <c r="AU139" s="7"/>
      <c r="AV139" s="7"/>
      <c r="AW139" s="7"/>
    </row>
    <row r="140" spans="1:49" ht="15.75" customHeight="1" thickBo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0"/>
      <c r="AO140" s="7"/>
      <c r="AP140" s="7"/>
      <c r="AQ140" s="7"/>
      <c r="AR140" s="7"/>
      <c r="AS140" s="7"/>
      <c r="AT140" s="7"/>
      <c r="AU140" s="7"/>
      <c r="AV140" s="7"/>
      <c r="AW140" s="7"/>
    </row>
    <row r="141" spans="1:49" ht="15.75" customHeight="1" thickBo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0"/>
      <c r="AO141" s="7"/>
      <c r="AP141" s="7"/>
      <c r="AQ141" s="7"/>
      <c r="AR141" s="7"/>
      <c r="AS141" s="7"/>
      <c r="AT141" s="7"/>
      <c r="AU141" s="7"/>
      <c r="AV141" s="7"/>
      <c r="AW141" s="7"/>
    </row>
    <row r="142" spans="1:49" ht="15.75" customHeight="1" thickBo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0"/>
      <c r="AO142" s="7"/>
      <c r="AP142" s="7"/>
      <c r="AQ142" s="7"/>
      <c r="AR142" s="7"/>
      <c r="AS142" s="7"/>
      <c r="AT142" s="7"/>
      <c r="AU142" s="7"/>
      <c r="AV142" s="7"/>
      <c r="AW142" s="7"/>
    </row>
    <row r="143" spans="1:49" ht="15.75" customHeight="1" thickBo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0"/>
      <c r="AO143" s="7"/>
      <c r="AP143" s="7"/>
      <c r="AQ143" s="7"/>
      <c r="AR143" s="7"/>
      <c r="AS143" s="7"/>
      <c r="AT143" s="7"/>
      <c r="AU143" s="7"/>
      <c r="AV143" s="7"/>
      <c r="AW143" s="7"/>
    </row>
    <row r="144" spans="1:49" ht="15.75" customHeight="1" thickBo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0"/>
      <c r="AO144" s="7"/>
      <c r="AP144" s="7"/>
      <c r="AQ144" s="7"/>
      <c r="AR144" s="7"/>
      <c r="AS144" s="7"/>
      <c r="AT144" s="7"/>
      <c r="AU144" s="7"/>
      <c r="AV144" s="7"/>
      <c r="AW144" s="7"/>
    </row>
    <row r="145" spans="1:49" ht="15.75" customHeight="1" thickBo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0"/>
      <c r="AO145" s="7"/>
      <c r="AP145" s="7"/>
      <c r="AQ145" s="7"/>
      <c r="AR145" s="7"/>
      <c r="AS145" s="7"/>
      <c r="AT145" s="7"/>
      <c r="AU145" s="7"/>
      <c r="AV145" s="7"/>
      <c r="AW145" s="7"/>
    </row>
    <row r="146" spans="1:49" ht="15.75" customHeight="1" thickBo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0"/>
      <c r="AO146" s="7"/>
      <c r="AP146" s="7"/>
      <c r="AQ146" s="7"/>
      <c r="AR146" s="7"/>
      <c r="AS146" s="7"/>
      <c r="AT146" s="7"/>
      <c r="AU146" s="7"/>
      <c r="AV146" s="7"/>
      <c r="AW146" s="7"/>
    </row>
    <row r="147" spans="1:49" ht="15.75" customHeight="1" thickBo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0"/>
      <c r="AO147" s="7"/>
      <c r="AP147" s="7"/>
      <c r="AQ147" s="7"/>
      <c r="AR147" s="7"/>
      <c r="AS147" s="7"/>
      <c r="AT147" s="7"/>
      <c r="AU147" s="7"/>
      <c r="AV147" s="7"/>
      <c r="AW147" s="7"/>
    </row>
    <row r="148" spans="1:49" ht="15.75" customHeight="1" thickBo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0"/>
      <c r="AO148" s="7"/>
      <c r="AP148" s="7"/>
      <c r="AQ148" s="7"/>
      <c r="AR148" s="7"/>
      <c r="AS148" s="7"/>
      <c r="AT148" s="7"/>
      <c r="AU148" s="7"/>
      <c r="AV148" s="7"/>
      <c r="AW148" s="7"/>
    </row>
    <row r="149" spans="1:49" ht="15.75" customHeight="1" thickBo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0"/>
      <c r="AO149" s="7"/>
      <c r="AP149" s="7"/>
      <c r="AQ149" s="7"/>
      <c r="AR149" s="7"/>
      <c r="AS149" s="7"/>
      <c r="AT149" s="7"/>
      <c r="AU149" s="7"/>
      <c r="AV149" s="7"/>
      <c r="AW149" s="7"/>
    </row>
    <row r="150" spans="1:49" ht="15.75" customHeight="1" thickBo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0"/>
      <c r="AO150" s="7"/>
      <c r="AP150" s="7"/>
      <c r="AQ150" s="7"/>
      <c r="AR150" s="7"/>
      <c r="AS150" s="7"/>
      <c r="AT150" s="7"/>
      <c r="AU150" s="7"/>
      <c r="AV150" s="7"/>
      <c r="AW150" s="7"/>
    </row>
    <row r="151" spans="1:49" ht="15.75" customHeight="1" thickBo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0"/>
      <c r="AO151" s="7"/>
      <c r="AP151" s="7"/>
      <c r="AQ151" s="7"/>
      <c r="AR151" s="7"/>
      <c r="AS151" s="7"/>
      <c r="AT151" s="7"/>
      <c r="AU151" s="7"/>
      <c r="AV151" s="7"/>
      <c r="AW151" s="7"/>
    </row>
    <row r="152" spans="1:49" ht="15.75" customHeight="1" thickBo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0"/>
      <c r="AO152" s="7"/>
      <c r="AP152" s="7"/>
      <c r="AQ152" s="7"/>
      <c r="AR152" s="7"/>
      <c r="AS152" s="7"/>
      <c r="AT152" s="7"/>
      <c r="AU152" s="7"/>
      <c r="AV152" s="7"/>
      <c r="AW152" s="7"/>
    </row>
    <row r="153" spans="1:49" ht="15.75" customHeight="1" thickBo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0"/>
      <c r="AO153" s="7"/>
      <c r="AP153" s="7"/>
      <c r="AQ153" s="7"/>
      <c r="AR153" s="7"/>
      <c r="AS153" s="7"/>
      <c r="AT153" s="7"/>
      <c r="AU153" s="7"/>
      <c r="AV153" s="7"/>
      <c r="AW153" s="7"/>
    </row>
    <row r="154" spans="1:49" ht="15.75" customHeight="1" thickBo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0"/>
      <c r="AO154" s="7"/>
      <c r="AP154" s="7"/>
      <c r="AQ154" s="7"/>
      <c r="AR154" s="7"/>
      <c r="AS154" s="7"/>
      <c r="AT154" s="7"/>
      <c r="AU154" s="7"/>
      <c r="AV154" s="7"/>
      <c r="AW154" s="7"/>
    </row>
    <row r="155" spans="1:49" ht="15.75" customHeight="1" thickBo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0"/>
      <c r="AO155" s="7"/>
      <c r="AP155" s="7"/>
      <c r="AQ155" s="7"/>
      <c r="AR155" s="7"/>
      <c r="AS155" s="7"/>
      <c r="AT155" s="7"/>
      <c r="AU155" s="7"/>
      <c r="AV155" s="7"/>
      <c r="AW155" s="7"/>
    </row>
    <row r="156" spans="1:49" ht="15.75" customHeight="1" thickBo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0"/>
      <c r="AO156" s="7"/>
      <c r="AP156" s="7"/>
      <c r="AQ156" s="7"/>
      <c r="AR156" s="7"/>
      <c r="AS156" s="7"/>
      <c r="AT156" s="7"/>
      <c r="AU156" s="7"/>
      <c r="AV156" s="7"/>
      <c r="AW156" s="7"/>
    </row>
    <row r="157" spans="1:49" ht="15.75" customHeight="1" thickBo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0"/>
      <c r="AO157" s="7"/>
      <c r="AP157" s="7"/>
      <c r="AQ157" s="7"/>
      <c r="AR157" s="7"/>
      <c r="AS157" s="7"/>
      <c r="AT157" s="7"/>
      <c r="AU157" s="7"/>
      <c r="AV157" s="7"/>
      <c r="AW157" s="7"/>
    </row>
    <row r="158" spans="1:49" ht="15.75" customHeight="1" thickBo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0"/>
      <c r="AO158" s="7"/>
      <c r="AP158" s="7"/>
      <c r="AQ158" s="7"/>
      <c r="AR158" s="7"/>
      <c r="AS158" s="7"/>
      <c r="AT158" s="7"/>
      <c r="AU158" s="7"/>
      <c r="AV158" s="7"/>
      <c r="AW158" s="7"/>
    </row>
    <row r="159" spans="1:49" ht="15.75" customHeight="1" thickBo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0"/>
      <c r="AO159" s="7"/>
      <c r="AP159" s="7"/>
      <c r="AQ159" s="7"/>
      <c r="AR159" s="7"/>
      <c r="AS159" s="7"/>
      <c r="AT159" s="7"/>
      <c r="AU159" s="7"/>
      <c r="AV159" s="7"/>
      <c r="AW159" s="7"/>
    </row>
    <row r="160" spans="1:49" ht="15.75" customHeight="1" thickBo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0"/>
      <c r="AO160" s="7"/>
      <c r="AP160" s="7"/>
      <c r="AQ160" s="7"/>
      <c r="AR160" s="7"/>
      <c r="AS160" s="7"/>
      <c r="AT160" s="7"/>
      <c r="AU160" s="7"/>
      <c r="AV160" s="7"/>
      <c r="AW160" s="7"/>
    </row>
    <row r="161" spans="1:49" ht="15.75" customHeight="1" thickBo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0"/>
      <c r="AO161" s="7"/>
      <c r="AP161" s="7"/>
      <c r="AQ161" s="7"/>
      <c r="AR161" s="7"/>
      <c r="AS161" s="7"/>
      <c r="AT161" s="7"/>
      <c r="AU161" s="7"/>
      <c r="AV161" s="7"/>
      <c r="AW161" s="7"/>
    </row>
    <row r="162" spans="1:49" ht="15.75" customHeight="1" thickBo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0"/>
      <c r="AO162" s="7"/>
      <c r="AP162" s="7"/>
      <c r="AQ162" s="7"/>
      <c r="AR162" s="7"/>
      <c r="AS162" s="7"/>
      <c r="AT162" s="7"/>
      <c r="AU162" s="7"/>
      <c r="AV162" s="7"/>
      <c r="AW162" s="7"/>
    </row>
    <row r="163" spans="1:49" ht="15.75" customHeight="1" thickBo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0"/>
      <c r="AO163" s="7"/>
      <c r="AP163" s="7"/>
      <c r="AQ163" s="7"/>
      <c r="AR163" s="7"/>
      <c r="AS163" s="7"/>
      <c r="AT163" s="7"/>
      <c r="AU163" s="7"/>
      <c r="AV163" s="7"/>
      <c r="AW163" s="7"/>
    </row>
    <row r="164" spans="1:49" ht="15.75" customHeight="1" thickBo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0"/>
      <c r="AO164" s="7"/>
      <c r="AP164" s="7"/>
      <c r="AQ164" s="7"/>
      <c r="AR164" s="7"/>
      <c r="AS164" s="7"/>
      <c r="AT164" s="7"/>
      <c r="AU164" s="7"/>
      <c r="AV164" s="7"/>
      <c r="AW164" s="7"/>
    </row>
    <row r="165" spans="1:49" ht="15.75" customHeight="1" thickBo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0"/>
      <c r="AO165" s="7"/>
      <c r="AP165" s="7"/>
      <c r="AQ165" s="7"/>
      <c r="AR165" s="7"/>
      <c r="AS165" s="7"/>
      <c r="AT165" s="7"/>
      <c r="AU165" s="7"/>
      <c r="AV165" s="7"/>
      <c r="AW165" s="7"/>
    </row>
    <row r="166" spans="1:49" ht="15.75" customHeight="1" thickBo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0"/>
      <c r="AO166" s="7"/>
      <c r="AP166" s="7"/>
      <c r="AQ166" s="7"/>
      <c r="AR166" s="7"/>
      <c r="AS166" s="7"/>
      <c r="AT166" s="7"/>
      <c r="AU166" s="7"/>
      <c r="AV166" s="7"/>
      <c r="AW166" s="7"/>
    </row>
    <row r="167" spans="1:49" ht="15.75" customHeight="1" thickBo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0"/>
      <c r="AO167" s="7"/>
      <c r="AP167" s="7"/>
      <c r="AQ167" s="7"/>
      <c r="AR167" s="7"/>
      <c r="AS167" s="7"/>
      <c r="AT167" s="7"/>
      <c r="AU167" s="7"/>
      <c r="AV167" s="7"/>
      <c r="AW167" s="7"/>
    </row>
    <row r="168" spans="1:49" ht="15.75" customHeight="1" thickBo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0"/>
      <c r="AO168" s="7"/>
      <c r="AP168" s="7"/>
      <c r="AQ168" s="7"/>
      <c r="AR168" s="7"/>
      <c r="AS168" s="7"/>
      <c r="AT168" s="7"/>
      <c r="AU168" s="7"/>
      <c r="AV168" s="7"/>
      <c r="AW168" s="7"/>
    </row>
    <row r="169" spans="1:49" ht="15.75" customHeight="1" thickBo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0"/>
      <c r="AO169" s="7"/>
      <c r="AP169" s="7"/>
      <c r="AQ169" s="7"/>
      <c r="AR169" s="7"/>
      <c r="AS169" s="7"/>
      <c r="AT169" s="7"/>
      <c r="AU169" s="7"/>
      <c r="AV169" s="7"/>
      <c r="AW169" s="7"/>
    </row>
    <row r="170" spans="1:49" ht="15.75" customHeight="1" thickBo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0"/>
      <c r="AO170" s="7"/>
      <c r="AP170" s="7"/>
      <c r="AQ170" s="7"/>
      <c r="AR170" s="7"/>
      <c r="AS170" s="7"/>
      <c r="AT170" s="7"/>
      <c r="AU170" s="7"/>
      <c r="AV170" s="7"/>
      <c r="AW170" s="7"/>
    </row>
    <row r="171" spans="1:49" ht="15.75" customHeight="1" thickBo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0"/>
      <c r="AO171" s="7"/>
      <c r="AP171" s="7"/>
      <c r="AQ171" s="7"/>
      <c r="AR171" s="7"/>
      <c r="AS171" s="7"/>
      <c r="AT171" s="7"/>
      <c r="AU171" s="7"/>
      <c r="AV171" s="7"/>
      <c r="AW171" s="7"/>
    </row>
    <row r="172" spans="1:49" ht="15.75" customHeight="1" thickBo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0"/>
      <c r="AO172" s="7"/>
      <c r="AP172" s="7"/>
      <c r="AQ172" s="7"/>
      <c r="AR172" s="7"/>
      <c r="AS172" s="7"/>
      <c r="AT172" s="7"/>
      <c r="AU172" s="7"/>
      <c r="AV172" s="7"/>
      <c r="AW172" s="7"/>
    </row>
    <row r="173" spans="1:49" ht="15.75" customHeight="1" thickBo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0"/>
      <c r="AO173" s="7"/>
      <c r="AP173" s="7"/>
      <c r="AQ173" s="7"/>
      <c r="AR173" s="7"/>
      <c r="AS173" s="7"/>
      <c r="AT173" s="7"/>
      <c r="AU173" s="7"/>
      <c r="AV173" s="7"/>
      <c r="AW173" s="7"/>
    </row>
    <row r="174" spans="1:49" ht="15.75" customHeight="1" thickBo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0"/>
      <c r="AO174" s="7"/>
      <c r="AP174" s="7"/>
      <c r="AQ174" s="7"/>
      <c r="AR174" s="7"/>
      <c r="AS174" s="7"/>
      <c r="AT174" s="7"/>
      <c r="AU174" s="7"/>
      <c r="AV174" s="7"/>
      <c r="AW174" s="7"/>
    </row>
    <row r="175" spans="1:49" ht="15.75" customHeight="1" thickBo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0"/>
      <c r="AO175" s="7"/>
      <c r="AP175" s="7"/>
      <c r="AQ175" s="7"/>
      <c r="AR175" s="7"/>
      <c r="AS175" s="7"/>
      <c r="AT175" s="7"/>
      <c r="AU175" s="7"/>
      <c r="AV175" s="7"/>
      <c r="AW175" s="7"/>
    </row>
    <row r="176" spans="1:49" ht="15.75" customHeight="1" thickBo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0"/>
      <c r="AO176" s="7"/>
      <c r="AP176" s="7"/>
      <c r="AQ176" s="7"/>
      <c r="AR176" s="7"/>
      <c r="AS176" s="7"/>
      <c r="AT176" s="7"/>
      <c r="AU176" s="7"/>
      <c r="AV176" s="7"/>
      <c r="AW176" s="7"/>
    </row>
    <row r="177" spans="1:49" ht="15.75" customHeight="1" thickBo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0"/>
      <c r="AO177" s="7"/>
      <c r="AP177" s="7"/>
      <c r="AQ177" s="7"/>
      <c r="AR177" s="7"/>
      <c r="AS177" s="7"/>
      <c r="AT177" s="7"/>
      <c r="AU177" s="7"/>
      <c r="AV177" s="7"/>
      <c r="AW177" s="7"/>
    </row>
    <row r="178" spans="1:49" ht="15.75" customHeight="1" thickBo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0"/>
      <c r="AO178" s="7"/>
      <c r="AP178" s="7"/>
      <c r="AQ178" s="7"/>
      <c r="AR178" s="7"/>
      <c r="AS178" s="7"/>
      <c r="AT178" s="7"/>
      <c r="AU178" s="7"/>
      <c r="AV178" s="7"/>
      <c r="AW178" s="7"/>
    </row>
    <row r="179" spans="1:49" ht="15.75" customHeight="1" thickBo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0"/>
      <c r="AO179" s="7"/>
      <c r="AP179" s="7"/>
      <c r="AQ179" s="7"/>
      <c r="AR179" s="7"/>
      <c r="AS179" s="7"/>
      <c r="AT179" s="7"/>
      <c r="AU179" s="7"/>
      <c r="AV179" s="7"/>
      <c r="AW179" s="7"/>
    </row>
    <row r="180" spans="1:49" ht="15.75" customHeight="1" thickBo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0"/>
      <c r="AO180" s="7"/>
      <c r="AP180" s="7"/>
      <c r="AQ180" s="7"/>
      <c r="AR180" s="7"/>
      <c r="AS180" s="7"/>
      <c r="AT180" s="7"/>
      <c r="AU180" s="7"/>
      <c r="AV180" s="7"/>
      <c r="AW180" s="7"/>
    </row>
    <row r="181" spans="1:49" ht="15.75" customHeight="1" thickBo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0"/>
      <c r="AO181" s="7"/>
      <c r="AP181" s="7"/>
      <c r="AQ181" s="7"/>
      <c r="AR181" s="7"/>
      <c r="AS181" s="7"/>
      <c r="AT181" s="7"/>
      <c r="AU181" s="7"/>
      <c r="AV181" s="7"/>
      <c r="AW181" s="7"/>
    </row>
    <row r="182" spans="1:49" ht="15.75" customHeight="1" thickBo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0"/>
      <c r="AO182" s="7"/>
      <c r="AP182" s="7"/>
      <c r="AQ182" s="7"/>
      <c r="AR182" s="7"/>
      <c r="AS182" s="7"/>
      <c r="AT182" s="7"/>
      <c r="AU182" s="7"/>
      <c r="AV182" s="7"/>
      <c r="AW182" s="7"/>
    </row>
    <row r="183" spans="1:49" ht="15.75" customHeight="1" thickBo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0"/>
      <c r="AO183" s="7"/>
      <c r="AP183" s="7"/>
      <c r="AQ183" s="7"/>
      <c r="AR183" s="7"/>
      <c r="AS183" s="7"/>
      <c r="AT183" s="7"/>
      <c r="AU183" s="7"/>
      <c r="AV183" s="7"/>
      <c r="AW183" s="7"/>
    </row>
    <row r="184" spans="1:49" ht="15.75" customHeight="1" thickBo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0"/>
      <c r="AO184" s="7"/>
      <c r="AP184" s="7"/>
      <c r="AQ184" s="7"/>
      <c r="AR184" s="7"/>
      <c r="AS184" s="7"/>
      <c r="AT184" s="7"/>
      <c r="AU184" s="7"/>
      <c r="AV184" s="7"/>
      <c r="AW184" s="7"/>
    </row>
    <row r="185" spans="1:49" ht="15.75" customHeight="1" thickBo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0"/>
      <c r="AO185" s="7"/>
      <c r="AP185" s="7"/>
      <c r="AQ185" s="7"/>
      <c r="AR185" s="7"/>
      <c r="AS185" s="7"/>
      <c r="AT185" s="7"/>
      <c r="AU185" s="7"/>
      <c r="AV185" s="7"/>
      <c r="AW185" s="7"/>
    </row>
    <row r="186" spans="1:49" ht="15.75" customHeight="1" thickBo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0"/>
      <c r="AO186" s="7"/>
      <c r="AP186" s="7"/>
      <c r="AQ186" s="7"/>
      <c r="AR186" s="7"/>
      <c r="AS186" s="7"/>
      <c r="AT186" s="7"/>
      <c r="AU186" s="7"/>
      <c r="AV186" s="7"/>
      <c r="AW186" s="7"/>
    </row>
    <row r="187" spans="1:49" ht="15.75" customHeight="1" thickBo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0"/>
      <c r="AO187" s="7"/>
      <c r="AP187" s="7"/>
      <c r="AQ187" s="7"/>
      <c r="AR187" s="7"/>
      <c r="AS187" s="7"/>
      <c r="AT187" s="7"/>
      <c r="AU187" s="7"/>
      <c r="AV187" s="7"/>
      <c r="AW187" s="7"/>
    </row>
    <row r="188" spans="1:49" ht="15.75" customHeight="1" thickBo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0"/>
      <c r="AO188" s="7"/>
      <c r="AP188" s="7"/>
      <c r="AQ188" s="7"/>
      <c r="AR188" s="7"/>
      <c r="AS188" s="7"/>
      <c r="AT188" s="7"/>
      <c r="AU188" s="7"/>
      <c r="AV188" s="7"/>
      <c r="AW188" s="7"/>
    </row>
    <row r="189" spans="1:49" ht="15.75" customHeight="1" thickBo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0"/>
      <c r="AO189" s="7"/>
      <c r="AP189" s="7"/>
      <c r="AQ189" s="7"/>
      <c r="AR189" s="7"/>
      <c r="AS189" s="7"/>
      <c r="AT189" s="7"/>
      <c r="AU189" s="7"/>
      <c r="AV189" s="7"/>
      <c r="AW189" s="7"/>
    </row>
    <row r="190" spans="1:49" ht="15.75" customHeight="1" thickBo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0"/>
      <c r="AO190" s="7"/>
      <c r="AP190" s="7"/>
      <c r="AQ190" s="7"/>
      <c r="AR190" s="7"/>
      <c r="AS190" s="7"/>
      <c r="AT190" s="7"/>
      <c r="AU190" s="7"/>
      <c r="AV190" s="7"/>
      <c r="AW190" s="7"/>
    </row>
    <row r="191" spans="1:49" ht="15.75" customHeight="1" thickBo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0"/>
      <c r="AO191" s="7"/>
      <c r="AP191" s="7"/>
      <c r="AQ191" s="7"/>
      <c r="AR191" s="7"/>
      <c r="AS191" s="7"/>
      <c r="AT191" s="7"/>
      <c r="AU191" s="7"/>
      <c r="AV191" s="7"/>
      <c r="AW191" s="7"/>
    </row>
    <row r="192" spans="1:49" ht="15.75" customHeight="1" thickBo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0"/>
      <c r="AO192" s="7"/>
      <c r="AP192" s="7"/>
      <c r="AQ192" s="7"/>
      <c r="AR192" s="7"/>
      <c r="AS192" s="7"/>
      <c r="AT192" s="7"/>
      <c r="AU192" s="7"/>
      <c r="AV192" s="7"/>
      <c r="AW192" s="7"/>
    </row>
    <row r="193" spans="1:49" ht="15.75" customHeight="1" thickBo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0"/>
      <c r="AO193" s="7"/>
      <c r="AP193" s="7"/>
      <c r="AQ193" s="7"/>
      <c r="AR193" s="7"/>
      <c r="AS193" s="7"/>
      <c r="AT193" s="7"/>
      <c r="AU193" s="7"/>
      <c r="AV193" s="7"/>
      <c r="AW193" s="7"/>
    </row>
    <row r="194" spans="1:49" ht="15.75" customHeight="1" thickBo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0"/>
      <c r="AO194" s="7"/>
      <c r="AP194" s="7"/>
      <c r="AQ194" s="7"/>
      <c r="AR194" s="7"/>
      <c r="AS194" s="7"/>
      <c r="AT194" s="7"/>
      <c r="AU194" s="7"/>
      <c r="AV194" s="7"/>
      <c r="AW194" s="7"/>
    </row>
    <row r="195" spans="1:49" ht="15.75" customHeight="1" thickBo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0"/>
      <c r="AO195" s="7"/>
      <c r="AP195" s="7"/>
      <c r="AQ195" s="7"/>
      <c r="AR195" s="7"/>
      <c r="AS195" s="7"/>
      <c r="AT195" s="7"/>
      <c r="AU195" s="7"/>
      <c r="AV195" s="7"/>
      <c r="AW195" s="7"/>
    </row>
    <row r="196" spans="1:49" ht="15.75" customHeight="1" thickBo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0"/>
      <c r="AO196" s="7"/>
      <c r="AP196" s="7"/>
      <c r="AQ196" s="7"/>
      <c r="AR196" s="7"/>
      <c r="AS196" s="7"/>
      <c r="AT196" s="7"/>
      <c r="AU196" s="7"/>
      <c r="AV196" s="7"/>
      <c r="AW196" s="7"/>
    </row>
    <row r="197" spans="1:49" ht="15.75" customHeight="1" thickBo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0"/>
      <c r="AO197" s="7"/>
      <c r="AP197" s="7"/>
      <c r="AQ197" s="7"/>
      <c r="AR197" s="7"/>
      <c r="AS197" s="7"/>
      <c r="AT197" s="7"/>
      <c r="AU197" s="7"/>
      <c r="AV197" s="7"/>
      <c r="AW197" s="7"/>
    </row>
    <row r="198" spans="1:49" ht="15.75" customHeight="1" thickBo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0"/>
      <c r="AO198" s="7"/>
      <c r="AP198" s="7"/>
      <c r="AQ198" s="7"/>
      <c r="AR198" s="7"/>
      <c r="AS198" s="7"/>
      <c r="AT198" s="7"/>
      <c r="AU198" s="7"/>
      <c r="AV198" s="7"/>
      <c r="AW198" s="7"/>
    </row>
    <row r="199" spans="1:49" ht="15.75" customHeight="1" thickBo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0"/>
      <c r="AO199" s="7"/>
      <c r="AP199" s="7"/>
      <c r="AQ199" s="7"/>
      <c r="AR199" s="7"/>
      <c r="AS199" s="7"/>
      <c r="AT199" s="7"/>
      <c r="AU199" s="7"/>
      <c r="AV199" s="7"/>
      <c r="AW199" s="7"/>
    </row>
    <row r="200" spans="1:49" ht="15.75" customHeight="1" thickBo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0"/>
      <c r="AO200" s="7"/>
      <c r="AP200" s="7"/>
      <c r="AQ200" s="7"/>
      <c r="AR200" s="7"/>
      <c r="AS200" s="7"/>
      <c r="AT200" s="7"/>
      <c r="AU200" s="7"/>
      <c r="AV200" s="7"/>
      <c r="AW200" s="7"/>
    </row>
    <row r="201" spans="1:49" ht="15.75" customHeight="1" thickBo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0"/>
      <c r="AO201" s="7"/>
      <c r="AP201" s="7"/>
      <c r="AQ201" s="7"/>
      <c r="AR201" s="7"/>
      <c r="AS201" s="7"/>
      <c r="AT201" s="7"/>
      <c r="AU201" s="7"/>
      <c r="AV201" s="7"/>
      <c r="AW201" s="7"/>
    </row>
    <row r="202" spans="1:49" ht="15.75" customHeight="1" thickBo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0"/>
      <c r="AO202" s="7"/>
      <c r="AP202" s="7"/>
      <c r="AQ202" s="7"/>
      <c r="AR202" s="7"/>
      <c r="AS202" s="7"/>
      <c r="AT202" s="7"/>
      <c r="AU202" s="7"/>
      <c r="AV202" s="7"/>
      <c r="AW202" s="7"/>
    </row>
    <row r="203" spans="1:49" ht="15.75" customHeight="1" thickBo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0"/>
      <c r="AO203" s="7"/>
      <c r="AP203" s="7"/>
      <c r="AQ203" s="7"/>
      <c r="AR203" s="7"/>
      <c r="AS203" s="7"/>
      <c r="AT203" s="7"/>
      <c r="AU203" s="7"/>
      <c r="AV203" s="7"/>
      <c r="AW203" s="7"/>
    </row>
    <row r="204" spans="1:49" ht="15.75" customHeight="1" thickBo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0"/>
      <c r="AO204" s="7"/>
      <c r="AP204" s="7"/>
      <c r="AQ204" s="7"/>
      <c r="AR204" s="7"/>
      <c r="AS204" s="7"/>
      <c r="AT204" s="7"/>
      <c r="AU204" s="7"/>
      <c r="AV204" s="7"/>
      <c r="AW204" s="7"/>
    </row>
    <row r="205" spans="1:49" ht="15.75" customHeight="1" thickBo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0"/>
      <c r="AO205" s="7"/>
      <c r="AP205" s="7"/>
      <c r="AQ205" s="7"/>
      <c r="AR205" s="7"/>
      <c r="AS205" s="7"/>
      <c r="AT205" s="7"/>
      <c r="AU205" s="7"/>
      <c r="AV205" s="7"/>
      <c r="AW205" s="7"/>
    </row>
    <row r="206" spans="1:49" ht="15.75" customHeight="1" thickBo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0"/>
      <c r="AO206" s="7"/>
      <c r="AP206" s="7"/>
      <c r="AQ206" s="7"/>
      <c r="AR206" s="7"/>
      <c r="AS206" s="7"/>
      <c r="AT206" s="7"/>
      <c r="AU206" s="7"/>
      <c r="AV206" s="7"/>
      <c r="AW206" s="7"/>
    </row>
    <row r="207" spans="1:49" ht="15.75" customHeight="1" thickBo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0"/>
      <c r="AO207" s="7"/>
      <c r="AP207" s="7"/>
      <c r="AQ207" s="7"/>
      <c r="AR207" s="7"/>
      <c r="AS207" s="7"/>
      <c r="AT207" s="7"/>
      <c r="AU207" s="7"/>
      <c r="AV207" s="7"/>
      <c r="AW207" s="7"/>
    </row>
    <row r="208" spans="1:49" ht="15.75" customHeight="1" thickBo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0"/>
      <c r="AO208" s="7"/>
      <c r="AP208" s="7"/>
      <c r="AQ208" s="7"/>
      <c r="AR208" s="7"/>
      <c r="AS208" s="7"/>
      <c r="AT208" s="7"/>
      <c r="AU208" s="7"/>
      <c r="AV208" s="7"/>
      <c r="AW208" s="7"/>
    </row>
    <row r="209" spans="1:49" ht="15.75" customHeight="1" thickBo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0"/>
      <c r="AO209" s="7"/>
      <c r="AP209" s="7"/>
      <c r="AQ209" s="7"/>
      <c r="AR209" s="7"/>
      <c r="AS209" s="7"/>
      <c r="AT209" s="7"/>
      <c r="AU209" s="7"/>
      <c r="AV209" s="7"/>
      <c r="AW209" s="7"/>
    </row>
    <row r="210" spans="1:49" ht="15.75" customHeight="1" thickBo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0"/>
      <c r="AO210" s="7"/>
      <c r="AP210" s="7"/>
      <c r="AQ210" s="7"/>
      <c r="AR210" s="7"/>
      <c r="AS210" s="7"/>
      <c r="AT210" s="7"/>
      <c r="AU210" s="7"/>
      <c r="AV210" s="7"/>
      <c r="AW210" s="7"/>
    </row>
    <row r="211" spans="1:49" ht="15.75" customHeight="1" thickBo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0"/>
      <c r="AO211" s="7"/>
      <c r="AP211" s="7"/>
      <c r="AQ211" s="7"/>
      <c r="AR211" s="7"/>
      <c r="AS211" s="7"/>
      <c r="AT211" s="7"/>
      <c r="AU211" s="7"/>
      <c r="AV211" s="7"/>
      <c r="AW211" s="7"/>
    </row>
    <row r="212" spans="1:49" ht="15.75" customHeight="1" thickBo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0"/>
      <c r="AO212" s="7"/>
      <c r="AP212" s="7"/>
      <c r="AQ212" s="7"/>
      <c r="AR212" s="7"/>
      <c r="AS212" s="7"/>
      <c r="AT212" s="7"/>
      <c r="AU212" s="7"/>
      <c r="AV212" s="7"/>
      <c r="AW212" s="7"/>
    </row>
    <row r="213" spans="1:49" ht="15.75" customHeight="1" thickBo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0"/>
      <c r="AO213" s="7"/>
      <c r="AP213" s="7"/>
      <c r="AQ213" s="7"/>
      <c r="AR213" s="7"/>
      <c r="AS213" s="7"/>
      <c r="AT213" s="7"/>
      <c r="AU213" s="7"/>
      <c r="AV213" s="7"/>
      <c r="AW213" s="7"/>
    </row>
    <row r="214" spans="1:49" ht="15.75" customHeight="1" thickBo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0"/>
      <c r="AO214" s="7"/>
      <c r="AP214" s="7"/>
      <c r="AQ214" s="7"/>
      <c r="AR214" s="7"/>
      <c r="AS214" s="7"/>
      <c r="AT214" s="7"/>
      <c r="AU214" s="7"/>
      <c r="AV214" s="7"/>
      <c r="AW214" s="7"/>
    </row>
    <row r="215" spans="1:49" ht="15.75" customHeight="1" thickBo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0"/>
      <c r="AO215" s="7"/>
      <c r="AP215" s="7"/>
      <c r="AQ215" s="7"/>
      <c r="AR215" s="7"/>
      <c r="AS215" s="7"/>
      <c r="AT215" s="7"/>
      <c r="AU215" s="7"/>
      <c r="AV215" s="7"/>
      <c r="AW215" s="7"/>
    </row>
    <row r="216" spans="1:49" ht="15.75" customHeight="1" thickBo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0"/>
      <c r="AO216" s="7"/>
      <c r="AP216" s="7"/>
      <c r="AQ216" s="7"/>
      <c r="AR216" s="7"/>
      <c r="AS216" s="7"/>
      <c r="AT216" s="7"/>
      <c r="AU216" s="7"/>
      <c r="AV216" s="7"/>
      <c r="AW216" s="7"/>
    </row>
    <row r="217" spans="1:49" ht="15.75" customHeight="1" thickBo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0"/>
      <c r="AO217" s="7"/>
      <c r="AP217" s="7"/>
      <c r="AQ217" s="7"/>
      <c r="AR217" s="7"/>
      <c r="AS217" s="7"/>
      <c r="AT217" s="7"/>
      <c r="AU217" s="7"/>
      <c r="AV217" s="7"/>
      <c r="AW217" s="7"/>
    </row>
    <row r="218" spans="1:49" ht="15.75" customHeight="1" thickBo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0"/>
      <c r="AO218" s="7"/>
      <c r="AP218" s="7"/>
      <c r="AQ218" s="7"/>
      <c r="AR218" s="7"/>
      <c r="AS218" s="7"/>
      <c r="AT218" s="7"/>
      <c r="AU218" s="7"/>
      <c r="AV218" s="7"/>
      <c r="AW218" s="7"/>
    </row>
    <row r="219" spans="1:49" ht="15.75" customHeight="1" thickBo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0"/>
      <c r="AO219" s="7"/>
      <c r="AP219" s="7"/>
      <c r="AQ219" s="7"/>
      <c r="AR219" s="7"/>
      <c r="AS219" s="7"/>
      <c r="AT219" s="7"/>
      <c r="AU219" s="7"/>
      <c r="AV219" s="7"/>
      <c r="AW219" s="7"/>
    </row>
    <row r="220" spans="1:49" ht="15.75" customHeight="1" thickBo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0"/>
      <c r="AO220" s="7"/>
      <c r="AP220" s="7"/>
      <c r="AQ220" s="7"/>
      <c r="AR220" s="7"/>
      <c r="AS220" s="7"/>
      <c r="AT220" s="7"/>
      <c r="AU220" s="7"/>
      <c r="AV220" s="7"/>
      <c r="AW220" s="7"/>
    </row>
    <row r="221" spans="1:49" ht="15.75" customHeight="1" thickBo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0"/>
      <c r="AO221" s="7"/>
      <c r="AP221" s="7"/>
      <c r="AQ221" s="7"/>
      <c r="AR221" s="7"/>
      <c r="AS221" s="7"/>
      <c r="AT221" s="7"/>
      <c r="AU221" s="7"/>
      <c r="AV221" s="7"/>
      <c r="AW221" s="7"/>
    </row>
    <row r="222" spans="1:49" ht="15.75" customHeight="1" thickBo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0"/>
      <c r="AO222" s="7"/>
      <c r="AP222" s="7"/>
      <c r="AQ222" s="7"/>
      <c r="AR222" s="7"/>
      <c r="AS222" s="7"/>
      <c r="AT222" s="7"/>
      <c r="AU222" s="7"/>
      <c r="AV222" s="7"/>
      <c r="AW222" s="7"/>
    </row>
    <row r="223" spans="1:49" ht="15.75" customHeight="1" thickBo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0"/>
      <c r="AO223" s="7"/>
      <c r="AP223" s="7"/>
      <c r="AQ223" s="7"/>
      <c r="AR223" s="7"/>
      <c r="AS223" s="7"/>
      <c r="AT223" s="7"/>
      <c r="AU223" s="7"/>
      <c r="AV223" s="7"/>
      <c r="AW223" s="7"/>
    </row>
    <row r="224" spans="1:49" ht="15.75" customHeight="1" thickBo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0"/>
      <c r="AO224" s="7"/>
      <c r="AP224" s="7"/>
      <c r="AQ224" s="7"/>
      <c r="AR224" s="7"/>
      <c r="AS224" s="7"/>
      <c r="AT224" s="7"/>
      <c r="AU224" s="7"/>
      <c r="AV224" s="7"/>
      <c r="AW224" s="7"/>
    </row>
    <row r="225" spans="1:49" ht="15.75" customHeight="1" thickBo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0"/>
      <c r="AO225" s="7"/>
      <c r="AP225" s="7"/>
      <c r="AQ225" s="7"/>
      <c r="AR225" s="7"/>
      <c r="AS225" s="7"/>
      <c r="AT225" s="7"/>
      <c r="AU225" s="7"/>
      <c r="AV225" s="7"/>
      <c r="AW225" s="7"/>
    </row>
    <row r="226" spans="1:49" ht="15.75" customHeight="1" thickBo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0"/>
      <c r="AO226" s="7"/>
      <c r="AP226" s="7"/>
      <c r="AQ226" s="7"/>
      <c r="AR226" s="7"/>
      <c r="AS226" s="7"/>
      <c r="AT226" s="7"/>
      <c r="AU226" s="7"/>
      <c r="AV226" s="7"/>
      <c r="AW226" s="7"/>
    </row>
    <row r="227" spans="1:49" ht="15.75" customHeight="1" thickBo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0"/>
      <c r="AO227" s="7"/>
      <c r="AP227" s="7"/>
      <c r="AQ227" s="7"/>
      <c r="AR227" s="7"/>
      <c r="AS227" s="7"/>
      <c r="AT227" s="7"/>
      <c r="AU227" s="7"/>
      <c r="AV227" s="7"/>
      <c r="AW227" s="7"/>
    </row>
    <row r="228" spans="1:49" ht="15.75" customHeight="1" thickBo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0"/>
      <c r="AO228" s="7"/>
      <c r="AP228" s="7"/>
      <c r="AQ228" s="7"/>
      <c r="AR228" s="7"/>
      <c r="AS228" s="7"/>
      <c r="AT228" s="7"/>
      <c r="AU228" s="7"/>
      <c r="AV228" s="7"/>
      <c r="AW228" s="7"/>
    </row>
    <row r="229" spans="1:49" ht="15.75" customHeight="1" thickBo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0"/>
      <c r="AO229" s="7"/>
      <c r="AP229" s="7"/>
      <c r="AQ229" s="7"/>
      <c r="AR229" s="7"/>
      <c r="AS229" s="7"/>
      <c r="AT229" s="7"/>
      <c r="AU229" s="7"/>
      <c r="AV229" s="7"/>
      <c r="AW229" s="7"/>
    </row>
    <row r="230" spans="1:49" ht="15.75" customHeight="1" thickBo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0"/>
      <c r="AO230" s="7"/>
      <c r="AP230" s="7"/>
      <c r="AQ230" s="7"/>
      <c r="AR230" s="7"/>
      <c r="AS230" s="7"/>
      <c r="AT230" s="7"/>
      <c r="AU230" s="7"/>
      <c r="AV230" s="7"/>
      <c r="AW230" s="7"/>
    </row>
    <row r="231" spans="1:49" ht="15.75" customHeight="1" thickBo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0"/>
      <c r="AO231" s="7"/>
      <c r="AP231" s="7"/>
      <c r="AQ231" s="7"/>
      <c r="AR231" s="7"/>
      <c r="AS231" s="7"/>
      <c r="AT231" s="7"/>
      <c r="AU231" s="7"/>
      <c r="AV231" s="7"/>
      <c r="AW231" s="7"/>
    </row>
    <row r="232" spans="1:49" ht="15.75" customHeight="1" thickBo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0"/>
      <c r="AO232" s="7"/>
      <c r="AP232" s="7"/>
      <c r="AQ232" s="7"/>
      <c r="AR232" s="7"/>
      <c r="AS232" s="7"/>
      <c r="AT232" s="7"/>
      <c r="AU232" s="7"/>
      <c r="AV232" s="7"/>
      <c r="AW232" s="7"/>
    </row>
    <row r="233" spans="1:49" ht="15.75" customHeight="1" thickBo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0"/>
      <c r="AO233" s="7"/>
      <c r="AP233" s="7"/>
      <c r="AQ233" s="7"/>
      <c r="AR233" s="7"/>
      <c r="AS233" s="7"/>
      <c r="AT233" s="7"/>
      <c r="AU233" s="7"/>
      <c r="AV233" s="7"/>
      <c r="AW233" s="7"/>
    </row>
    <row r="234" spans="1:49" ht="15.75" customHeight="1" thickBo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0"/>
      <c r="AO234" s="7"/>
      <c r="AP234" s="7"/>
      <c r="AQ234" s="7"/>
      <c r="AR234" s="7"/>
      <c r="AS234" s="7"/>
      <c r="AT234" s="7"/>
      <c r="AU234" s="7"/>
      <c r="AV234" s="7"/>
      <c r="AW234" s="7"/>
    </row>
    <row r="235" spans="1:49" ht="15.75" customHeight="1" thickBo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0"/>
      <c r="AO235" s="7"/>
      <c r="AP235" s="7"/>
      <c r="AQ235" s="7"/>
      <c r="AR235" s="7"/>
      <c r="AS235" s="7"/>
      <c r="AT235" s="7"/>
      <c r="AU235" s="7"/>
      <c r="AV235" s="7"/>
      <c r="AW235" s="7"/>
    </row>
    <row r="236" spans="1:49" ht="15.75" customHeight="1" thickBo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0"/>
      <c r="AO236" s="7"/>
      <c r="AP236" s="7"/>
      <c r="AQ236" s="7"/>
      <c r="AR236" s="7"/>
      <c r="AS236" s="7"/>
      <c r="AT236" s="7"/>
      <c r="AU236" s="7"/>
      <c r="AV236" s="7"/>
      <c r="AW236" s="7"/>
    </row>
    <row r="237" spans="1:49" ht="15.75" customHeight="1" thickBo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0"/>
      <c r="AO237" s="7"/>
      <c r="AP237" s="7"/>
      <c r="AQ237" s="7"/>
      <c r="AR237" s="7"/>
      <c r="AS237" s="7"/>
      <c r="AT237" s="7"/>
      <c r="AU237" s="7"/>
      <c r="AV237" s="7"/>
      <c r="AW237" s="7"/>
    </row>
    <row r="238" spans="1:49" ht="15.75" customHeight="1" thickBo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0"/>
      <c r="AO238" s="7"/>
      <c r="AP238" s="7"/>
      <c r="AQ238" s="7"/>
      <c r="AR238" s="7"/>
      <c r="AS238" s="7"/>
      <c r="AT238" s="7"/>
      <c r="AU238" s="7"/>
      <c r="AV238" s="7"/>
      <c r="AW238" s="7"/>
    </row>
    <row r="239" spans="1:49" ht="15.75" customHeight="1" thickBo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0"/>
      <c r="AO239" s="7"/>
      <c r="AP239" s="7"/>
      <c r="AQ239" s="7"/>
      <c r="AR239" s="7"/>
      <c r="AS239" s="7"/>
      <c r="AT239" s="7"/>
      <c r="AU239" s="7"/>
      <c r="AV239" s="7"/>
      <c r="AW239" s="7"/>
    </row>
    <row r="240" spans="1:49" ht="15.75" customHeight="1" thickBo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0"/>
      <c r="AO240" s="7"/>
      <c r="AP240" s="7"/>
      <c r="AQ240" s="7"/>
      <c r="AR240" s="7"/>
      <c r="AS240" s="7"/>
      <c r="AT240" s="7"/>
      <c r="AU240" s="7"/>
      <c r="AV240" s="7"/>
      <c r="AW240" s="7"/>
    </row>
    <row r="241" spans="1:49" ht="15.75" customHeight="1" thickBo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0"/>
      <c r="AO241" s="7"/>
      <c r="AP241" s="7"/>
      <c r="AQ241" s="7"/>
      <c r="AR241" s="7"/>
      <c r="AS241" s="7"/>
      <c r="AT241" s="7"/>
      <c r="AU241" s="7"/>
      <c r="AV241" s="7"/>
      <c r="AW241" s="7"/>
    </row>
    <row r="242" spans="1:49" ht="15.75" customHeight="1" thickBo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0"/>
      <c r="AO242" s="7"/>
      <c r="AP242" s="7"/>
      <c r="AQ242" s="7"/>
      <c r="AR242" s="7"/>
      <c r="AS242" s="7"/>
      <c r="AT242" s="7"/>
      <c r="AU242" s="7"/>
      <c r="AV242" s="7"/>
      <c r="AW242" s="7"/>
    </row>
    <row r="243" spans="1:49" ht="15.75" customHeight="1" thickBo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0"/>
      <c r="AO243" s="7"/>
      <c r="AP243" s="7"/>
      <c r="AQ243" s="7"/>
      <c r="AR243" s="7"/>
      <c r="AS243" s="7"/>
      <c r="AT243" s="7"/>
      <c r="AU243" s="7"/>
      <c r="AV243" s="7"/>
      <c r="AW243" s="7"/>
    </row>
    <row r="244" spans="1:49" ht="15.75" customHeight="1" thickBo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0"/>
      <c r="AO244" s="7"/>
      <c r="AP244" s="7"/>
      <c r="AQ244" s="7"/>
      <c r="AR244" s="7"/>
      <c r="AS244" s="7"/>
      <c r="AT244" s="7"/>
      <c r="AU244" s="7"/>
      <c r="AV244" s="7"/>
      <c r="AW244" s="7"/>
    </row>
    <row r="245" spans="1:49" ht="15.75" customHeight="1" thickBo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0"/>
      <c r="AO245" s="7"/>
      <c r="AP245" s="7"/>
      <c r="AQ245" s="7"/>
      <c r="AR245" s="7"/>
      <c r="AS245" s="7"/>
      <c r="AT245" s="7"/>
      <c r="AU245" s="7"/>
      <c r="AV245" s="7"/>
      <c r="AW245" s="7"/>
    </row>
    <row r="246" spans="1:49" ht="15.75" customHeight="1" thickBo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0"/>
      <c r="AO246" s="7"/>
      <c r="AP246" s="7"/>
      <c r="AQ246" s="7"/>
      <c r="AR246" s="7"/>
      <c r="AS246" s="7"/>
      <c r="AT246" s="7"/>
      <c r="AU246" s="7"/>
      <c r="AV246" s="7"/>
      <c r="AW246" s="7"/>
    </row>
    <row r="247" spans="1:49" ht="15.75" customHeight="1" thickBo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0"/>
      <c r="AO247" s="7"/>
      <c r="AP247" s="7"/>
      <c r="AQ247" s="7"/>
      <c r="AR247" s="7"/>
      <c r="AS247" s="7"/>
      <c r="AT247" s="7"/>
      <c r="AU247" s="7"/>
      <c r="AV247" s="7"/>
      <c r="AW247" s="7"/>
    </row>
    <row r="248" spans="1:49" ht="15.75" customHeight="1" thickBo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0"/>
      <c r="AO248" s="7"/>
      <c r="AP248" s="7"/>
      <c r="AQ248" s="7"/>
      <c r="AR248" s="7"/>
      <c r="AS248" s="7"/>
      <c r="AT248" s="7"/>
      <c r="AU248" s="7"/>
      <c r="AV248" s="7"/>
      <c r="AW248" s="7"/>
    </row>
    <row r="249" spans="1:49" ht="15.75" customHeight="1" thickBo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0"/>
      <c r="AO249" s="7"/>
      <c r="AP249" s="7"/>
      <c r="AQ249" s="7"/>
      <c r="AR249" s="7"/>
      <c r="AS249" s="7"/>
      <c r="AT249" s="7"/>
      <c r="AU249" s="7"/>
      <c r="AV249" s="7"/>
      <c r="AW249" s="7"/>
    </row>
    <row r="250" spans="1:49" ht="15.75" customHeight="1" thickBo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0"/>
      <c r="AO250" s="7"/>
      <c r="AP250" s="7"/>
      <c r="AQ250" s="7"/>
      <c r="AR250" s="7"/>
      <c r="AS250" s="7"/>
      <c r="AT250" s="7"/>
      <c r="AU250" s="7"/>
      <c r="AV250" s="7"/>
      <c r="AW250" s="7"/>
    </row>
    <row r="251" spans="1:49" ht="15.75" customHeight="1" thickBo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0"/>
      <c r="AO251" s="7"/>
      <c r="AP251" s="7"/>
      <c r="AQ251" s="7"/>
      <c r="AR251" s="7"/>
      <c r="AS251" s="7"/>
      <c r="AT251" s="7"/>
      <c r="AU251" s="7"/>
      <c r="AV251" s="7"/>
      <c r="AW251" s="7"/>
    </row>
    <row r="252" spans="1:49" ht="15.75" customHeight="1" thickBo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0"/>
      <c r="AO252" s="7"/>
      <c r="AP252" s="7"/>
      <c r="AQ252" s="7"/>
      <c r="AR252" s="7"/>
      <c r="AS252" s="7"/>
      <c r="AT252" s="7"/>
      <c r="AU252" s="7"/>
      <c r="AV252" s="7"/>
      <c r="AW252" s="7"/>
    </row>
    <row r="253" spans="1:49" ht="15.75" customHeight="1" thickBo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0"/>
      <c r="AO253" s="7"/>
      <c r="AP253" s="7"/>
      <c r="AQ253" s="7"/>
      <c r="AR253" s="7"/>
      <c r="AS253" s="7"/>
      <c r="AT253" s="7"/>
      <c r="AU253" s="7"/>
      <c r="AV253" s="7"/>
      <c r="AW253" s="7"/>
    </row>
    <row r="254" spans="1:49" ht="15.75" customHeight="1" thickBo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0"/>
      <c r="AO254" s="7"/>
      <c r="AP254" s="7"/>
      <c r="AQ254" s="7"/>
      <c r="AR254" s="7"/>
      <c r="AS254" s="7"/>
      <c r="AT254" s="7"/>
      <c r="AU254" s="7"/>
      <c r="AV254" s="7"/>
      <c r="AW254" s="7"/>
    </row>
    <row r="255" spans="1:49" ht="15.75" customHeight="1" thickBo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0"/>
      <c r="AO255" s="7"/>
      <c r="AP255" s="7"/>
      <c r="AQ255" s="7"/>
      <c r="AR255" s="7"/>
      <c r="AS255" s="7"/>
      <c r="AT255" s="7"/>
      <c r="AU255" s="7"/>
      <c r="AV255" s="7"/>
      <c r="AW255" s="7"/>
    </row>
    <row r="256" spans="1:49" ht="15.75" customHeight="1" thickBo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0"/>
      <c r="AO256" s="7"/>
      <c r="AP256" s="7"/>
      <c r="AQ256" s="7"/>
      <c r="AR256" s="7"/>
      <c r="AS256" s="7"/>
      <c r="AT256" s="7"/>
      <c r="AU256" s="7"/>
      <c r="AV256" s="7"/>
      <c r="AW256" s="7"/>
    </row>
    <row r="257" spans="1:49" ht="15.75" customHeight="1" thickBo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0"/>
      <c r="AO257" s="7"/>
      <c r="AP257" s="7"/>
      <c r="AQ257" s="7"/>
      <c r="AR257" s="7"/>
      <c r="AS257" s="7"/>
      <c r="AT257" s="7"/>
      <c r="AU257" s="7"/>
      <c r="AV257" s="7"/>
      <c r="AW257" s="7"/>
    </row>
    <row r="258" spans="1:49" ht="15.75" customHeight="1" thickBo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0"/>
      <c r="AO258" s="7"/>
      <c r="AP258" s="7"/>
      <c r="AQ258" s="7"/>
      <c r="AR258" s="7"/>
      <c r="AS258" s="7"/>
      <c r="AT258" s="7"/>
      <c r="AU258" s="7"/>
      <c r="AV258" s="7"/>
      <c r="AW258" s="7"/>
    </row>
    <row r="259" spans="1:49" ht="15.75" customHeight="1" thickBo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0"/>
      <c r="AO259" s="7"/>
      <c r="AP259" s="7"/>
      <c r="AQ259" s="7"/>
      <c r="AR259" s="7"/>
      <c r="AS259" s="7"/>
      <c r="AT259" s="7"/>
      <c r="AU259" s="7"/>
      <c r="AV259" s="7"/>
      <c r="AW259" s="7"/>
    </row>
    <row r="260" spans="1:49" ht="15.75" customHeight="1" thickBo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0"/>
      <c r="AO260" s="7"/>
      <c r="AP260" s="7"/>
      <c r="AQ260" s="7"/>
      <c r="AR260" s="7"/>
      <c r="AS260" s="7"/>
      <c r="AT260" s="7"/>
      <c r="AU260" s="7"/>
      <c r="AV260" s="7"/>
      <c r="AW260" s="7"/>
    </row>
    <row r="261" spans="1:49" ht="15.75" customHeight="1" thickBo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0"/>
      <c r="AO261" s="7"/>
      <c r="AP261" s="7"/>
      <c r="AQ261" s="7"/>
      <c r="AR261" s="7"/>
      <c r="AS261" s="7"/>
      <c r="AT261" s="7"/>
      <c r="AU261" s="7"/>
      <c r="AV261" s="7"/>
      <c r="AW261" s="7"/>
    </row>
    <row r="262" spans="1:49" ht="15.75" customHeight="1" thickBo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0"/>
      <c r="AO262" s="7"/>
      <c r="AP262" s="7"/>
      <c r="AQ262" s="7"/>
      <c r="AR262" s="7"/>
      <c r="AS262" s="7"/>
      <c r="AT262" s="7"/>
      <c r="AU262" s="7"/>
      <c r="AV262" s="7"/>
      <c r="AW262" s="7"/>
    </row>
    <row r="263" spans="1:49" ht="15.75" customHeight="1" thickBo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0"/>
      <c r="AO263" s="7"/>
      <c r="AP263" s="7"/>
      <c r="AQ263" s="7"/>
      <c r="AR263" s="7"/>
      <c r="AS263" s="7"/>
      <c r="AT263" s="7"/>
      <c r="AU263" s="7"/>
      <c r="AV263" s="7"/>
      <c r="AW263" s="7"/>
    </row>
    <row r="264" spans="1:49" ht="15.75" customHeight="1" thickBo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0"/>
      <c r="AO264" s="7"/>
      <c r="AP264" s="7"/>
      <c r="AQ264" s="7"/>
      <c r="AR264" s="7"/>
      <c r="AS264" s="7"/>
      <c r="AT264" s="7"/>
      <c r="AU264" s="7"/>
      <c r="AV264" s="7"/>
      <c r="AW264" s="7"/>
    </row>
    <row r="265" spans="1:49" ht="15.75" customHeight="1" thickBo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0"/>
      <c r="AO265" s="7"/>
      <c r="AP265" s="7"/>
      <c r="AQ265" s="7"/>
      <c r="AR265" s="7"/>
      <c r="AS265" s="7"/>
      <c r="AT265" s="7"/>
      <c r="AU265" s="7"/>
      <c r="AV265" s="7"/>
      <c r="AW265" s="7"/>
    </row>
    <row r="266" spans="1:49" ht="15.75" customHeight="1" thickBo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0"/>
      <c r="AO266" s="7"/>
      <c r="AP266" s="7"/>
      <c r="AQ266" s="7"/>
      <c r="AR266" s="7"/>
      <c r="AS266" s="7"/>
      <c r="AT266" s="7"/>
      <c r="AU266" s="7"/>
      <c r="AV266" s="7"/>
      <c r="AW266" s="7"/>
    </row>
    <row r="267" spans="1:49" ht="15.75" customHeight="1" thickBo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0"/>
      <c r="AO267" s="7"/>
      <c r="AP267" s="7"/>
      <c r="AQ267" s="7"/>
      <c r="AR267" s="7"/>
      <c r="AS267" s="7"/>
      <c r="AT267" s="7"/>
      <c r="AU267" s="7"/>
      <c r="AV267" s="7"/>
      <c r="AW267" s="7"/>
    </row>
    <row r="268" spans="1:49" ht="15.75" customHeight="1" thickBo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0"/>
      <c r="AO268" s="7"/>
      <c r="AP268" s="7"/>
      <c r="AQ268" s="7"/>
      <c r="AR268" s="7"/>
      <c r="AS268" s="7"/>
      <c r="AT268" s="7"/>
      <c r="AU268" s="7"/>
      <c r="AV268" s="7"/>
      <c r="AW268" s="7"/>
    </row>
    <row r="269" spans="1:49" ht="15.75" customHeight="1" thickBo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0"/>
      <c r="AO269" s="7"/>
      <c r="AP269" s="7"/>
      <c r="AQ269" s="7"/>
      <c r="AR269" s="7"/>
      <c r="AS269" s="7"/>
      <c r="AT269" s="7"/>
      <c r="AU269" s="7"/>
      <c r="AV269" s="7"/>
      <c r="AW269" s="7"/>
    </row>
    <row r="270" spans="1:49" ht="15.75" customHeight="1" thickBo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0"/>
      <c r="AO270" s="7"/>
      <c r="AP270" s="7"/>
      <c r="AQ270" s="7"/>
      <c r="AR270" s="7"/>
      <c r="AS270" s="7"/>
      <c r="AT270" s="7"/>
      <c r="AU270" s="7"/>
      <c r="AV270" s="7"/>
      <c r="AW270" s="7"/>
    </row>
    <row r="271" spans="1:49" ht="15.75" customHeight="1" thickBo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0"/>
      <c r="AO271" s="7"/>
      <c r="AP271" s="7"/>
      <c r="AQ271" s="7"/>
      <c r="AR271" s="7"/>
      <c r="AS271" s="7"/>
      <c r="AT271" s="7"/>
      <c r="AU271" s="7"/>
      <c r="AV271" s="7"/>
      <c r="AW271" s="7"/>
    </row>
    <row r="272" spans="1:49" ht="15.75" customHeight="1" thickBo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0"/>
      <c r="AO272" s="7"/>
      <c r="AP272" s="7"/>
      <c r="AQ272" s="7"/>
      <c r="AR272" s="7"/>
      <c r="AS272" s="7"/>
      <c r="AT272" s="7"/>
      <c r="AU272" s="7"/>
      <c r="AV272" s="7"/>
      <c r="AW272" s="7"/>
    </row>
    <row r="273" spans="1:49" ht="15.75" customHeight="1" thickBo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0"/>
      <c r="AO273" s="7"/>
      <c r="AP273" s="7"/>
      <c r="AQ273" s="7"/>
      <c r="AR273" s="7"/>
      <c r="AS273" s="7"/>
      <c r="AT273" s="7"/>
      <c r="AU273" s="7"/>
      <c r="AV273" s="7"/>
      <c r="AW273" s="7"/>
    </row>
    <row r="274" spans="1:49" ht="15.75" customHeight="1" thickBo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0"/>
      <c r="AO274" s="7"/>
      <c r="AP274" s="7"/>
      <c r="AQ274" s="7"/>
      <c r="AR274" s="7"/>
      <c r="AS274" s="7"/>
      <c r="AT274" s="7"/>
      <c r="AU274" s="7"/>
      <c r="AV274" s="7"/>
      <c r="AW274" s="7"/>
    </row>
    <row r="275" spans="1:49" ht="15.75" customHeight="1" thickBo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0"/>
      <c r="AO275" s="7"/>
      <c r="AP275" s="7"/>
      <c r="AQ275" s="7"/>
      <c r="AR275" s="7"/>
      <c r="AS275" s="7"/>
      <c r="AT275" s="7"/>
      <c r="AU275" s="7"/>
      <c r="AV275" s="7"/>
      <c r="AW275" s="7"/>
    </row>
    <row r="276" spans="1:49" ht="15.75" customHeight="1" thickBo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0"/>
      <c r="AO276" s="7"/>
      <c r="AP276" s="7"/>
      <c r="AQ276" s="7"/>
      <c r="AR276" s="7"/>
      <c r="AS276" s="7"/>
      <c r="AT276" s="7"/>
      <c r="AU276" s="7"/>
      <c r="AV276" s="7"/>
      <c r="AW276" s="7"/>
    </row>
    <row r="277" spans="1:49" ht="15.75" customHeight="1" thickBo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0"/>
      <c r="AO277" s="7"/>
      <c r="AP277" s="7"/>
      <c r="AQ277" s="7"/>
      <c r="AR277" s="7"/>
      <c r="AS277" s="7"/>
      <c r="AT277" s="7"/>
      <c r="AU277" s="7"/>
      <c r="AV277" s="7"/>
      <c r="AW277" s="7"/>
    </row>
    <row r="278" spans="1:49" ht="15.75" customHeight="1" thickBo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0"/>
      <c r="AO278" s="7"/>
      <c r="AP278" s="7"/>
      <c r="AQ278" s="7"/>
      <c r="AR278" s="7"/>
      <c r="AS278" s="7"/>
      <c r="AT278" s="7"/>
      <c r="AU278" s="7"/>
      <c r="AV278" s="7"/>
      <c r="AW278" s="7"/>
    </row>
    <row r="279" spans="1:49" ht="15.75" customHeight="1" thickBo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0"/>
      <c r="AO279" s="7"/>
      <c r="AP279" s="7"/>
      <c r="AQ279" s="7"/>
      <c r="AR279" s="7"/>
      <c r="AS279" s="7"/>
      <c r="AT279" s="7"/>
      <c r="AU279" s="7"/>
      <c r="AV279" s="7"/>
      <c r="AW279" s="7"/>
    </row>
    <row r="280" spans="1:49" ht="15.75" customHeight="1" thickBo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0"/>
      <c r="AO280" s="7"/>
      <c r="AP280" s="7"/>
      <c r="AQ280" s="7"/>
      <c r="AR280" s="7"/>
      <c r="AS280" s="7"/>
      <c r="AT280" s="7"/>
      <c r="AU280" s="7"/>
      <c r="AV280" s="7"/>
      <c r="AW280" s="7"/>
    </row>
    <row r="281" spans="1:49" ht="15.75" customHeight="1" thickBo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0"/>
      <c r="AO281" s="7"/>
      <c r="AP281" s="7"/>
      <c r="AQ281" s="7"/>
      <c r="AR281" s="7"/>
      <c r="AS281" s="7"/>
      <c r="AT281" s="7"/>
      <c r="AU281" s="7"/>
      <c r="AV281" s="7"/>
      <c r="AW281" s="7"/>
    </row>
    <row r="282" spans="1:49" ht="15.75" customHeight="1" thickBo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0"/>
      <c r="AO282" s="7"/>
      <c r="AP282" s="7"/>
      <c r="AQ282" s="7"/>
      <c r="AR282" s="7"/>
      <c r="AS282" s="7"/>
      <c r="AT282" s="7"/>
      <c r="AU282" s="7"/>
      <c r="AV282" s="7"/>
      <c r="AW282" s="7"/>
    </row>
    <row r="283" spans="1:49" ht="15.75" customHeight="1" thickBo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0"/>
      <c r="AO283" s="7"/>
      <c r="AP283" s="7"/>
      <c r="AQ283" s="7"/>
      <c r="AR283" s="7"/>
      <c r="AS283" s="7"/>
      <c r="AT283" s="7"/>
      <c r="AU283" s="7"/>
      <c r="AV283" s="7"/>
      <c r="AW283" s="7"/>
    </row>
    <row r="284" spans="1:49" ht="15.75" customHeight="1" thickBo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0"/>
      <c r="AO284" s="7"/>
      <c r="AP284" s="7"/>
      <c r="AQ284" s="7"/>
      <c r="AR284" s="7"/>
      <c r="AS284" s="7"/>
      <c r="AT284" s="7"/>
      <c r="AU284" s="7"/>
      <c r="AV284" s="7"/>
      <c r="AW284" s="7"/>
    </row>
    <row r="285" spans="1:49" ht="15.75" customHeight="1" thickBo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0"/>
      <c r="AO285" s="7"/>
      <c r="AP285" s="7"/>
      <c r="AQ285" s="7"/>
      <c r="AR285" s="7"/>
      <c r="AS285" s="7"/>
      <c r="AT285" s="7"/>
      <c r="AU285" s="7"/>
      <c r="AV285" s="7"/>
      <c r="AW285" s="7"/>
    </row>
    <row r="286" spans="1:49" ht="15.75" customHeight="1" thickBo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0"/>
      <c r="AO286" s="7"/>
      <c r="AP286" s="7"/>
      <c r="AQ286" s="7"/>
      <c r="AR286" s="7"/>
      <c r="AS286" s="7"/>
      <c r="AT286" s="7"/>
      <c r="AU286" s="7"/>
      <c r="AV286" s="7"/>
      <c r="AW286" s="7"/>
    </row>
    <row r="287" spans="1:49" ht="15.75" customHeight="1" thickBo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0"/>
      <c r="AO287" s="7"/>
      <c r="AP287" s="7"/>
      <c r="AQ287" s="7"/>
      <c r="AR287" s="7"/>
      <c r="AS287" s="7"/>
      <c r="AT287" s="7"/>
      <c r="AU287" s="7"/>
      <c r="AV287" s="7"/>
      <c r="AW287" s="7"/>
    </row>
    <row r="288" spans="1:49" ht="15.75" customHeight="1" thickBo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0"/>
      <c r="AO288" s="7"/>
      <c r="AP288" s="7"/>
      <c r="AQ288" s="7"/>
      <c r="AR288" s="7"/>
      <c r="AS288" s="7"/>
      <c r="AT288" s="7"/>
      <c r="AU288" s="7"/>
      <c r="AV288" s="7"/>
      <c r="AW288" s="7"/>
    </row>
    <row r="289" spans="1:49" ht="15.75" customHeight="1" thickBo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0"/>
      <c r="AO289" s="7"/>
      <c r="AP289" s="7"/>
      <c r="AQ289" s="7"/>
      <c r="AR289" s="7"/>
      <c r="AS289" s="7"/>
      <c r="AT289" s="7"/>
      <c r="AU289" s="7"/>
      <c r="AV289" s="7"/>
      <c r="AW289" s="7"/>
    </row>
    <row r="290" spans="1:49" ht="15.75" customHeight="1" thickBo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0"/>
      <c r="AO290" s="7"/>
      <c r="AP290" s="7"/>
      <c r="AQ290" s="7"/>
      <c r="AR290" s="7"/>
      <c r="AS290" s="7"/>
      <c r="AT290" s="7"/>
      <c r="AU290" s="7"/>
      <c r="AV290" s="7"/>
      <c r="AW290" s="7"/>
    </row>
    <row r="291" spans="1:49" ht="15.75" customHeight="1" thickBo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0"/>
      <c r="AO291" s="7"/>
      <c r="AP291" s="7"/>
      <c r="AQ291" s="7"/>
      <c r="AR291" s="7"/>
      <c r="AS291" s="7"/>
      <c r="AT291" s="7"/>
      <c r="AU291" s="7"/>
      <c r="AV291" s="7"/>
      <c r="AW291" s="7"/>
    </row>
    <row r="292" spans="1:49" ht="15.75" customHeight="1" thickBo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0"/>
      <c r="AO292" s="7"/>
      <c r="AP292" s="7"/>
      <c r="AQ292" s="7"/>
      <c r="AR292" s="7"/>
      <c r="AS292" s="7"/>
      <c r="AT292" s="7"/>
      <c r="AU292" s="7"/>
      <c r="AV292" s="7"/>
      <c r="AW292" s="7"/>
    </row>
    <row r="293" spans="1:49" ht="15.75" customHeight="1" thickBo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0"/>
      <c r="AO293" s="7"/>
      <c r="AP293" s="7"/>
      <c r="AQ293" s="7"/>
      <c r="AR293" s="7"/>
      <c r="AS293" s="7"/>
      <c r="AT293" s="7"/>
      <c r="AU293" s="7"/>
      <c r="AV293" s="7"/>
      <c r="AW293" s="7"/>
    </row>
    <row r="294" spans="1:49" ht="15.75" customHeight="1" thickBo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0"/>
      <c r="AO294" s="7"/>
      <c r="AP294" s="7"/>
      <c r="AQ294" s="7"/>
      <c r="AR294" s="7"/>
      <c r="AS294" s="7"/>
      <c r="AT294" s="7"/>
      <c r="AU294" s="7"/>
      <c r="AV294" s="7"/>
      <c r="AW294" s="7"/>
    </row>
    <row r="295" spans="1:49" ht="15.75" customHeight="1" thickBo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0"/>
      <c r="AO295" s="7"/>
      <c r="AP295" s="7"/>
      <c r="AQ295" s="7"/>
      <c r="AR295" s="7"/>
      <c r="AS295" s="7"/>
      <c r="AT295" s="7"/>
      <c r="AU295" s="7"/>
      <c r="AV295" s="7"/>
      <c r="AW295" s="7"/>
    </row>
    <row r="296" spans="1:49" ht="15.75" customHeight="1" thickBo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0"/>
      <c r="AO296" s="7"/>
      <c r="AP296" s="7"/>
      <c r="AQ296" s="7"/>
      <c r="AR296" s="7"/>
      <c r="AS296" s="7"/>
      <c r="AT296" s="7"/>
      <c r="AU296" s="7"/>
      <c r="AV296" s="7"/>
      <c r="AW296" s="7"/>
    </row>
    <row r="297" spans="1:49" ht="15.75" customHeight="1" thickBo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0"/>
      <c r="AO297" s="7"/>
      <c r="AP297" s="7"/>
      <c r="AQ297" s="7"/>
      <c r="AR297" s="7"/>
      <c r="AS297" s="7"/>
      <c r="AT297" s="7"/>
      <c r="AU297" s="7"/>
      <c r="AV297" s="7"/>
      <c r="AW297" s="7"/>
    </row>
    <row r="298" spans="1:49" ht="15.75" customHeight="1" thickBo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0"/>
      <c r="AO298" s="7"/>
      <c r="AP298" s="7"/>
      <c r="AQ298" s="7"/>
      <c r="AR298" s="7"/>
      <c r="AS298" s="7"/>
      <c r="AT298" s="7"/>
      <c r="AU298" s="7"/>
      <c r="AV298" s="7"/>
      <c r="AW298" s="7"/>
    </row>
    <row r="299" spans="1:49" ht="15.75" customHeight="1" thickBo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0"/>
      <c r="AO299" s="7"/>
      <c r="AP299" s="7"/>
      <c r="AQ299" s="7"/>
      <c r="AR299" s="7"/>
      <c r="AS299" s="7"/>
      <c r="AT299" s="7"/>
      <c r="AU299" s="7"/>
      <c r="AV299" s="7"/>
      <c r="AW299" s="7"/>
    </row>
    <row r="300" spans="1:49" ht="15.75" customHeight="1" thickBo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0"/>
      <c r="AO300" s="7"/>
      <c r="AP300" s="7"/>
      <c r="AQ300" s="7"/>
      <c r="AR300" s="7"/>
      <c r="AS300" s="7"/>
      <c r="AT300" s="7"/>
      <c r="AU300" s="7"/>
      <c r="AV300" s="7"/>
      <c r="AW300" s="7"/>
    </row>
    <row r="301" spans="1:49" ht="15.75" customHeight="1" thickBo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0"/>
      <c r="AO301" s="7"/>
      <c r="AP301" s="7"/>
      <c r="AQ301" s="7"/>
      <c r="AR301" s="7"/>
      <c r="AS301" s="7"/>
      <c r="AT301" s="7"/>
      <c r="AU301" s="7"/>
      <c r="AV301" s="7"/>
      <c r="AW301" s="7"/>
    </row>
    <row r="302" spans="1:49" ht="15.75" customHeight="1" thickBo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0"/>
      <c r="AO302" s="7"/>
      <c r="AP302" s="7"/>
      <c r="AQ302" s="7"/>
      <c r="AR302" s="7"/>
      <c r="AS302" s="7"/>
      <c r="AT302" s="7"/>
      <c r="AU302" s="7"/>
      <c r="AV302" s="7"/>
      <c r="AW302" s="7"/>
    </row>
    <row r="303" spans="1:49" ht="15.75" customHeight="1" thickBo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0"/>
      <c r="AO303" s="7"/>
      <c r="AP303" s="7"/>
      <c r="AQ303" s="7"/>
      <c r="AR303" s="7"/>
      <c r="AS303" s="7"/>
      <c r="AT303" s="7"/>
      <c r="AU303" s="7"/>
      <c r="AV303" s="7"/>
      <c r="AW303" s="7"/>
    </row>
    <row r="304" spans="1:49" ht="15.75" customHeight="1" thickBo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0"/>
      <c r="AO304" s="7"/>
      <c r="AP304" s="7"/>
      <c r="AQ304" s="7"/>
      <c r="AR304" s="7"/>
      <c r="AS304" s="7"/>
      <c r="AT304" s="7"/>
      <c r="AU304" s="7"/>
      <c r="AV304" s="7"/>
      <c r="AW304" s="7"/>
    </row>
    <row r="305" spans="1:49" ht="15.75" customHeight="1" thickBo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0"/>
      <c r="AO305" s="7"/>
      <c r="AP305" s="7"/>
      <c r="AQ305" s="7"/>
      <c r="AR305" s="7"/>
      <c r="AS305" s="7"/>
      <c r="AT305" s="7"/>
      <c r="AU305" s="7"/>
      <c r="AV305" s="7"/>
      <c r="AW305" s="7"/>
    </row>
    <row r="306" spans="1:49" ht="15.75" customHeight="1" thickBo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0"/>
      <c r="AO306" s="7"/>
      <c r="AP306" s="7"/>
      <c r="AQ306" s="7"/>
      <c r="AR306" s="7"/>
      <c r="AS306" s="7"/>
      <c r="AT306" s="7"/>
      <c r="AU306" s="7"/>
      <c r="AV306" s="7"/>
      <c r="AW306" s="7"/>
    </row>
    <row r="307" spans="1:49" ht="15.75" customHeight="1" thickBo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0"/>
      <c r="AO307" s="7"/>
      <c r="AP307" s="7"/>
      <c r="AQ307" s="7"/>
      <c r="AR307" s="7"/>
      <c r="AS307" s="7"/>
      <c r="AT307" s="7"/>
      <c r="AU307" s="7"/>
      <c r="AV307" s="7"/>
      <c r="AW307" s="7"/>
    </row>
    <row r="308" spans="1:49" ht="15.75" customHeight="1" thickBo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0"/>
      <c r="AO308" s="7"/>
      <c r="AP308" s="7"/>
      <c r="AQ308" s="7"/>
      <c r="AR308" s="7"/>
      <c r="AS308" s="7"/>
      <c r="AT308" s="7"/>
      <c r="AU308" s="7"/>
      <c r="AV308" s="7"/>
      <c r="AW308" s="7"/>
    </row>
    <row r="309" spans="1:49" ht="15.75" customHeight="1" thickBo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0"/>
      <c r="AO309" s="7"/>
      <c r="AP309" s="7"/>
      <c r="AQ309" s="7"/>
      <c r="AR309" s="7"/>
      <c r="AS309" s="7"/>
      <c r="AT309" s="7"/>
      <c r="AU309" s="7"/>
      <c r="AV309" s="7"/>
      <c r="AW309" s="7"/>
    </row>
    <row r="310" spans="1:49" ht="15.75" customHeight="1" thickBo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0"/>
      <c r="AO310" s="7"/>
      <c r="AP310" s="7"/>
      <c r="AQ310" s="7"/>
      <c r="AR310" s="7"/>
      <c r="AS310" s="7"/>
      <c r="AT310" s="7"/>
      <c r="AU310" s="7"/>
      <c r="AV310" s="7"/>
      <c r="AW310" s="7"/>
    </row>
    <row r="311" spans="1:49" ht="15.75" customHeight="1" thickBo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0"/>
      <c r="AO311" s="7"/>
      <c r="AP311" s="7"/>
      <c r="AQ311" s="7"/>
      <c r="AR311" s="7"/>
      <c r="AS311" s="7"/>
      <c r="AT311" s="7"/>
      <c r="AU311" s="7"/>
      <c r="AV311" s="7"/>
      <c r="AW311" s="7"/>
    </row>
    <row r="312" spans="1:49" ht="15.75" customHeight="1" thickBo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0"/>
      <c r="AO312" s="7"/>
      <c r="AP312" s="7"/>
      <c r="AQ312" s="7"/>
      <c r="AR312" s="7"/>
      <c r="AS312" s="7"/>
      <c r="AT312" s="7"/>
      <c r="AU312" s="7"/>
      <c r="AV312" s="7"/>
      <c r="AW312" s="7"/>
    </row>
    <row r="313" spans="1:49" ht="15.75" customHeight="1" thickBo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0"/>
      <c r="AO313" s="7"/>
      <c r="AP313" s="7"/>
      <c r="AQ313" s="7"/>
      <c r="AR313" s="7"/>
      <c r="AS313" s="7"/>
      <c r="AT313" s="7"/>
      <c r="AU313" s="7"/>
      <c r="AV313" s="7"/>
      <c r="AW313" s="7"/>
    </row>
    <row r="314" spans="1:49" ht="15.75" customHeight="1" thickBo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0"/>
      <c r="AO314" s="7"/>
      <c r="AP314" s="7"/>
      <c r="AQ314" s="7"/>
      <c r="AR314" s="7"/>
      <c r="AS314" s="7"/>
      <c r="AT314" s="7"/>
      <c r="AU314" s="7"/>
      <c r="AV314" s="7"/>
      <c r="AW314" s="7"/>
    </row>
    <row r="315" spans="1:49" ht="15.75" customHeight="1" thickBo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0"/>
      <c r="AO315" s="7"/>
      <c r="AP315" s="7"/>
      <c r="AQ315" s="7"/>
      <c r="AR315" s="7"/>
      <c r="AS315" s="7"/>
      <c r="AT315" s="7"/>
      <c r="AU315" s="7"/>
      <c r="AV315" s="7"/>
      <c r="AW315" s="7"/>
    </row>
    <row r="316" spans="1:49" ht="15.75" customHeight="1" thickBo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0"/>
      <c r="AO316" s="7"/>
      <c r="AP316" s="7"/>
      <c r="AQ316" s="7"/>
      <c r="AR316" s="7"/>
      <c r="AS316" s="7"/>
      <c r="AT316" s="7"/>
      <c r="AU316" s="7"/>
      <c r="AV316" s="7"/>
      <c r="AW316" s="7"/>
    </row>
    <row r="317" spans="1:49" ht="15.75" customHeight="1" thickBo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0"/>
      <c r="AO317" s="7"/>
      <c r="AP317" s="7"/>
      <c r="AQ317" s="7"/>
      <c r="AR317" s="7"/>
      <c r="AS317" s="7"/>
      <c r="AT317" s="7"/>
      <c r="AU317" s="7"/>
      <c r="AV317" s="7"/>
      <c r="AW317" s="7"/>
    </row>
    <row r="318" spans="1:49" ht="15.75" customHeight="1" thickBo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0"/>
      <c r="AO318" s="7"/>
      <c r="AP318" s="7"/>
      <c r="AQ318" s="7"/>
      <c r="AR318" s="7"/>
      <c r="AS318" s="7"/>
      <c r="AT318" s="7"/>
      <c r="AU318" s="7"/>
      <c r="AV318" s="7"/>
      <c r="AW318" s="7"/>
    </row>
    <row r="319" spans="1:49" ht="15.75" customHeight="1" thickBo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0"/>
      <c r="AO319" s="7"/>
      <c r="AP319" s="7"/>
      <c r="AQ319" s="7"/>
      <c r="AR319" s="7"/>
      <c r="AS319" s="7"/>
      <c r="AT319" s="7"/>
      <c r="AU319" s="7"/>
      <c r="AV319" s="7"/>
      <c r="AW319" s="7"/>
    </row>
    <row r="320" spans="1:49" ht="15.75" customHeight="1" thickBo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0"/>
      <c r="AO320" s="7"/>
      <c r="AP320" s="7"/>
      <c r="AQ320" s="7"/>
      <c r="AR320" s="7"/>
      <c r="AS320" s="7"/>
      <c r="AT320" s="7"/>
      <c r="AU320" s="7"/>
      <c r="AV320" s="7"/>
      <c r="AW320" s="7"/>
    </row>
    <row r="321" spans="1:49" ht="15.75" customHeight="1" thickBo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0"/>
      <c r="AO321" s="7"/>
      <c r="AP321" s="7"/>
      <c r="AQ321" s="7"/>
      <c r="AR321" s="7"/>
      <c r="AS321" s="7"/>
      <c r="AT321" s="7"/>
      <c r="AU321" s="7"/>
      <c r="AV321" s="7"/>
      <c r="AW321" s="7"/>
    </row>
    <row r="322" spans="1:49" ht="15.75" customHeight="1" thickBo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0"/>
      <c r="AO322" s="7"/>
      <c r="AP322" s="7"/>
      <c r="AQ322" s="7"/>
      <c r="AR322" s="7"/>
      <c r="AS322" s="7"/>
      <c r="AT322" s="7"/>
      <c r="AU322" s="7"/>
      <c r="AV322" s="7"/>
      <c r="AW322" s="7"/>
    </row>
    <row r="323" spans="1:49" ht="15.75" customHeight="1" thickBo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0"/>
      <c r="AO323" s="7"/>
      <c r="AP323" s="7"/>
      <c r="AQ323" s="7"/>
      <c r="AR323" s="7"/>
      <c r="AS323" s="7"/>
      <c r="AT323" s="7"/>
      <c r="AU323" s="7"/>
      <c r="AV323" s="7"/>
      <c r="AW323" s="7"/>
    </row>
    <row r="324" spans="1:49" ht="15.75" customHeight="1" thickBo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0"/>
      <c r="AO324" s="7"/>
      <c r="AP324" s="7"/>
      <c r="AQ324" s="7"/>
      <c r="AR324" s="7"/>
      <c r="AS324" s="7"/>
      <c r="AT324" s="7"/>
      <c r="AU324" s="7"/>
      <c r="AV324" s="7"/>
      <c r="AW324" s="7"/>
    </row>
    <row r="325" spans="1:49" ht="15.75" customHeight="1" thickBo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0"/>
      <c r="AO325" s="7"/>
      <c r="AP325" s="7"/>
      <c r="AQ325" s="7"/>
      <c r="AR325" s="7"/>
      <c r="AS325" s="7"/>
      <c r="AT325" s="7"/>
      <c r="AU325" s="7"/>
      <c r="AV325" s="7"/>
      <c r="AW325" s="7"/>
    </row>
    <row r="326" spans="1:49" ht="15.75" customHeight="1" thickBo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0"/>
      <c r="AO326" s="7"/>
      <c r="AP326" s="7"/>
      <c r="AQ326" s="7"/>
      <c r="AR326" s="7"/>
      <c r="AS326" s="7"/>
      <c r="AT326" s="7"/>
      <c r="AU326" s="7"/>
      <c r="AV326" s="7"/>
      <c r="AW326" s="7"/>
    </row>
    <row r="327" spans="1:49" ht="15.75" customHeight="1" thickBo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0"/>
      <c r="AO327" s="7"/>
      <c r="AP327" s="7"/>
      <c r="AQ327" s="7"/>
      <c r="AR327" s="7"/>
      <c r="AS327" s="7"/>
      <c r="AT327" s="7"/>
      <c r="AU327" s="7"/>
      <c r="AV327" s="7"/>
      <c r="AW327" s="7"/>
    </row>
    <row r="328" spans="1:49" ht="15.75" customHeight="1" thickBo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0"/>
      <c r="AO328" s="7"/>
      <c r="AP328" s="7"/>
      <c r="AQ328" s="7"/>
      <c r="AR328" s="7"/>
      <c r="AS328" s="7"/>
      <c r="AT328" s="7"/>
      <c r="AU328" s="7"/>
      <c r="AV328" s="7"/>
      <c r="AW328" s="7"/>
    </row>
    <row r="329" spans="1:49" ht="15.75" customHeight="1" thickBo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0"/>
      <c r="AO329" s="7"/>
      <c r="AP329" s="7"/>
      <c r="AQ329" s="7"/>
      <c r="AR329" s="7"/>
      <c r="AS329" s="7"/>
      <c r="AT329" s="7"/>
      <c r="AU329" s="7"/>
      <c r="AV329" s="7"/>
      <c r="AW329" s="7"/>
    </row>
    <row r="330" spans="1:49" ht="15.75" customHeight="1" thickBo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0"/>
      <c r="AO330" s="7"/>
      <c r="AP330" s="7"/>
      <c r="AQ330" s="7"/>
      <c r="AR330" s="7"/>
      <c r="AS330" s="7"/>
      <c r="AT330" s="7"/>
      <c r="AU330" s="7"/>
      <c r="AV330" s="7"/>
      <c r="AW330" s="7"/>
    </row>
    <row r="331" spans="1:49" ht="15.75" customHeight="1" thickBo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0"/>
      <c r="AO331" s="7"/>
      <c r="AP331" s="7"/>
      <c r="AQ331" s="7"/>
      <c r="AR331" s="7"/>
      <c r="AS331" s="7"/>
      <c r="AT331" s="7"/>
      <c r="AU331" s="7"/>
      <c r="AV331" s="7"/>
      <c r="AW331" s="7"/>
    </row>
    <row r="332" spans="1:49" ht="15.75" customHeight="1" thickBo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0"/>
      <c r="AO332" s="7"/>
      <c r="AP332" s="7"/>
      <c r="AQ332" s="7"/>
      <c r="AR332" s="7"/>
      <c r="AS332" s="7"/>
      <c r="AT332" s="7"/>
      <c r="AU332" s="7"/>
      <c r="AV332" s="7"/>
      <c r="AW332" s="7"/>
    </row>
    <row r="333" spans="1:49" ht="15.75" customHeight="1" thickBo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0"/>
      <c r="AO333" s="7"/>
      <c r="AP333" s="7"/>
      <c r="AQ333" s="7"/>
      <c r="AR333" s="7"/>
      <c r="AS333" s="7"/>
      <c r="AT333" s="7"/>
      <c r="AU333" s="7"/>
      <c r="AV333" s="7"/>
      <c r="AW333" s="7"/>
    </row>
    <row r="334" spans="1:49" ht="15.75" customHeight="1" thickBo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0"/>
      <c r="AO334" s="7"/>
      <c r="AP334" s="7"/>
      <c r="AQ334" s="7"/>
      <c r="AR334" s="7"/>
      <c r="AS334" s="7"/>
      <c r="AT334" s="7"/>
      <c r="AU334" s="7"/>
      <c r="AV334" s="7"/>
      <c r="AW334" s="7"/>
    </row>
    <row r="335" spans="1:49" ht="15.75" customHeight="1" thickBo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0"/>
      <c r="AO335" s="7"/>
      <c r="AP335" s="7"/>
      <c r="AQ335" s="7"/>
      <c r="AR335" s="7"/>
      <c r="AS335" s="7"/>
      <c r="AT335" s="7"/>
      <c r="AU335" s="7"/>
      <c r="AV335" s="7"/>
      <c r="AW335" s="7"/>
    </row>
    <row r="336" spans="1:49" ht="15.75" customHeight="1" thickBo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0"/>
      <c r="AO336" s="7"/>
      <c r="AP336" s="7"/>
      <c r="AQ336" s="7"/>
      <c r="AR336" s="7"/>
      <c r="AS336" s="7"/>
      <c r="AT336" s="7"/>
      <c r="AU336" s="7"/>
      <c r="AV336" s="7"/>
      <c r="AW336" s="7"/>
    </row>
    <row r="337" spans="1:49" ht="15.75" customHeight="1" thickBo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0"/>
      <c r="AO337" s="7"/>
      <c r="AP337" s="7"/>
      <c r="AQ337" s="7"/>
      <c r="AR337" s="7"/>
      <c r="AS337" s="7"/>
      <c r="AT337" s="7"/>
      <c r="AU337" s="7"/>
      <c r="AV337" s="7"/>
      <c r="AW337" s="7"/>
    </row>
    <row r="338" spans="1:49" ht="15.75" customHeight="1" thickBo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0"/>
      <c r="AO338" s="7"/>
      <c r="AP338" s="7"/>
      <c r="AQ338" s="7"/>
      <c r="AR338" s="7"/>
      <c r="AS338" s="7"/>
      <c r="AT338" s="7"/>
      <c r="AU338" s="7"/>
      <c r="AV338" s="7"/>
      <c r="AW338" s="7"/>
    </row>
    <row r="339" spans="1:49" ht="15.75" customHeight="1" thickBo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0"/>
      <c r="AO339" s="7"/>
      <c r="AP339" s="7"/>
      <c r="AQ339" s="7"/>
      <c r="AR339" s="7"/>
      <c r="AS339" s="7"/>
      <c r="AT339" s="7"/>
      <c r="AU339" s="7"/>
      <c r="AV339" s="7"/>
      <c r="AW339" s="7"/>
    </row>
    <row r="340" spans="1:49" ht="15.75" customHeight="1" thickBo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0"/>
      <c r="AO340" s="7"/>
      <c r="AP340" s="7"/>
      <c r="AQ340" s="7"/>
      <c r="AR340" s="7"/>
      <c r="AS340" s="7"/>
      <c r="AT340" s="7"/>
      <c r="AU340" s="7"/>
      <c r="AV340" s="7"/>
      <c r="AW340" s="7"/>
    </row>
    <row r="341" spans="1:49" ht="15.75" customHeight="1" thickBo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0"/>
      <c r="AO341" s="7"/>
      <c r="AP341" s="7"/>
      <c r="AQ341" s="7"/>
      <c r="AR341" s="7"/>
      <c r="AS341" s="7"/>
      <c r="AT341" s="7"/>
      <c r="AU341" s="7"/>
      <c r="AV341" s="7"/>
      <c r="AW341" s="7"/>
    </row>
    <row r="342" spans="1:49" ht="15.75" customHeight="1" thickBo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0"/>
      <c r="AO342" s="7"/>
      <c r="AP342" s="7"/>
      <c r="AQ342" s="7"/>
      <c r="AR342" s="7"/>
      <c r="AS342" s="7"/>
      <c r="AT342" s="7"/>
      <c r="AU342" s="7"/>
      <c r="AV342" s="7"/>
      <c r="AW342" s="7"/>
    </row>
    <row r="343" spans="1:49" ht="15.75" customHeight="1" thickBo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0"/>
      <c r="AO343" s="7"/>
      <c r="AP343" s="7"/>
      <c r="AQ343" s="7"/>
      <c r="AR343" s="7"/>
      <c r="AS343" s="7"/>
      <c r="AT343" s="7"/>
      <c r="AU343" s="7"/>
      <c r="AV343" s="7"/>
      <c r="AW343" s="7"/>
    </row>
    <row r="344" spans="1:49" ht="15.75" customHeight="1" thickBo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0"/>
      <c r="AO344" s="7"/>
      <c r="AP344" s="7"/>
      <c r="AQ344" s="7"/>
      <c r="AR344" s="7"/>
      <c r="AS344" s="7"/>
      <c r="AT344" s="7"/>
      <c r="AU344" s="7"/>
      <c r="AV344" s="7"/>
      <c r="AW344" s="7"/>
    </row>
    <row r="345" spans="1:49" ht="15.75" customHeight="1" thickBo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0"/>
      <c r="AO345" s="7"/>
      <c r="AP345" s="7"/>
      <c r="AQ345" s="7"/>
      <c r="AR345" s="7"/>
      <c r="AS345" s="7"/>
      <c r="AT345" s="7"/>
      <c r="AU345" s="7"/>
      <c r="AV345" s="7"/>
      <c r="AW345" s="7"/>
    </row>
    <row r="346" spans="1:49" ht="15.75" customHeight="1" thickBo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0"/>
      <c r="AO346" s="7"/>
      <c r="AP346" s="7"/>
      <c r="AQ346" s="7"/>
      <c r="AR346" s="7"/>
      <c r="AS346" s="7"/>
      <c r="AT346" s="7"/>
      <c r="AU346" s="7"/>
      <c r="AV346" s="7"/>
      <c r="AW346" s="7"/>
    </row>
    <row r="347" spans="1:49" ht="15.75" customHeight="1" thickBo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0"/>
      <c r="AO347" s="7"/>
      <c r="AP347" s="7"/>
      <c r="AQ347" s="7"/>
      <c r="AR347" s="7"/>
      <c r="AS347" s="7"/>
      <c r="AT347" s="7"/>
      <c r="AU347" s="7"/>
      <c r="AV347" s="7"/>
      <c r="AW347" s="7"/>
    </row>
    <row r="348" spans="1:49" ht="15.75" customHeight="1" thickBo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0"/>
      <c r="AO348" s="7"/>
      <c r="AP348" s="7"/>
      <c r="AQ348" s="7"/>
      <c r="AR348" s="7"/>
      <c r="AS348" s="7"/>
      <c r="AT348" s="7"/>
      <c r="AU348" s="7"/>
      <c r="AV348" s="7"/>
      <c r="AW348" s="7"/>
    </row>
    <row r="349" spans="1:49" ht="15.75" customHeight="1" thickBo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0"/>
      <c r="AO349" s="7"/>
      <c r="AP349" s="7"/>
      <c r="AQ349" s="7"/>
      <c r="AR349" s="7"/>
      <c r="AS349" s="7"/>
      <c r="AT349" s="7"/>
      <c r="AU349" s="7"/>
      <c r="AV349" s="7"/>
      <c r="AW349" s="7"/>
    </row>
    <row r="350" spans="1:49" ht="15.75" customHeight="1" thickBo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0"/>
      <c r="AO350" s="7"/>
      <c r="AP350" s="7"/>
      <c r="AQ350" s="7"/>
      <c r="AR350" s="7"/>
      <c r="AS350" s="7"/>
      <c r="AT350" s="7"/>
      <c r="AU350" s="7"/>
      <c r="AV350" s="7"/>
      <c r="AW350" s="7"/>
    </row>
    <row r="351" spans="1:49" ht="15.75" customHeight="1" thickBo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0"/>
      <c r="AO351" s="7"/>
      <c r="AP351" s="7"/>
      <c r="AQ351" s="7"/>
      <c r="AR351" s="7"/>
      <c r="AS351" s="7"/>
      <c r="AT351" s="7"/>
      <c r="AU351" s="7"/>
      <c r="AV351" s="7"/>
      <c r="AW351" s="7"/>
    </row>
    <row r="352" spans="1:49" ht="15.75" customHeight="1" thickBo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0"/>
      <c r="AO352" s="7"/>
      <c r="AP352" s="7"/>
      <c r="AQ352" s="7"/>
      <c r="AR352" s="7"/>
      <c r="AS352" s="7"/>
      <c r="AT352" s="7"/>
      <c r="AU352" s="7"/>
      <c r="AV352" s="7"/>
      <c r="AW352" s="7"/>
    </row>
    <row r="353" spans="1:49" ht="15.75" customHeight="1" thickBo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0"/>
      <c r="AO353" s="7"/>
      <c r="AP353" s="7"/>
      <c r="AQ353" s="7"/>
      <c r="AR353" s="7"/>
      <c r="AS353" s="7"/>
      <c r="AT353" s="7"/>
      <c r="AU353" s="7"/>
      <c r="AV353" s="7"/>
      <c r="AW353" s="7"/>
    </row>
    <row r="354" spans="1:49" ht="15.75" customHeight="1" thickBo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0"/>
      <c r="AO354" s="7"/>
      <c r="AP354" s="7"/>
      <c r="AQ354" s="7"/>
      <c r="AR354" s="7"/>
      <c r="AS354" s="7"/>
      <c r="AT354" s="7"/>
      <c r="AU354" s="7"/>
      <c r="AV354" s="7"/>
      <c r="AW354" s="7"/>
    </row>
    <row r="355" spans="1:49" ht="15.75" customHeight="1" thickBo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0"/>
      <c r="AO355" s="7"/>
      <c r="AP355" s="7"/>
      <c r="AQ355" s="7"/>
      <c r="AR355" s="7"/>
      <c r="AS355" s="7"/>
      <c r="AT355" s="7"/>
      <c r="AU355" s="7"/>
      <c r="AV355" s="7"/>
      <c r="AW355" s="7"/>
    </row>
    <row r="356" spans="1:49" ht="15.75" customHeight="1" thickBo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0"/>
      <c r="AO356" s="7"/>
      <c r="AP356" s="7"/>
      <c r="AQ356" s="7"/>
      <c r="AR356" s="7"/>
      <c r="AS356" s="7"/>
      <c r="AT356" s="7"/>
      <c r="AU356" s="7"/>
      <c r="AV356" s="7"/>
      <c r="AW356" s="7"/>
    </row>
    <row r="357" spans="1:49" ht="15.75" customHeight="1" thickBo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0"/>
      <c r="AO357" s="7"/>
      <c r="AP357" s="7"/>
      <c r="AQ357" s="7"/>
      <c r="AR357" s="7"/>
      <c r="AS357" s="7"/>
      <c r="AT357" s="7"/>
      <c r="AU357" s="7"/>
      <c r="AV357" s="7"/>
      <c r="AW357" s="7"/>
    </row>
    <row r="358" spans="1:49" ht="15.75" customHeight="1" thickBo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0"/>
      <c r="AO358" s="7"/>
      <c r="AP358" s="7"/>
      <c r="AQ358" s="7"/>
      <c r="AR358" s="7"/>
      <c r="AS358" s="7"/>
      <c r="AT358" s="7"/>
      <c r="AU358" s="7"/>
      <c r="AV358" s="7"/>
      <c r="AW358" s="7"/>
    </row>
    <row r="359" spans="1:49" ht="15.75" customHeight="1" thickBo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0"/>
      <c r="AO359" s="7"/>
      <c r="AP359" s="7"/>
      <c r="AQ359" s="7"/>
      <c r="AR359" s="7"/>
      <c r="AS359" s="7"/>
      <c r="AT359" s="7"/>
      <c r="AU359" s="7"/>
      <c r="AV359" s="7"/>
      <c r="AW359" s="7"/>
    </row>
    <row r="360" spans="1:49" ht="15.75" customHeight="1" thickBo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0"/>
      <c r="AO360" s="7"/>
      <c r="AP360" s="7"/>
      <c r="AQ360" s="7"/>
      <c r="AR360" s="7"/>
      <c r="AS360" s="7"/>
      <c r="AT360" s="7"/>
      <c r="AU360" s="7"/>
      <c r="AV360" s="7"/>
      <c r="AW360" s="7"/>
    </row>
    <row r="361" spans="1:49" ht="15.75" customHeight="1" thickBo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0"/>
      <c r="AO361" s="7"/>
      <c r="AP361" s="7"/>
      <c r="AQ361" s="7"/>
      <c r="AR361" s="7"/>
      <c r="AS361" s="7"/>
      <c r="AT361" s="7"/>
      <c r="AU361" s="7"/>
      <c r="AV361" s="7"/>
      <c r="AW361" s="7"/>
    </row>
    <row r="362" spans="1:49" ht="15.75" customHeight="1" thickBo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0"/>
      <c r="AO362" s="7"/>
      <c r="AP362" s="7"/>
      <c r="AQ362" s="7"/>
      <c r="AR362" s="7"/>
      <c r="AS362" s="7"/>
      <c r="AT362" s="7"/>
      <c r="AU362" s="7"/>
      <c r="AV362" s="7"/>
      <c r="AW362" s="7"/>
    </row>
    <row r="363" spans="1:49" ht="15.75" customHeight="1" thickBo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0"/>
      <c r="AO363" s="7"/>
      <c r="AP363" s="7"/>
      <c r="AQ363" s="7"/>
      <c r="AR363" s="7"/>
      <c r="AS363" s="7"/>
      <c r="AT363" s="7"/>
      <c r="AU363" s="7"/>
      <c r="AV363" s="7"/>
      <c r="AW363" s="7"/>
    </row>
    <row r="364" spans="1:49" ht="15.75" customHeight="1" thickBo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0"/>
      <c r="AO364" s="7"/>
      <c r="AP364" s="7"/>
      <c r="AQ364" s="7"/>
      <c r="AR364" s="7"/>
      <c r="AS364" s="7"/>
      <c r="AT364" s="7"/>
      <c r="AU364" s="7"/>
      <c r="AV364" s="7"/>
      <c r="AW364" s="7"/>
    </row>
    <row r="365" spans="1:49" ht="15.75" customHeight="1" thickBo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0"/>
      <c r="AO365" s="7"/>
      <c r="AP365" s="7"/>
      <c r="AQ365" s="7"/>
      <c r="AR365" s="7"/>
      <c r="AS365" s="7"/>
      <c r="AT365" s="7"/>
      <c r="AU365" s="7"/>
      <c r="AV365" s="7"/>
      <c r="AW365" s="7"/>
    </row>
    <row r="366" spans="1:49" ht="15.75" customHeight="1" thickBo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0"/>
      <c r="AO366" s="7"/>
      <c r="AP366" s="7"/>
      <c r="AQ366" s="7"/>
      <c r="AR366" s="7"/>
      <c r="AS366" s="7"/>
      <c r="AT366" s="7"/>
      <c r="AU366" s="7"/>
      <c r="AV366" s="7"/>
      <c r="AW366" s="7"/>
    </row>
    <row r="367" spans="1:49" ht="15.75" customHeight="1" thickBo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0"/>
      <c r="AO367" s="7"/>
      <c r="AP367" s="7"/>
      <c r="AQ367" s="7"/>
      <c r="AR367" s="7"/>
      <c r="AS367" s="7"/>
      <c r="AT367" s="7"/>
      <c r="AU367" s="7"/>
      <c r="AV367" s="7"/>
      <c r="AW367" s="7"/>
    </row>
    <row r="368" spans="1:49" ht="15.75" customHeight="1" thickBo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0"/>
      <c r="AO368" s="7"/>
      <c r="AP368" s="7"/>
      <c r="AQ368" s="7"/>
      <c r="AR368" s="7"/>
      <c r="AS368" s="7"/>
      <c r="AT368" s="7"/>
      <c r="AU368" s="7"/>
      <c r="AV368" s="7"/>
      <c r="AW368" s="7"/>
    </row>
    <row r="369" spans="1:49" ht="15.75" customHeight="1" thickBo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0"/>
      <c r="AO369" s="7"/>
      <c r="AP369" s="7"/>
      <c r="AQ369" s="7"/>
      <c r="AR369" s="7"/>
      <c r="AS369" s="7"/>
      <c r="AT369" s="7"/>
      <c r="AU369" s="7"/>
      <c r="AV369" s="7"/>
      <c r="AW369" s="7"/>
    </row>
    <row r="370" spans="1:49" ht="15.75" customHeight="1" thickBo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0"/>
      <c r="AO370" s="7"/>
      <c r="AP370" s="7"/>
      <c r="AQ370" s="7"/>
      <c r="AR370" s="7"/>
      <c r="AS370" s="7"/>
      <c r="AT370" s="7"/>
      <c r="AU370" s="7"/>
      <c r="AV370" s="7"/>
      <c r="AW370" s="7"/>
    </row>
    <row r="371" spans="1:49" ht="15.75" customHeight="1" thickBo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0"/>
      <c r="AO371" s="7"/>
      <c r="AP371" s="7"/>
      <c r="AQ371" s="7"/>
      <c r="AR371" s="7"/>
      <c r="AS371" s="7"/>
      <c r="AT371" s="7"/>
      <c r="AU371" s="7"/>
      <c r="AV371" s="7"/>
      <c r="AW371" s="7"/>
    </row>
    <row r="372" spans="1:49" ht="15.75" customHeight="1" thickBo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0"/>
      <c r="AO372" s="7"/>
      <c r="AP372" s="7"/>
      <c r="AQ372" s="7"/>
      <c r="AR372" s="7"/>
      <c r="AS372" s="7"/>
      <c r="AT372" s="7"/>
      <c r="AU372" s="7"/>
      <c r="AV372" s="7"/>
      <c r="AW372" s="7"/>
    </row>
    <row r="373" spans="1:49" ht="15.75" customHeight="1" thickBo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0"/>
      <c r="AO373" s="7"/>
      <c r="AP373" s="7"/>
      <c r="AQ373" s="7"/>
      <c r="AR373" s="7"/>
      <c r="AS373" s="7"/>
      <c r="AT373" s="7"/>
      <c r="AU373" s="7"/>
      <c r="AV373" s="7"/>
      <c r="AW373" s="7"/>
    </row>
    <row r="374" spans="1:49" ht="15.75" customHeight="1" thickBo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0"/>
      <c r="AO374" s="7"/>
      <c r="AP374" s="7"/>
      <c r="AQ374" s="7"/>
      <c r="AR374" s="7"/>
      <c r="AS374" s="7"/>
      <c r="AT374" s="7"/>
      <c r="AU374" s="7"/>
      <c r="AV374" s="7"/>
      <c r="AW374" s="7"/>
    </row>
    <row r="375" spans="1:49" ht="15.75" customHeight="1" thickBo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0"/>
      <c r="AO375" s="7"/>
      <c r="AP375" s="7"/>
      <c r="AQ375" s="7"/>
      <c r="AR375" s="7"/>
      <c r="AS375" s="7"/>
      <c r="AT375" s="7"/>
      <c r="AU375" s="7"/>
      <c r="AV375" s="7"/>
      <c r="AW375" s="7"/>
    </row>
    <row r="376" spans="1:49" ht="15.75" customHeight="1" thickBo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0"/>
      <c r="AO376" s="7"/>
      <c r="AP376" s="7"/>
      <c r="AQ376" s="7"/>
      <c r="AR376" s="7"/>
      <c r="AS376" s="7"/>
      <c r="AT376" s="7"/>
      <c r="AU376" s="7"/>
      <c r="AV376" s="7"/>
      <c r="AW376" s="7"/>
    </row>
    <row r="377" spans="1:49" ht="15.75" customHeight="1" thickBo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0"/>
      <c r="AO377" s="7"/>
      <c r="AP377" s="7"/>
      <c r="AQ377" s="7"/>
      <c r="AR377" s="7"/>
      <c r="AS377" s="7"/>
      <c r="AT377" s="7"/>
      <c r="AU377" s="7"/>
      <c r="AV377" s="7"/>
      <c r="AW377" s="7"/>
    </row>
    <row r="378" spans="1:49" ht="15.75" customHeight="1" thickBo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0"/>
      <c r="AO378" s="7"/>
      <c r="AP378" s="7"/>
      <c r="AQ378" s="7"/>
      <c r="AR378" s="7"/>
      <c r="AS378" s="7"/>
      <c r="AT378" s="7"/>
      <c r="AU378" s="7"/>
      <c r="AV378" s="7"/>
      <c r="AW378" s="7"/>
    </row>
    <row r="379" spans="1:49" ht="15.75" customHeight="1" thickBo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0"/>
      <c r="AO379" s="7"/>
      <c r="AP379" s="7"/>
      <c r="AQ379" s="7"/>
      <c r="AR379" s="7"/>
      <c r="AS379" s="7"/>
      <c r="AT379" s="7"/>
      <c r="AU379" s="7"/>
      <c r="AV379" s="7"/>
      <c r="AW379" s="7"/>
    </row>
    <row r="380" spans="1:49" ht="15.75" customHeight="1" thickBo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0"/>
      <c r="AO380" s="7"/>
      <c r="AP380" s="7"/>
      <c r="AQ380" s="7"/>
      <c r="AR380" s="7"/>
      <c r="AS380" s="7"/>
      <c r="AT380" s="7"/>
      <c r="AU380" s="7"/>
      <c r="AV380" s="7"/>
      <c r="AW380" s="7"/>
    </row>
    <row r="381" spans="1:49" ht="15.75" customHeight="1" thickBo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0"/>
      <c r="AO381" s="7"/>
      <c r="AP381" s="7"/>
      <c r="AQ381" s="7"/>
      <c r="AR381" s="7"/>
      <c r="AS381" s="7"/>
      <c r="AT381" s="7"/>
      <c r="AU381" s="7"/>
      <c r="AV381" s="7"/>
      <c r="AW381" s="7"/>
    </row>
    <row r="382" spans="1:49" ht="15.75" customHeight="1" thickBo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0"/>
      <c r="AO382" s="7"/>
      <c r="AP382" s="7"/>
      <c r="AQ382" s="7"/>
      <c r="AR382" s="7"/>
      <c r="AS382" s="7"/>
      <c r="AT382" s="7"/>
      <c r="AU382" s="7"/>
      <c r="AV382" s="7"/>
      <c r="AW382" s="7"/>
    </row>
    <row r="383" spans="1:49" ht="15.75" customHeight="1" thickBo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0"/>
      <c r="AO383" s="7"/>
      <c r="AP383" s="7"/>
      <c r="AQ383" s="7"/>
      <c r="AR383" s="7"/>
      <c r="AS383" s="7"/>
      <c r="AT383" s="7"/>
      <c r="AU383" s="7"/>
      <c r="AV383" s="7"/>
      <c r="AW383" s="7"/>
    </row>
    <row r="384" spans="1:49" ht="15.75" customHeight="1" thickBo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0"/>
      <c r="AO384" s="7"/>
      <c r="AP384" s="7"/>
      <c r="AQ384" s="7"/>
      <c r="AR384" s="7"/>
      <c r="AS384" s="7"/>
      <c r="AT384" s="7"/>
      <c r="AU384" s="7"/>
      <c r="AV384" s="7"/>
      <c r="AW384" s="7"/>
    </row>
    <row r="385" spans="1:49" ht="15.75" customHeight="1" thickBo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0"/>
      <c r="AO385" s="7"/>
      <c r="AP385" s="7"/>
      <c r="AQ385" s="7"/>
      <c r="AR385" s="7"/>
      <c r="AS385" s="7"/>
      <c r="AT385" s="7"/>
      <c r="AU385" s="7"/>
      <c r="AV385" s="7"/>
      <c r="AW385" s="7"/>
    </row>
    <row r="386" spans="1:49" ht="15.75" customHeight="1" thickBo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0"/>
      <c r="AO386" s="7"/>
      <c r="AP386" s="7"/>
      <c r="AQ386" s="7"/>
      <c r="AR386" s="7"/>
      <c r="AS386" s="7"/>
      <c r="AT386" s="7"/>
      <c r="AU386" s="7"/>
      <c r="AV386" s="7"/>
      <c r="AW386" s="7"/>
    </row>
    <row r="387" spans="1:49" ht="15.75" customHeight="1" thickBo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0"/>
      <c r="AO387" s="7"/>
      <c r="AP387" s="7"/>
      <c r="AQ387" s="7"/>
      <c r="AR387" s="7"/>
      <c r="AS387" s="7"/>
      <c r="AT387" s="7"/>
      <c r="AU387" s="7"/>
      <c r="AV387" s="7"/>
      <c r="AW387" s="7"/>
    </row>
    <row r="388" spans="1:49" ht="15.75" customHeight="1" thickBo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0"/>
      <c r="AO388" s="7"/>
      <c r="AP388" s="7"/>
      <c r="AQ388" s="7"/>
      <c r="AR388" s="7"/>
      <c r="AS388" s="7"/>
      <c r="AT388" s="7"/>
      <c r="AU388" s="7"/>
      <c r="AV388" s="7"/>
      <c r="AW388" s="7"/>
    </row>
    <row r="389" spans="1:49" ht="15.75" customHeight="1" thickBo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0"/>
      <c r="AO389" s="7"/>
      <c r="AP389" s="7"/>
      <c r="AQ389" s="7"/>
      <c r="AR389" s="7"/>
      <c r="AS389" s="7"/>
      <c r="AT389" s="7"/>
      <c r="AU389" s="7"/>
      <c r="AV389" s="7"/>
      <c r="AW389" s="7"/>
    </row>
    <row r="390" spans="1:49" ht="15.75" customHeight="1" thickBo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0"/>
      <c r="AO390" s="7"/>
      <c r="AP390" s="7"/>
      <c r="AQ390" s="7"/>
      <c r="AR390" s="7"/>
      <c r="AS390" s="7"/>
      <c r="AT390" s="7"/>
      <c r="AU390" s="7"/>
      <c r="AV390" s="7"/>
      <c r="AW390" s="7"/>
    </row>
    <row r="391" spans="1:49" ht="15.75" customHeight="1" thickBo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0"/>
      <c r="AO391" s="7"/>
      <c r="AP391" s="7"/>
      <c r="AQ391" s="7"/>
      <c r="AR391" s="7"/>
      <c r="AS391" s="7"/>
      <c r="AT391" s="7"/>
      <c r="AU391" s="7"/>
      <c r="AV391" s="7"/>
      <c r="AW391" s="7"/>
    </row>
    <row r="392" spans="1:49" ht="15.75" customHeight="1" thickBo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0"/>
      <c r="AO392" s="7"/>
      <c r="AP392" s="7"/>
      <c r="AQ392" s="7"/>
      <c r="AR392" s="7"/>
      <c r="AS392" s="7"/>
      <c r="AT392" s="7"/>
      <c r="AU392" s="7"/>
      <c r="AV392" s="7"/>
      <c r="AW392" s="7"/>
    </row>
    <row r="393" spans="1:49" ht="15.75" customHeight="1" thickBo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0"/>
      <c r="AO393" s="7"/>
      <c r="AP393" s="7"/>
      <c r="AQ393" s="7"/>
      <c r="AR393" s="7"/>
      <c r="AS393" s="7"/>
      <c r="AT393" s="7"/>
      <c r="AU393" s="7"/>
      <c r="AV393" s="7"/>
      <c r="AW393" s="7"/>
    </row>
    <row r="394" spans="1:49" ht="15.75" customHeight="1" thickBo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0"/>
      <c r="AO394" s="7"/>
      <c r="AP394" s="7"/>
      <c r="AQ394" s="7"/>
      <c r="AR394" s="7"/>
      <c r="AS394" s="7"/>
      <c r="AT394" s="7"/>
      <c r="AU394" s="7"/>
      <c r="AV394" s="7"/>
      <c r="AW394" s="7"/>
    </row>
    <row r="395" spans="1:49" ht="15.75" customHeight="1" thickBo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0"/>
      <c r="AO395" s="7"/>
      <c r="AP395" s="7"/>
      <c r="AQ395" s="7"/>
      <c r="AR395" s="7"/>
      <c r="AS395" s="7"/>
      <c r="AT395" s="7"/>
      <c r="AU395" s="7"/>
      <c r="AV395" s="7"/>
      <c r="AW395" s="7"/>
    </row>
    <row r="396" spans="1:49" ht="15.75" customHeight="1" thickBo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0"/>
      <c r="AO396" s="7"/>
      <c r="AP396" s="7"/>
      <c r="AQ396" s="7"/>
      <c r="AR396" s="7"/>
      <c r="AS396" s="7"/>
      <c r="AT396" s="7"/>
      <c r="AU396" s="7"/>
      <c r="AV396" s="7"/>
      <c r="AW396" s="7"/>
    </row>
    <row r="397" spans="1:49" ht="15.75" customHeight="1" thickBo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0"/>
      <c r="AO397" s="7"/>
      <c r="AP397" s="7"/>
      <c r="AQ397" s="7"/>
      <c r="AR397" s="7"/>
      <c r="AS397" s="7"/>
      <c r="AT397" s="7"/>
      <c r="AU397" s="7"/>
      <c r="AV397" s="7"/>
      <c r="AW397" s="7"/>
    </row>
    <row r="398" spans="1:49" ht="15.75" customHeight="1" thickBo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0"/>
      <c r="AO398" s="7"/>
      <c r="AP398" s="7"/>
      <c r="AQ398" s="7"/>
      <c r="AR398" s="7"/>
      <c r="AS398" s="7"/>
      <c r="AT398" s="7"/>
      <c r="AU398" s="7"/>
      <c r="AV398" s="7"/>
      <c r="AW398" s="7"/>
    </row>
    <row r="399" spans="1:49" ht="15.75" customHeight="1" thickBo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0"/>
      <c r="AO399" s="7"/>
      <c r="AP399" s="7"/>
      <c r="AQ399" s="7"/>
      <c r="AR399" s="7"/>
      <c r="AS399" s="7"/>
      <c r="AT399" s="7"/>
      <c r="AU399" s="7"/>
      <c r="AV399" s="7"/>
      <c r="AW399" s="7"/>
    </row>
    <row r="400" spans="1:49" ht="15.75" customHeight="1" thickBo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0"/>
      <c r="AO400" s="7"/>
      <c r="AP400" s="7"/>
      <c r="AQ400" s="7"/>
      <c r="AR400" s="7"/>
      <c r="AS400" s="7"/>
      <c r="AT400" s="7"/>
      <c r="AU400" s="7"/>
      <c r="AV400" s="7"/>
      <c r="AW400" s="7"/>
    </row>
    <row r="401" spans="1:49" ht="15.75" customHeight="1" thickBo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0"/>
      <c r="AO401" s="7"/>
      <c r="AP401" s="7"/>
      <c r="AQ401" s="7"/>
      <c r="AR401" s="7"/>
      <c r="AS401" s="7"/>
      <c r="AT401" s="7"/>
      <c r="AU401" s="7"/>
      <c r="AV401" s="7"/>
      <c r="AW401" s="7"/>
    </row>
    <row r="402" spans="1:49" ht="15.75" customHeight="1" thickBo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0"/>
      <c r="AO402" s="7"/>
      <c r="AP402" s="7"/>
      <c r="AQ402" s="7"/>
      <c r="AR402" s="7"/>
      <c r="AS402" s="7"/>
      <c r="AT402" s="7"/>
      <c r="AU402" s="7"/>
      <c r="AV402" s="7"/>
      <c r="AW402" s="7"/>
    </row>
    <row r="403" spans="1:49" ht="15.75" customHeight="1" thickBo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0"/>
      <c r="AO403" s="7"/>
      <c r="AP403" s="7"/>
      <c r="AQ403" s="7"/>
      <c r="AR403" s="7"/>
      <c r="AS403" s="7"/>
      <c r="AT403" s="7"/>
      <c r="AU403" s="7"/>
      <c r="AV403" s="7"/>
      <c r="AW403" s="7"/>
    </row>
    <row r="404" spans="1:49" ht="15.75" customHeight="1" thickBo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0"/>
      <c r="AO404" s="7"/>
      <c r="AP404" s="7"/>
      <c r="AQ404" s="7"/>
      <c r="AR404" s="7"/>
      <c r="AS404" s="7"/>
      <c r="AT404" s="7"/>
      <c r="AU404" s="7"/>
      <c r="AV404" s="7"/>
      <c r="AW404" s="7"/>
    </row>
    <row r="405" spans="1:49" ht="15.75" customHeight="1" thickBo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0"/>
      <c r="AO405" s="7"/>
      <c r="AP405" s="7"/>
      <c r="AQ405" s="7"/>
      <c r="AR405" s="7"/>
      <c r="AS405" s="7"/>
      <c r="AT405" s="7"/>
      <c r="AU405" s="7"/>
      <c r="AV405" s="7"/>
      <c r="AW405" s="7"/>
    </row>
    <row r="406" spans="1:49" ht="15.75" customHeight="1" thickBo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0"/>
      <c r="AO406" s="7"/>
      <c r="AP406" s="7"/>
      <c r="AQ406" s="7"/>
      <c r="AR406" s="7"/>
      <c r="AS406" s="7"/>
      <c r="AT406" s="7"/>
      <c r="AU406" s="7"/>
      <c r="AV406" s="7"/>
      <c r="AW406" s="7"/>
    </row>
    <row r="407" spans="1:49" ht="15.75" customHeight="1" thickBo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0"/>
      <c r="AO407" s="7"/>
      <c r="AP407" s="7"/>
      <c r="AQ407" s="7"/>
      <c r="AR407" s="7"/>
      <c r="AS407" s="7"/>
      <c r="AT407" s="7"/>
      <c r="AU407" s="7"/>
      <c r="AV407" s="7"/>
      <c r="AW407" s="7"/>
    </row>
    <row r="408" spans="1:49" ht="15.75" customHeight="1" thickBo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0"/>
      <c r="AO408" s="7"/>
      <c r="AP408" s="7"/>
      <c r="AQ408" s="7"/>
      <c r="AR408" s="7"/>
      <c r="AS408" s="7"/>
      <c r="AT408" s="7"/>
      <c r="AU408" s="7"/>
      <c r="AV408" s="7"/>
      <c r="AW408" s="7"/>
    </row>
    <row r="409" spans="1:49" ht="15.75" customHeight="1" thickBo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0"/>
      <c r="AO409" s="7"/>
      <c r="AP409" s="7"/>
      <c r="AQ409" s="7"/>
      <c r="AR409" s="7"/>
      <c r="AS409" s="7"/>
      <c r="AT409" s="7"/>
      <c r="AU409" s="7"/>
      <c r="AV409" s="7"/>
      <c r="AW409" s="7"/>
    </row>
    <row r="410" spans="1:49" ht="15.75" customHeight="1" thickBo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0"/>
      <c r="AO410" s="7"/>
      <c r="AP410" s="7"/>
      <c r="AQ410" s="7"/>
      <c r="AR410" s="7"/>
      <c r="AS410" s="7"/>
      <c r="AT410" s="7"/>
      <c r="AU410" s="7"/>
      <c r="AV410" s="7"/>
      <c r="AW410" s="7"/>
    </row>
    <row r="411" spans="1:49" ht="15.75" customHeight="1" thickBo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0"/>
      <c r="AO411" s="7"/>
      <c r="AP411" s="7"/>
      <c r="AQ411" s="7"/>
      <c r="AR411" s="7"/>
      <c r="AS411" s="7"/>
      <c r="AT411" s="7"/>
      <c r="AU411" s="7"/>
      <c r="AV411" s="7"/>
      <c r="AW411" s="7"/>
    </row>
    <row r="412" spans="1:49" ht="15.75" customHeight="1" thickBo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0"/>
      <c r="AO412" s="7"/>
      <c r="AP412" s="7"/>
      <c r="AQ412" s="7"/>
      <c r="AR412" s="7"/>
      <c r="AS412" s="7"/>
      <c r="AT412" s="7"/>
      <c r="AU412" s="7"/>
      <c r="AV412" s="7"/>
      <c r="AW412" s="7"/>
    </row>
    <row r="413" spans="1:49" ht="15.75" customHeight="1" thickBo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0"/>
      <c r="AO413" s="7"/>
      <c r="AP413" s="7"/>
      <c r="AQ413" s="7"/>
      <c r="AR413" s="7"/>
      <c r="AS413" s="7"/>
      <c r="AT413" s="7"/>
      <c r="AU413" s="7"/>
      <c r="AV413" s="7"/>
      <c r="AW413" s="7"/>
    </row>
    <row r="414" spans="1:49" ht="15.75" customHeight="1" thickBo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0"/>
      <c r="AO414" s="7"/>
      <c r="AP414" s="7"/>
      <c r="AQ414" s="7"/>
      <c r="AR414" s="7"/>
      <c r="AS414" s="7"/>
      <c r="AT414" s="7"/>
      <c r="AU414" s="7"/>
      <c r="AV414" s="7"/>
      <c r="AW414" s="7"/>
    </row>
    <row r="415" spans="1:49" ht="15.75" customHeight="1" thickBo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0"/>
      <c r="AO415" s="7"/>
      <c r="AP415" s="7"/>
      <c r="AQ415" s="7"/>
      <c r="AR415" s="7"/>
      <c r="AS415" s="7"/>
      <c r="AT415" s="7"/>
      <c r="AU415" s="7"/>
      <c r="AV415" s="7"/>
      <c r="AW415" s="7"/>
    </row>
    <row r="416" spans="1:49" ht="15.75" customHeight="1" thickBo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0"/>
      <c r="AO416" s="7"/>
      <c r="AP416" s="7"/>
      <c r="AQ416" s="7"/>
      <c r="AR416" s="7"/>
      <c r="AS416" s="7"/>
      <c r="AT416" s="7"/>
      <c r="AU416" s="7"/>
      <c r="AV416" s="7"/>
      <c r="AW416" s="7"/>
    </row>
    <row r="417" spans="1:49" ht="15.75" customHeight="1" thickBo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0"/>
      <c r="AO417" s="7"/>
      <c r="AP417" s="7"/>
      <c r="AQ417" s="7"/>
      <c r="AR417" s="7"/>
      <c r="AS417" s="7"/>
      <c r="AT417" s="7"/>
      <c r="AU417" s="7"/>
      <c r="AV417" s="7"/>
      <c r="AW417" s="7"/>
    </row>
    <row r="418" spans="1:49" ht="15.75" customHeight="1" thickBo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0"/>
      <c r="AO418" s="7"/>
      <c r="AP418" s="7"/>
      <c r="AQ418" s="7"/>
      <c r="AR418" s="7"/>
      <c r="AS418" s="7"/>
      <c r="AT418" s="7"/>
      <c r="AU418" s="7"/>
      <c r="AV418" s="7"/>
      <c r="AW418" s="7"/>
    </row>
    <row r="419" spans="1:49" ht="15.75" customHeight="1" thickBo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0"/>
      <c r="AO419" s="7"/>
      <c r="AP419" s="7"/>
      <c r="AQ419" s="7"/>
      <c r="AR419" s="7"/>
      <c r="AS419" s="7"/>
      <c r="AT419" s="7"/>
      <c r="AU419" s="7"/>
      <c r="AV419" s="7"/>
      <c r="AW419" s="7"/>
    </row>
    <row r="420" spans="1:49" ht="15.75" customHeight="1" thickBo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0"/>
      <c r="AO420" s="7"/>
      <c r="AP420" s="7"/>
      <c r="AQ420" s="7"/>
      <c r="AR420" s="7"/>
      <c r="AS420" s="7"/>
      <c r="AT420" s="7"/>
      <c r="AU420" s="7"/>
      <c r="AV420" s="7"/>
      <c r="AW420" s="7"/>
    </row>
    <row r="421" spans="1:49" ht="15.75" customHeight="1" thickBo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0"/>
      <c r="AO421" s="7"/>
      <c r="AP421" s="7"/>
      <c r="AQ421" s="7"/>
      <c r="AR421" s="7"/>
      <c r="AS421" s="7"/>
      <c r="AT421" s="7"/>
      <c r="AU421" s="7"/>
      <c r="AV421" s="7"/>
      <c r="AW421" s="7"/>
    </row>
    <row r="422" spans="1:49" ht="15.75" customHeight="1" thickBo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0"/>
      <c r="AO422" s="7"/>
      <c r="AP422" s="7"/>
      <c r="AQ422" s="7"/>
      <c r="AR422" s="7"/>
      <c r="AS422" s="7"/>
      <c r="AT422" s="7"/>
      <c r="AU422" s="7"/>
      <c r="AV422" s="7"/>
      <c r="AW422" s="7"/>
    </row>
    <row r="423" spans="1:49" ht="15.75" customHeight="1" thickBo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0"/>
      <c r="AO423" s="7"/>
      <c r="AP423" s="7"/>
      <c r="AQ423" s="7"/>
      <c r="AR423" s="7"/>
      <c r="AS423" s="7"/>
      <c r="AT423" s="7"/>
      <c r="AU423" s="7"/>
      <c r="AV423" s="7"/>
      <c r="AW423" s="7"/>
    </row>
    <row r="424" spans="1:49" ht="15.75" customHeight="1" thickBo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0"/>
      <c r="AO424" s="7"/>
      <c r="AP424" s="7"/>
      <c r="AQ424" s="7"/>
      <c r="AR424" s="7"/>
      <c r="AS424" s="7"/>
      <c r="AT424" s="7"/>
      <c r="AU424" s="7"/>
      <c r="AV424" s="7"/>
      <c r="AW424" s="7"/>
    </row>
    <row r="425" spans="1:49" ht="15.75" customHeight="1" thickBo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0"/>
      <c r="AO425" s="7"/>
      <c r="AP425" s="7"/>
      <c r="AQ425" s="7"/>
      <c r="AR425" s="7"/>
      <c r="AS425" s="7"/>
      <c r="AT425" s="7"/>
      <c r="AU425" s="7"/>
      <c r="AV425" s="7"/>
      <c r="AW425" s="7"/>
    </row>
    <row r="426" spans="1:49" ht="15.75" customHeight="1" thickBo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0"/>
      <c r="AO426" s="7"/>
      <c r="AP426" s="7"/>
      <c r="AQ426" s="7"/>
      <c r="AR426" s="7"/>
      <c r="AS426" s="7"/>
      <c r="AT426" s="7"/>
      <c r="AU426" s="7"/>
      <c r="AV426" s="7"/>
      <c r="AW426" s="7"/>
    </row>
    <row r="427" spans="1:49" ht="15.75" customHeight="1" thickBo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0"/>
      <c r="AO427" s="7"/>
      <c r="AP427" s="7"/>
      <c r="AQ427" s="7"/>
      <c r="AR427" s="7"/>
      <c r="AS427" s="7"/>
      <c r="AT427" s="7"/>
      <c r="AU427" s="7"/>
      <c r="AV427" s="7"/>
      <c r="AW427" s="7"/>
    </row>
    <row r="428" spans="1:49" ht="15.75" customHeight="1" thickBo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0"/>
      <c r="AO428" s="7"/>
      <c r="AP428" s="7"/>
      <c r="AQ428" s="7"/>
      <c r="AR428" s="7"/>
      <c r="AS428" s="7"/>
      <c r="AT428" s="7"/>
      <c r="AU428" s="7"/>
      <c r="AV428" s="7"/>
      <c r="AW428" s="7"/>
    </row>
    <row r="429" spans="1:49" ht="15.75" customHeight="1" thickBo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0"/>
      <c r="AO429" s="7"/>
      <c r="AP429" s="7"/>
      <c r="AQ429" s="7"/>
      <c r="AR429" s="7"/>
      <c r="AS429" s="7"/>
      <c r="AT429" s="7"/>
      <c r="AU429" s="7"/>
      <c r="AV429" s="7"/>
      <c r="AW429" s="7"/>
    </row>
    <row r="430" spans="1:49" ht="15.75" customHeight="1" thickBo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0"/>
      <c r="AO430" s="7"/>
      <c r="AP430" s="7"/>
      <c r="AQ430" s="7"/>
      <c r="AR430" s="7"/>
      <c r="AS430" s="7"/>
      <c r="AT430" s="7"/>
      <c r="AU430" s="7"/>
      <c r="AV430" s="7"/>
      <c r="AW430" s="7"/>
    </row>
    <row r="431" spans="1:49" ht="15.75" customHeight="1" thickBo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0"/>
      <c r="AO431" s="7"/>
      <c r="AP431" s="7"/>
      <c r="AQ431" s="7"/>
      <c r="AR431" s="7"/>
      <c r="AS431" s="7"/>
      <c r="AT431" s="7"/>
      <c r="AU431" s="7"/>
      <c r="AV431" s="7"/>
      <c r="AW431" s="7"/>
    </row>
    <row r="432" spans="1:49" ht="15.75" customHeight="1" thickBo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0"/>
      <c r="AO432" s="7"/>
      <c r="AP432" s="7"/>
      <c r="AQ432" s="7"/>
      <c r="AR432" s="7"/>
      <c r="AS432" s="7"/>
      <c r="AT432" s="7"/>
      <c r="AU432" s="7"/>
      <c r="AV432" s="7"/>
      <c r="AW432" s="7"/>
    </row>
    <row r="433" spans="1:49" ht="15.75" customHeight="1" thickBo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0"/>
      <c r="AO433" s="7"/>
      <c r="AP433" s="7"/>
      <c r="AQ433" s="7"/>
      <c r="AR433" s="7"/>
      <c r="AS433" s="7"/>
      <c r="AT433" s="7"/>
      <c r="AU433" s="7"/>
      <c r="AV433" s="7"/>
      <c r="AW433" s="7"/>
    </row>
    <row r="434" spans="1:49" ht="15.75" customHeight="1" thickBo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0"/>
      <c r="AO434" s="7"/>
      <c r="AP434" s="7"/>
      <c r="AQ434" s="7"/>
      <c r="AR434" s="7"/>
      <c r="AS434" s="7"/>
      <c r="AT434" s="7"/>
      <c r="AU434" s="7"/>
      <c r="AV434" s="7"/>
      <c r="AW434" s="7"/>
    </row>
    <row r="435" spans="1:49" ht="15.75" customHeight="1" thickBo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0"/>
      <c r="AO435" s="7"/>
      <c r="AP435" s="7"/>
      <c r="AQ435" s="7"/>
      <c r="AR435" s="7"/>
      <c r="AS435" s="7"/>
      <c r="AT435" s="7"/>
      <c r="AU435" s="7"/>
      <c r="AV435" s="7"/>
      <c r="AW435" s="7"/>
    </row>
    <row r="436" spans="1:49" ht="15.75" customHeight="1" thickBo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0"/>
      <c r="AO436" s="7"/>
      <c r="AP436" s="7"/>
      <c r="AQ436" s="7"/>
      <c r="AR436" s="7"/>
      <c r="AS436" s="7"/>
      <c r="AT436" s="7"/>
      <c r="AU436" s="7"/>
      <c r="AV436" s="7"/>
      <c r="AW436" s="7"/>
    </row>
    <row r="437" spans="1:49" ht="15.75" customHeight="1" thickBo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0"/>
      <c r="AO437" s="7"/>
      <c r="AP437" s="7"/>
      <c r="AQ437" s="7"/>
      <c r="AR437" s="7"/>
      <c r="AS437" s="7"/>
      <c r="AT437" s="7"/>
      <c r="AU437" s="7"/>
      <c r="AV437" s="7"/>
      <c r="AW437" s="7"/>
    </row>
    <row r="438" spans="1:49" ht="15.75" customHeight="1" thickBo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0"/>
      <c r="AO438" s="7"/>
      <c r="AP438" s="7"/>
      <c r="AQ438" s="7"/>
      <c r="AR438" s="7"/>
      <c r="AS438" s="7"/>
      <c r="AT438" s="7"/>
      <c r="AU438" s="7"/>
      <c r="AV438" s="7"/>
      <c r="AW438" s="7"/>
    </row>
    <row r="439" spans="1:49" ht="15.75" customHeight="1" thickBo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0"/>
      <c r="AO439" s="7"/>
      <c r="AP439" s="7"/>
      <c r="AQ439" s="7"/>
      <c r="AR439" s="7"/>
      <c r="AS439" s="7"/>
      <c r="AT439" s="7"/>
      <c r="AU439" s="7"/>
      <c r="AV439" s="7"/>
      <c r="AW439" s="7"/>
    </row>
    <row r="440" spans="1:49" ht="15.75" customHeight="1" thickBo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0"/>
      <c r="AO440" s="7"/>
      <c r="AP440" s="7"/>
      <c r="AQ440" s="7"/>
      <c r="AR440" s="7"/>
      <c r="AS440" s="7"/>
      <c r="AT440" s="7"/>
      <c r="AU440" s="7"/>
      <c r="AV440" s="7"/>
      <c r="AW440" s="7"/>
    </row>
    <row r="441" spans="1:49" ht="15.75" customHeight="1" thickBo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0"/>
      <c r="AO441" s="7"/>
      <c r="AP441" s="7"/>
      <c r="AQ441" s="7"/>
      <c r="AR441" s="7"/>
      <c r="AS441" s="7"/>
      <c r="AT441" s="7"/>
      <c r="AU441" s="7"/>
      <c r="AV441" s="7"/>
      <c r="AW441" s="7"/>
    </row>
    <row r="442" spans="1:49" ht="15.75" customHeight="1" thickBo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0"/>
      <c r="AO442" s="7"/>
      <c r="AP442" s="7"/>
      <c r="AQ442" s="7"/>
      <c r="AR442" s="7"/>
      <c r="AS442" s="7"/>
      <c r="AT442" s="7"/>
      <c r="AU442" s="7"/>
      <c r="AV442" s="7"/>
      <c r="AW442" s="7"/>
    </row>
    <row r="443" spans="1:49" ht="15.75" customHeight="1" thickBo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0"/>
      <c r="AO443" s="7"/>
      <c r="AP443" s="7"/>
      <c r="AQ443" s="7"/>
      <c r="AR443" s="7"/>
      <c r="AS443" s="7"/>
      <c r="AT443" s="7"/>
      <c r="AU443" s="7"/>
      <c r="AV443" s="7"/>
      <c r="AW443" s="7"/>
    </row>
    <row r="444" spans="1:49" ht="15.75" customHeight="1" thickBo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0"/>
      <c r="AO444" s="7"/>
      <c r="AP444" s="7"/>
      <c r="AQ444" s="7"/>
      <c r="AR444" s="7"/>
      <c r="AS444" s="7"/>
      <c r="AT444" s="7"/>
      <c r="AU444" s="7"/>
      <c r="AV444" s="7"/>
      <c r="AW444" s="7"/>
    </row>
    <row r="445" spans="1:49" ht="15.75" customHeight="1" thickBo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0"/>
      <c r="AO445" s="7"/>
      <c r="AP445" s="7"/>
      <c r="AQ445" s="7"/>
      <c r="AR445" s="7"/>
      <c r="AS445" s="7"/>
      <c r="AT445" s="7"/>
      <c r="AU445" s="7"/>
      <c r="AV445" s="7"/>
      <c r="AW445" s="7"/>
    </row>
    <row r="446" spans="1:49" ht="15.75" customHeight="1" thickBo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0"/>
      <c r="AO446" s="7"/>
      <c r="AP446" s="7"/>
      <c r="AQ446" s="7"/>
      <c r="AR446" s="7"/>
      <c r="AS446" s="7"/>
      <c r="AT446" s="7"/>
      <c r="AU446" s="7"/>
      <c r="AV446" s="7"/>
      <c r="AW446" s="7"/>
    </row>
    <row r="447" spans="1:49" ht="15.75" customHeight="1" thickBo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0"/>
      <c r="AO447" s="7"/>
      <c r="AP447" s="7"/>
      <c r="AQ447" s="7"/>
      <c r="AR447" s="7"/>
      <c r="AS447" s="7"/>
      <c r="AT447" s="7"/>
      <c r="AU447" s="7"/>
      <c r="AV447" s="7"/>
      <c r="AW447" s="7"/>
    </row>
    <row r="448" spans="1:49" ht="15.75" customHeight="1" thickBo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0"/>
      <c r="AO448" s="7"/>
      <c r="AP448" s="7"/>
      <c r="AQ448" s="7"/>
      <c r="AR448" s="7"/>
      <c r="AS448" s="7"/>
      <c r="AT448" s="7"/>
      <c r="AU448" s="7"/>
      <c r="AV448" s="7"/>
      <c r="AW448" s="7"/>
    </row>
    <row r="449" spans="1:49" ht="15.75" customHeight="1" thickBo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0"/>
      <c r="AO449" s="7"/>
      <c r="AP449" s="7"/>
      <c r="AQ449" s="7"/>
      <c r="AR449" s="7"/>
      <c r="AS449" s="7"/>
      <c r="AT449" s="7"/>
      <c r="AU449" s="7"/>
      <c r="AV449" s="7"/>
      <c r="AW449" s="7"/>
    </row>
    <row r="450" spans="1:49" ht="15.75" customHeight="1" thickBo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0"/>
      <c r="AO450" s="7"/>
      <c r="AP450" s="7"/>
      <c r="AQ450" s="7"/>
      <c r="AR450" s="7"/>
      <c r="AS450" s="7"/>
      <c r="AT450" s="7"/>
      <c r="AU450" s="7"/>
      <c r="AV450" s="7"/>
      <c r="AW450" s="7"/>
    </row>
    <row r="451" spans="1:49" ht="15.75" customHeight="1" thickBo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0"/>
      <c r="AO451" s="7"/>
      <c r="AP451" s="7"/>
      <c r="AQ451" s="7"/>
      <c r="AR451" s="7"/>
      <c r="AS451" s="7"/>
      <c r="AT451" s="7"/>
      <c r="AU451" s="7"/>
      <c r="AV451" s="7"/>
      <c r="AW451" s="7"/>
    </row>
    <row r="452" spans="1:49" ht="15.75" customHeight="1" thickBo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0"/>
      <c r="AO452" s="7"/>
      <c r="AP452" s="7"/>
      <c r="AQ452" s="7"/>
      <c r="AR452" s="7"/>
      <c r="AS452" s="7"/>
      <c r="AT452" s="7"/>
      <c r="AU452" s="7"/>
      <c r="AV452" s="7"/>
      <c r="AW452" s="7"/>
    </row>
    <row r="453" spans="1:49" ht="15.75" customHeight="1" thickBo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0"/>
      <c r="AO453" s="7"/>
      <c r="AP453" s="7"/>
      <c r="AQ453" s="7"/>
      <c r="AR453" s="7"/>
      <c r="AS453" s="7"/>
      <c r="AT453" s="7"/>
      <c r="AU453" s="7"/>
      <c r="AV453" s="7"/>
      <c r="AW453" s="7"/>
    </row>
    <row r="454" spans="1:49" ht="15.75" customHeight="1" thickBo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0"/>
      <c r="AO454" s="7"/>
      <c r="AP454" s="7"/>
      <c r="AQ454" s="7"/>
      <c r="AR454" s="7"/>
      <c r="AS454" s="7"/>
      <c r="AT454" s="7"/>
      <c r="AU454" s="7"/>
      <c r="AV454" s="7"/>
      <c r="AW454" s="7"/>
    </row>
    <row r="455" spans="1:49" ht="15.75" customHeight="1" thickBo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0"/>
      <c r="AO455" s="7"/>
      <c r="AP455" s="7"/>
      <c r="AQ455" s="7"/>
      <c r="AR455" s="7"/>
      <c r="AS455" s="7"/>
      <c r="AT455" s="7"/>
      <c r="AU455" s="7"/>
      <c r="AV455" s="7"/>
      <c r="AW455" s="7"/>
    </row>
    <row r="456" spans="1:49" ht="15.75" customHeight="1" thickBo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0"/>
      <c r="AO456" s="7"/>
      <c r="AP456" s="7"/>
      <c r="AQ456" s="7"/>
      <c r="AR456" s="7"/>
      <c r="AS456" s="7"/>
      <c r="AT456" s="7"/>
      <c r="AU456" s="7"/>
      <c r="AV456" s="7"/>
      <c r="AW456" s="7"/>
    </row>
    <row r="457" spans="1:49" ht="15.75" customHeight="1" thickBo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0"/>
      <c r="AO457" s="7"/>
      <c r="AP457" s="7"/>
      <c r="AQ457" s="7"/>
      <c r="AR457" s="7"/>
      <c r="AS457" s="7"/>
      <c r="AT457" s="7"/>
      <c r="AU457" s="7"/>
      <c r="AV457" s="7"/>
      <c r="AW457" s="7"/>
    </row>
    <row r="458" spans="1:49" ht="15.75" customHeight="1" thickBo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0"/>
      <c r="AO458" s="7"/>
      <c r="AP458" s="7"/>
      <c r="AQ458" s="7"/>
      <c r="AR458" s="7"/>
      <c r="AS458" s="7"/>
      <c r="AT458" s="7"/>
      <c r="AU458" s="7"/>
      <c r="AV458" s="7"/>
      <c r="AW458" s="7"/>
    </row>
    <row r="459" spans="1:49" ht="15.75" customHeight="1" thickBo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0"/>
      <c r="AO459" s="7"/>
      <c r="AP459" s="7"/>
      <c r="AQ459" s="7"/>
      <c r="AR459" s="7"/>
      <c r="AS459" s="7"/>
      <c r="AT459" s="7"/>
      <c r="AU459" s="7"/>
      <c r="AV459" s="7"/>
      <c r="AW459" s="7"/>
    </row>
    <row r="460" spans="1:49" ht="15.75" customHeight="1" thickBo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0"/>
      <c r="AO460" s="7"/>
      <c r="AP460" s="7"/>
      <c r="AQ460" s="7"/>
      <c r="AR460" s="7"/>
      <c r="AS460" s="7"/>
      <c r="AT460" s="7"/>
      <c r="AU460" s="7"/>
      <c r="AV460" s="7"/>
      <c r="AW460" s="7"/>
    </row>
    <row r="461" spans="1:49" ht="15.75" customHeight="1" thickBo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0"/>
      <c r="AO461" s="7"/>
      <c r="AP461" s="7"/>
      <c r="AQ461" s="7"/>
      <c r="AR461" s="7"/>
      <c r="AS461" s="7"/>
      <c r="AT461" s="7"/>
      <c r="AU461" s="7"/>
      <c r="AV461" s="7"/>
      <c r="AW461" s="7"/>
    </row>
    <row r="462" spans="1:49" ht="15.75" customHeight="1" thickBo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0"/>
      <c r="AO462" s="7"/>
      <c r="AP462" s="7"/>
      <c r="AQ462" s="7"/>
      <c r="AR462" s="7"/>
      <c r="AS462" s="7"/>
      <c r="AT462" s="7"/>
      <c r="AU462" s="7"/>
      <c r="AV462" s="7"/>
      <c r="AW462" s="7"/>
    </row>
    <row r="463" spans="1:49" ht="15.75" customHeight="1" thickBo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0"/>
      <c r="AO463" s="7"/>
      <c r="AP463" s="7"/>
      <c r="AQ463" s="7"/>
      <c r="AR463" s="7"/>
      <c r="AS463" s="7"/>
      <c r="AT463" s="7"/>
      <c r="AU463" s="7"/>
      <c r="AV463" s="7"/>
      <c r="AW463" s="7"/>
    </row>
    <row r="464" spans="1:49" ht="15.75" customHeight="1" thickBo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0"/>
      <c r="AO464" s="7"/>
      <c r="AP464" s="7"/>
      <c r="AQ464" s="7"/>
      <c r="AR464" s="7"/>
      <c r="AS464" s="7"/>
      <c r="AT464" s="7"/>
      <c r="AU464" s="7"/>
      <c r="AV464" s="7"/>
      <c r="AW464" s="7"/>
    </row>
    <row r="465" spans="1:49" ht="15.75" customHeight="1" thickBo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0"/>
      <c r="AO465" s="7"/>
      <c r="AP465" s="7"/>
      <c r="AQ465" s="7"/>
      <c r="AR465" s="7"/>
      <c r="AS465" s="7"/>
      <c r="AT465" s="7"/>
      <c r="AU465" s="7"/>
      <c r="AV465" s="7"/>
      <c r="AW465" s="7"/>
    </row>
    <row r="466" spans="1:49" ht="15.75" customHeight="1" thickBo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0"/>
      <c r="AO466" s="7"/>
      <c r="AP466" s="7"/>
      <c r="AQ466" s="7"/>
      <c r="AR466" s="7"/>
      <c r="AS466" s="7"/>
      <c r="AT466" s="7"/>
      <c r="AU466" s="7"/>
      <c r="AV466" s="7"/>
      <c r="AW466" s="7"/>
    </row>
    <row r="467" spans="1:49" ht="15.75" customHeight="1" thickBo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0"/>
      <c r="AO467" s="7"/>
      <c r="AP467" s="7"/>
      <c r="AQ467" s="7"/>
      <c r="AR467" s="7"/>
      <c r="AS467" s="7"/>
      <c r="AT467" s="7"/>
      <c r="AU467" s="7"/>
      <c r="AV467" s="7"/>
      <c r="AW467" s="7"/>
    </row>
    <row r="468" spans="1:49" ht="15.75" customHeight="1" thickBo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0"/>
      <c r="AO468" s="7"/>
      <c r="AP468" s="7"/>
      <c r="AQ468" s="7"/>
      <c r="AR468" s="7"/>
      <c r="AS468" s="7"/>
      <c r="AT468" s="7"/>
      <c r="AU468" s="7"/>
      <c r="AV468" s="7"/>
      <c r="AW468" s="7"/>
    </row>
    <row r="469" spans="1:49" ht="15.75" customHeight="1" thickBo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0"/>
      <c r="AO469" s="7"/>
      <c r="AP469" s="7"/>
      <c r="AQ469" s="7"/>
      <c r="AR469" s="7"/>
      <c r="AS469" s="7"/>
      <c r="AT469" s="7"/>
      <c r="AU469" s="7"/>
      <c r="AV469" s="7"/>
      <c r="AW469" s="7"/>
    </row>
    <row r="470" spans="1:49" ht="15.75" customHeight="1" thickBo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0"/>
      <c r="AO470" s="7"/>
      <c r="AP470" s="7"/>
      <c r="AQ470" s="7"/>
      <c r="AR470" s="7"/>
      <c r="AS470" s="7"/>
      <c r="AT470" s="7"/>
      <c r="AU470" s="7"/>
      <c r="AV470" s="7"/>
      <c r="AW470" s="7"/>
    </row>
    <row r="471" spans="1:49" ht="15.75" customHeight="1" thickBo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0"/>
      <c r="AO471" s="7"/>
      <c r="AP471" s="7"/>
      <c r="AQ471" s="7"/>
      <c r="AR471" s="7"/>
      <c r="AS471" s="7"/>
      <c r="AT471" s="7"/>
      <c r="AU471" s="7"/>
      <c r="AV471" s="7"/>
      <c r="AW471" s="7"/>
    </row>
    <row r="472" spans="1:49" ht="15.75" customHeight="1" thickBo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0"/>
      <c r="AO472" s="7"/>
      <c r="AP472" s="7"/>
      <c r="AQ472" s="7"/>
      <c r="AR472" s="7"/>
      <c r="AS472" s="7"/>
      <c r="AT472" s="7"/>
      <c r="AU472" s="7"/>
      <c r="AV472" s="7"/>
      <c r="AW472" s="7"/>
    </row>
    <row r="473" spans="1:49" ht="15.75" customHeight="1" thickBo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0"/>
      <c r="AO473" s="7"/>
      <c r="AP473" s="7"/>
      <c r="AQ473" s="7"/>
      <c r="AR473" s="7"/>
      <c r="AS473" s="7"/>
      <c r="AT473" s="7"/>
      <c r="AU473" s="7"/>
      <c r="AV473" s="7"/>
      <c r="AW473" s="7"/>
    </row>
    <row r="474" spans="1:49" ht="15.75" customHeight="1" thickBo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0"/>
      <c r="AO474" s="7"/>
      <c r="AP474" s="7"/>
      <c r="AQ474" s="7"/>
      <c r="AR474" s="7"/>
      <c r="AS474" s="7"/>
      <c r="AT474" s="7"/>
      <c r="AU474" s="7"/>
      <c r="AV474" s="7"/>
      <c r="AW474" s="7"/>
    </row>
    <row r="475" spans="1:49" ht="15.75" customHeight="1" thickBo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0"/>
      <c r="AO475" s="7"/>
      <c r="AP475" s="7"/>
      <c r="AQ475" s="7"/>
      <c r="AR475" s="7"/>
      <c r="AS475" s="7"/>
      <c r="AT475" s="7"/>
      <c r="AU475" s="7"/>
      <c r="AV475" s="7"/>
      <c r="AW475" s="7"/>
    </row>
    <row r="476" spans="1:49" ht="15.75" customHeight="1" thickBo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0"/>
      <c r="AO476" s="7"/>
      <c r="AP476" s="7"/>
      <c r="AQ476" s="7"/>
      <c r="AR476" s="7"/>
      <c r="AS476" s="7"/>
      <c r="AT476" s="7"/>
      <c r="AU476" s="7"/>
      <c r="AV476" s="7"/>
      <c r="AW476" s="7"/>
    </row>
    <row r="477" spans="1:49" ht="15.75" customHeight="1" thickBo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0"/>
      <c r="AO477" s="7"/>
      <c r="AP477" s="7"/>
      <c r="AQ477" s="7"/>
      <c r="AR477" s="7"/>
      <c r="AS477" s="7"/>
      <c r="AT477" s="7"/>
      <c r="AU477" s="7"/>
      <c r="AV477" s="7"/>
      <c r="AW477" s="7"/>
    </row>
    <row r="478" spans="1:49" ht="15.75" customHeight="1" thickBo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0"/>
      <c r="AO478" s="7"/>
      <c r="AP478" s="7"/>
      <c r="AQ478" s="7"/>
      <c r="AR478" s="7"/>
      <c r="AS478" s="7"/>
      <c r="AT478" s="7"/>
      <c r="AU478" s="7"/>
      <c r="AV478" s="7"/>
      <c r="AW478" s="7"/>
    </row>
    <row r="479" spans="1:49" ht="15.75" customHeight="1" thickBo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0"/>
      <c r="AO479" s="7"/>
      <c r="AP479" s="7"/>
      <c r="AQ479" s="7"/>
      <c r="AR479" s="7"/>
      <c r="AS479" s="7"/>
      <c r="AT479" s="7"/>
      <c r="AU479" s="7"/>
      <c r="AV479" s="7"/>
      <c r="AW479" s="7"/>
    </row>
    <row r="480" spans="1:49" ht="15.75" customHeight="1" thickBo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0"/>
      <c r="AO480" s="7"/>
      <c r="AP480" s="7"/>
      <c r="AQ480" s="7"/>
      <c r="AR480" s="7"/>
      <c r="AS480" s="7"/>
      <c r="AT480" s="7"/>
      <c r="AU480" s="7"/>
      <c r="AV480" s="7"/>
      <c r="AW480" s="7"/>
    </row>
    <row r="481" spans="1:49" ht="15.75" customHeight="1" thickBo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0"/>
      <c r="AO481" s="7"/>
      <c r="AP481" s="7"/>
      <c r="AQ481" s="7"/>
      <c r="AR481" s="7"/>
      <c r="AS481" s="7"/>
      <c r="AT481" s="7"/>
      <c r="AU481" s="7"/>
      <c r="AV481" s="7"/>
      <c r="AW481" s="7"/>
    </row>
    <row r="482" spans="1:49" ht="15.75" customHeight="1" thickBo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0"/>
      <c r="AO482" s="7"/>
      <c r="AP482" s="7"/>
      <c r="AQ482" s="7"/>
      <c r="AR482" s="7"/>
      <c r="AS482" s="7"/>
      <c r="AT482" s="7"/>
      <c r="AU482" s="7"/>
      <c r="AV482" s="7"/>
      <c r="AW482" s="7"/>
    </row>
    <row r="483" spans="1:49" ht="15.75" customHeight="1" thickBo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0"/>
      <c r="AO483" s="7"/>
      <c r="AP483" s="7"/>
      <c r="AQ483" s="7"/>
      <c r="AR483" s="7"/>
      <c r="AS483" s="7"/>
      <c r="AT483" s="7"/>
      <c r="AU483" s="7"/>
      <c r="AV483" s="7"/>
      <c r="AW483" s="7"/>
    </row>
    <row r="484" spans="1:49" ht="15.75" customHeight="1" thickBo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0"/>
      <c r="AO484" s="7"/>
      <c r="AP484" s="7"/>
      <c r="AQ484" s="7"/>
      <c r="AR484" s="7"/>
      <c r="AS484" s="7"/>
      <c r="AT484" s="7"/>
      <c r="AU484" s="7"/>
      <c r="AV484" s="7"/>
      <c r="AW484" s="7"/>
    </row>
    <row r="485" spans="1:49" ht="15.75" customHeight="1" thickBo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0"/>
      <c r="AO485" s="7"/>
      <c r="AP485" s="7"/>
      <c r="AQ485" s="7"/>
      <c r="AR485" s="7"/>
      <c r="AS485" s="7"/>
      <c r="AT485" s="7"/>
      <c r="AU485" s="7"/>
      <c r="AV485" s="7"/>
      <c r="AW485" s="7"/>
    </row>
    <row r="486" spans="1:49" ht="15.75" customHeight="1" thickBo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0"/>
      <c r="AO486" s="7"/>
      <c r="AP486" s="7"/>
      <c r="AQ486" s="7"/>
      <c r="AR486" s="7"/>
      <c r="AS486" s="7"/>
      <c r="AT486" s="7"/>
      <c r="AU486" s="7"/>
      <c r="AV486" s="7"/>
      <c r="AW486" s="7"/>
    </row>
    <row r="487" spans="1:49" ht="15.75" customHeight="1" thickBo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0"/>
      <c r="AO487" s="7"/>
      <c r="AP487" s="7"/>
      <c r="AQ487" s="7"/>
      <c r="AR487" s="7"/>
      <c r="AS487" s="7"/>
      <c r="AT487" s="7"/>
      <c r="AU487" s="7"/>
      <c r="AV487" s="7"/>
      <c r="AW487" s="7"/>
    </row>
    <row r="488" spans="1:49" ht="15.75" customHeight="1" thickBo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0"/>
      <c r="AO488" s="7"/>
      <c r="AP488" s="7"/>
      <c r="AQ488" s="7"/>
      <c r="AR488" s="7"/>
      <c r="AS488" s="7"/>
      <c r="AT488" s="7"/>
      <c r="AU488" s="7"/>
      <c r="AV488" s="7"/>
      <c r="AW488" s="7"/>
    </row>
    <row r="489" spans="1:49" ht="15.75" customHeight="1" thickBo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0"/>
      <c r="AO489" s="7"/>
      <c r="AP489" s="7"/>
      <c r="AQ489" s="7"/>
      <c r="AR489" s="7"/>
      <c r="AS489" s="7"/>
      <c r="AT489" s="7"/>
      <c r="AU489" s="7"/>
      <c r="AV489" s="7"/>
      <c r="AW489" s="7"/>
    </row>
    <row r="490" spans="1:49" ht="15.75" customHeight="1" thickBo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0"/>
      <c r="AO490" s="7"/>
      <c r="AP490" s="7"/>
      <c r="AQ490" s="7"/>
      <c r="AR490" s="7"/>
      <c r="AS490" s="7"/>
      <c r="AT490" s="7"/>
      <c r="AU490" s="7"/>
      <c r="AV490" s="7"/>
      <c r="AW490" s="7"/>
    </row>
    <row r="491" spans="1:49" ht="15.75" customHeight="1" thickBo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0"/>
      <c r="AO491" s="7"/>
      <c r="AP491" s="7"/>
      <c r="AQ491" s="7"/>
      <c r="AR491" s="7"/>
      <c r="AS491" s="7"/>
      <c r="AT491" s="7"/>
      <c r="AU491" s="7"/>
      <c r="AV491" s="7"/>
      <c r="AW491" s="7"/>
    </row>
    <row r="492" spans="1:49" ht="15.75" customHeight="1" thickBo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0"/>
      <c r="AO492" s="7"/>
      <c r="AP492" s="7"/>
      <c r="AQ492" s="7"/>
      <c r="AR492" s="7"/>
      <c r="AS492" s="7"/>
      <c r="AT492" s="7"/>
      <c r="AU492" s="7"/>
      <c r="AV492" s="7"/>
      <c r="AW492" s="7"/>
    </row>
    <row r="493" spans="1:49" ht="15.75" customHeight="1" thickBo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0"/>
      <c r="AO493" s="7"/>
      <c r="AP493" s="7"/>
      <c r="AQ493" s="7"/>
      <c r="AR493" s="7"/>
      <c r="AS493" s="7"/>
      <c r="AT493" s="7"/>
      <c r="AU493" s="7"/>
      <c r="AV493" s="7"/>
      <c r="AW493" s="7"/>
    </row>
    <row r="494" spans="1:49" ht="15.75" customHeight="1" thickBo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0"/>
      <c r="AO494" s="7"/>
      <c r="AP494" s="7"/>
      <c r="AQ494" s="7"/>
      <c r="AR494" s="7"/>
      <c r="AS494" s="7"/>
      <c r="AT494" s="7"/>
      <c r="AU494" s="7"/>
      <c r="AV494" s="7"/>
      <c r="AW494" s="7"/>
    </row>
    <row r="495" spans="1:49" ht="15.75" customHeight="1" thickBo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0"/>
      <c r="AO495" s="7"/>
      <c r="AP495" s="7"/>
      <c r="AQ495" s="7"/>
      <c r="AR495" s="7"/>
      <c r="AS495" s="7"/>
      <c r="AT495" s="7"/>
      <c r="AU495" s="7"/>
      <c r="AV495" s="7"/>
      <c r="AW495" s="7"/>
    </row>
    <row r="496" spans="1:49" ht="15.75" customHeight="1" thickBo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0"/>
      <c r="AO496" s="7"/>
      <c r="AP496" s="7"/>
      <c r="AQ496" s="7"/>
      <c r="AR496" s="7"/>
      <c r="AS496" s="7"/>
      <c r="AT496" s="7"/>
      <c r="AU496" s="7"/>
      <c r="AV496" s="7"/>
      <c r="AW496" s="7"/>
    </row>
    <row r="497" spans="1:49" ht="15.75" customHeight="1" thickBo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0"/>
      <c r="AO497" s="7"/>
      <c r="AP497" s="7"/>
      <c r="AQ497" s="7"/>
      <c r="AR497" s="7"/>
      <c r="AS497" s="7"/>
      <c r="AT497" s="7"/>
      <c r="AU497" s="7"/>
      <c r="AV497" s="7"/>
      <c r="AW497" s="7"/>
    </row>
    <row r="498" spans="1:49" ht="15.75" customHeight="1" thickBo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0"/>
      <c r="AO498" s="7"/>
      <c r="AP498" s="7"/>
      <c r="AQ498" s="7"/>
      <c r="AR498" s="7"/>
      <c r="AS498" s="7"/>
      <c r="AT498" s="7"/>
      <c r="AU498" s="7"/>
      <c r="AV498" s="7"/>
      <c r="AW498" s="7"/>
    </row>
    <row r="499" spans="1:49" ht="15.75" customHeight="1" thickBo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0"/>
      <c r="AO499" s="7"/>
      <c r="AP499" s="7"/>
      <c r="AQ499" s="7"/>
      <c r="AR499" s="7"/>
      <c r="AS499" s="7"/>
      <c r="AT499" s="7"/>
      <c r="AU499" s="7"/>
      <c r="AV499" s="7"/>
      <c r="AW499" s="7"/>
    </row>
    <row r="500" spans="1:49" ht="15.75" customHeight="1" thickBo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0"/>
      <c r="AO500" s="7"/>
      <c r="AP500" s="7"/>
      <c r="AQ500" s="7"/>
      <c r="AR500" s="7"/>
      <c r="AS500" s="7"/>
      <c r="AT500" s="7"/>
      <c r="AU500" s="7"/>
      <c r="AV500" s="7"/>
      <c r="AW500" s="7"/>
    </row>
    <row r="501" spans="1:49" ht="15.75" customHeight="1" thickBo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0"/>
      <c r="AO501" s="7"/>
      <c r="AP501" s="7"/>
      <c r="AQ501" s="7"/>
      <c r="AR501" s="7"/>
      <c r="AS501" s="7"/>
      <c r="AT501" s="7"/>
      <c r="AU501" s="7"/>
      <c r="AV501" s="7"/>
      <c r="AW501" s="7"/>
    </row>
    <row r="502" spans="1:49" ht="15.75" customHeight="1" thickBo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0"/>
      <c r="AO502" s="7"/>
      <c r="AP502" s="7"/>
      <c r="AQ502" s="7"/>
      <c r="AR502" s="7"/>
      <c r="AS502" s="7"/>
      <c r="AT502" s="7"/>
      <c r="AU502" s="7"/>
      <c r="AV502" s="7"/>
      <c r="AW502" s="7"/>
    </row>
    <row r="503" spans="1:49" ht="15.75" customHeight="1" thickBo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0"/>
      <c r="AO503" s="7"/>
      <c r="AP503" s="7"/>
      <c r="AQ503" s="7"/>
      <c r="AR503" s="7"/>
      <c r="AS503" s="7"/>
      <c r="AT503" s="7"/>
      <c r="AU503" s="7"/>
      <c r="AV503" s="7"/>
      <c r="AW503" s="7"/>
    </row>
    <row r="504" spans="1:49" ht="15.75" customHeight="1" thickBo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0"/>
      <c r="AO504" s="7"/>
      <c r="AP504" s="7"/>
      <c r="AQ504" s="7"/>
      <c r="AR504" s="7"/>
      <c r="AS504" s="7"/>
      <c r="AT504" s="7"/>
      <c r="AU504" s="7"/>
      <c r="AV504" s="7"/>
      <c r="AW504" s="7"/>
    </row>
    <row r="505" spans="1:49" ht="15.75" customHeight="1" thickBo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0"/>
      <c r="AO505" s="7"/>
      <c r="AP505" s="7"/>
      <c r="AQ505" s="7"/>
      <c r="AR505" s="7"/>
      <c r="AS505" s="7"/>
      <c r="AT505" s="7"/>
      <c r="AU505" s="7"/>
      <c r="AV505" s="7"/>
      <c r="AW505" s="7"/>
    </row>
    <row r="506" spans="1:49" ht="15.75" customHeight="1" thickBo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0"/>
      <c r="AO506" s="7"/>
      <c r="AP506" s="7"/>
      <c r="AQ506" s="7"/>
      <c r="AR506" s="7"/>
      <c r="AS506" s="7"/>
      <c r="AT506" s="7"/>
      <c r="AU506" s="7"/>
      <c r="AV506" s="7"/>
      <c r="AW506" s="7"/>
    </row>
    <row r="507" spans="1:49" ht="15.75" customHeight="1" thickBo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0"/>
      <c r="AO507" s="7"/>
      <c r="AP507" s="7"/>
      <c r="AQ507" s="7"/>
      <c r="AR507" s="7"/>
      <c r="AS507" s="7"/>
      <c r="AT507" s="7"/>
      <c r="AU507" s="7"/>
      <c r="AV507" s="7"/>
      <c r="AW507" s="7"/>
    </row>
    <row r="508" spans="1:49" ht="15.75" customHeight="1" thickBo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0"/>
      <c r="AO508" s="7"/>
      <c r="AP508" s="7"/>
      <c r="AQ508" s="7"/>
      <c r="AR508" s="7"/>
      <c r="AS508" s="7"/>
      <c r="AT508" s="7"/>
      <c r="AU508" s="7"/>
      <c r="AV508" s="7"/>
      <c r="AW508" s="7"/>
    </row>
    <row r="509" spans="1:49" ht="15.75" customHeight="1" thickBo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0"/>
      <c r="AO509" s="7"/>
      <c r="AP509" s="7"/>
      <c r="AQ509" s="7"/>
      <c r="AR509" s="7"/>
      <c r="AS509" s="7"/>
      <c r="AT509" s="7"/>
      <c r="AU509" s="7"/>
      <c r="AV509" s="7"/>
      <c r="AW509" s="7"/>
    </row>
    <row r="510" spans="1:49" ht="15.75" customHeight="1" thickBo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0"/>
      <c r="AO510" s="7"/>
      <c r="AP510" s="7"/>
      <c r="AQ510" s="7"/>
      <c r="AR510" s="7"/>
      <c r="AS510" s="7"/>
      <c r="AT510" s="7"/>
      <c r="AU510" s="7"/>
      <c r="AV510" s="7"/>
      <c r="AW510" s="7"/>
    </row>
    <row r="511" spans="1:49" ht="15.75" customHeight="1" thickBo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0"/>
      <c r="AO511" s="7"/>
      <c r="AP511" s="7"/>
      <c r="AQ511" s="7"/>
      <c r="AR511" s="7"/>
      <c r="AS511" s="7"/>
      <c r="AT511" s="7"/>
      <c r="AU511" s="7"/>
      <c r="AV511" s="7"/>
      <c r="AW511" s="7"/>
    </row>
    <row r="512" spans="1:49" ht="15.75" customHeight="1" thickBo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0"/>
      <c r="AO512" s="7"/>
      <c r="AP512" s="7"/>
      <c r="AQ512" s="7"/>
      <c r="AR512" s="7"/>
      <c r="AS512" s="7"/>
      <c r="AT512" s="7"/>
      <c r="AU512" s="7"/>
      <c r="AV512" s="7"/>
      <c r="AW512" s="7"/>
    </row>
    <row r="513" spans="1:49" ht="15.75" customHeight="1" thickBo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0"/>
      <c r="AO513" s="7"/>
      <c r="AP513" s="7"/>
      <c r="AQ513" s="7"/>
      <c r="AR513" s="7"/>
      <c r="AS513" s="7"/>
      <c r="AT513" s="7"/>
      <c r="AU513" s="7"/>
      <c r="AV513" s="7"/>
      <c r="AW513" s="7"/>
    </row>
    <row r="514" spans="1:49" ht="15.75" customHeight="1" thickBo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0"/>
      <c r="AO514" s="7"/>
      <c r="AP514" s="7"/>
      <c r="AQ514" s="7"/>
      <c r="AR514" s="7"/>
      <c r="AS514" s="7"/>
      <c r="AT514" s="7"/>
      <c r="AU514" s="7"/>
      <c r="AV514" s="7"/>
      <c r="AW514" s="7"/>
    </row>
    <row r="515" spans="1:49" ht="15.75" customHeight="1" thickBo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0"/>
      <c r="AO515" s="7"/>
      <c r="AP515" s="7"/>
      <c r="AQ515" s="7"/>
      <c r="AR515" s="7"/>
      <c r="AS515" s="7"/>
      <c r="AT515" s="7"/>
      <c r="AU515" s="7"/>
      <c r="AV515" s="7"/>
      <c r="AW515" s="7"/>
    </row>
    <row r="516" spans="1:49" ht="15.75" customHeight="1" thickBo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0"/>
      <c r="AO516" s="7"/>
      <c r="AP516" s="7"/>
      <c r="AQ516" s="7"/>
      <c r="AR516" s="7"/>
      <c r="AS516" s="7"/>
      <c r="AT516" s="7"/>
      <c r="AU516" s="7"/>
      <c r="AV516" s="7"/>
      <c r="AW516" s="7"/>
    </row>
    <row r="517" spans="1:49" ht="15.75" customHeight="1" thickBo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0"/>
      <c r="AO517" s="7"/>
      <c r="AP517" s="7"/>
      <c r="AQ517" s="7"/>
      <c r="AR517" s="7"/>
      <c r="AS517" s="7"/>
      <c r="AT517" s="7"/>
      <c r="AU517" s="7"/>
      <c r="AV517" s="7"/>
      <c r="AW517" s="7"/>
    </row>
    <row r="518" spans="1:49" ht="15.75" customHeight="1" thickBo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0"/>
      <c r="AO518" s="7"/>
      <c r="AP518" s="7"/>
      <c r="AQ518" s="7"/>
      <c r="AR518" s="7"/>
      <c r="AS518" s="7"/>
      <c r="AT518" s="7"/>
      <c r="AU518" s="7"/>
      <c r="AV518" s="7"/>
      <c r="AW518" s="7"/>
    </row>
    <row r="519" spans="1:49" ht="15.75" customHeight="1" thickBo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0"/>
      <c r="AO519" s="7"/>
      <c r="AP519" s="7"/>
      <c r="AQ519" s="7"/>
      <c r="AR519" s="7"/>
      <c r="AS519" s="7"/>
      <c r="AT519" s="7"/>
      <c r="AU519" s="7"/>
      <c r="AV519" s="7"/>
      <c r="AW519" s="7"/>
    </row>
    <row r="520" spans="1:49" ht="15.75" customHeight="1" thickBo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0"/>
      <c r="AO520" s="7"/>
      <c r="AP520" s="7"/>
      <c r="AQ520" s="7"/>
      <c r="AR520" s="7"/>
      <c r="AS520" s="7"/>
      <c r="AT520" s="7"/>
      <c r="AU520" s="7"/>
      <c r="AV520" s="7"/>
      <c r="AW520" s="7"/>
    </row>
    <row r="521" spans="1:49" ht="15.75" customHeight="1" thickBo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0"/>
      <c r="AO521" s="7"/>
      <c r="AP521" s="7"/>
      <c r="AQ521" s="7"/>
      <c r="AR521" s="7"/>
      <c r="AS521" s="7"/>
      <c r="AT521" s="7"/>
      <c r="AU521" s="7"/>
      <c r="AV521" s="7"/>
      <c r="AW521" s="7"/>
    </row>
    <row r="522" spans="1:49" ht="15.75" customHeight="1" thickBo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0"/>
      <c r="AO522" s="7"/>
      <c r="AP522" s="7"/>
      <c r="AQ522" s="7"/>
      <c r="AR522" s="7"/>
      <c r="AS522" s="7"/>
      <c r="AT522" s="7"/>
      <c r="AU522" s="7"/>
      <c r="AV522" s="7"/>
      <c r="AW522" s="7"/>
    </row>
    <row r="523" spans="1:49" ht="15.75" customHeight="1" thickBo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0"/>
      <c r="AO523" s="7"/>
      <c r="AP523" s="7"/>
      <c r="AQ523" s="7"/>
      <c r="AR523" s="7"/>
      <c r="AS523" s="7"/>
      <c r="AT523" s="7"/>
      <c r="AU523" s="7"/>
      <c r="AV523" s="7"/>
      <c r="AW523" s="7"/>
    </row>
    <row r="524" spans="1:49" ht="15.75" customHeight="1" thickBo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0"/>
      <c r="AO524" s="7"/>
      <c r="AP524" s="7"/>
      <c r="AQ524" s="7"/>
      <c r="AR524" s="7"/>
      <c r="AS524" s="7"/>
      <c r="AT524" s="7"/>
      <c r="AU524" s="7"/>
      <c r="AV524" s="7"/>
      <c r="AW524" s="7"/>
    </row>
    <row r="525" spans="1:49" ht="15.75" customHeight="1" thickBo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0"/>
      <c r="AO525" s="7"/>
      <c r="AP525" s="7"/>
      <c r="AQ525" s="7"/>
      <c r="AR525" s="7"/>
      <c r="AS525" s="7"/>
      <c r="AT525" s="7"/>
      <c r="AU525" s="7"/>
      <c r="AV525" s="7"/>
      <c r="AW525" s="7"/>
    </row>
    <row r="526" spans="1:49" ht="15.75" customHeight="1" thickBo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0"/>
      <c r="AO526" s="7"/>
      <c r="AP526" s="7"/>
      <c r="AQ526" s="7"/>
      <c r="AR526" s="7"/>
      <c r="AS526" s="7"/>
      <c r="AT526" s="7"/>
      <c r="AU526" s="7"/>
      <c r="AV526" s="7"/>
      <c r="AW526" s="7"/>
    </row>
    <row r="527" spans="1:49" ht="15.75" customHeight="1" thickBo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0"/>
      <c r="AO527" s="7"/>
      <c r="AP527" s="7"/>
      <c r="AQ527" s="7"/>
      <c r="AR527" s="7"/>
      <c r="AS527" s="7"/>
      <c r="AT527" s="7"/>
      <c r="AU527" s="7"/>
      <c r="AV527" s="7"/>
      <c r="AW527" s="7"/>
    </row>
    <row r="528" spans="1:49" ht="15.75" customHeight="1" thickBo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0"/>
      <c r="AO528" s="7"/>
      <c r="AP528" s="7"/>
      <c r="AQ528" s="7"/>
      <c r="AR528" s="7"/>
      <c r="AS528" s="7"/>
      <c r="AT528" s="7"/>
      <c r="AU528" s="7"/>
      <c r="AV528" s="7"/>
      <c r="AW528" s="7"/>
    </row>
    <row r="529" spans="1:49" ht="15.75" customHeight="1" thickBo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0"/>
      <c r="AO529" s="7"/>
      <c r="AP529" s="7"/>
      <c r="AQ529" s="7"/>
      <c r="AR529" s="7"/>
      <c r="AS529" s="7"/>
      <c r="AT529" s="7"/>
      <c r="AU529" s="7"/>
      <c r="AV529" s="7"/>
      <c r="AW529" s="7"/>
    </row>
    <row r="530" spans="1:49" ht="15.75" customHeight="1" thickBo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0"/>
      <c r="AO530" s="7"/>
      <c r="AP530" s="7"/>
      <c r="AQ530" s="7"/>
      <c r="AR530" s="7"/>
      <c r="AS530" s="7"/>
      <c r="AT530" s="7"/>
      <c r="AU530" s="7"/>
      <c r="AV530" s="7"/>
      <c r="AW530" s="7"/>
    </row>
    <row r="531" spans="1:49" ht="15.75" customHeight="1" thickBo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0"/>
      <c r="AO531" s="7"/>
      <c r="AP531" s="7"/>
      <c r="AQ531" s="7"/>
      <c r="AR531" s="7"/>
      <c r="AS531" s="7"/>
      <c r="AT531" s="7"/>
      <c r="AU531" s="7"/>
      <c r="AV531" s="7"/>
      <c r="AW531" s="7"/>
    </row>
    <row r="532" spans="1:49" ht="15.75" customHeight="1" thickBo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0"/>
      <c r="AO532" s="7"/>
      <c r="AP532" s="7"/>
      <c r="AQ532" s="7"/>
      <c r="AR532" s="7"/>
      <c r="AS532" s="7"/>
      <c r="AT532" s="7"/>
      <c r="AU532" s="7"/>
      <c r="AV532" s="7"/>
      <c r="AW532" s="7"/>
    </row>
    <row r="533" spans="1:49" ht="15.75" customHeight="1" thickBo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0"/>
      <c r="AO533" s="7"/>
      <c r="AP533" s="7"/>
      <c r="AQ533" s="7"/>
      <c r="AR533" s="7"/>
      <c r="AS533" s="7"/>
      <c r="AT533" s="7"/>
      <c r="AU533" s="7"/>
      <c r="AV533" s="7"/>
      <c r="AW533" s="7"/>
    </row>
    <row r="534" spans="1:49" ht="15.75" customHeight="1" thickBo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0"/>
      <c r="AO534" s="7"/>
      <c r="AP534" s="7"/>
      <c r="AQ534" s="7"/>
      <c r="AR534" s="7"/>
      <c r="AS534" s="7"/>
      <c r="AT534" s="7"/>
      <c r="AU534" s="7"/>
      <c r="AV534" s="7"/>
      <c r="AW534" s="7"/>
    </row>
    <row r="535" spans="1:49" ht="15.75" customHeight="1" thickBo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0"/>
      <c r="AO535" s="7"/>
      <c r="AP535" s="7"/>
      <c r="AQ535" s="7"/>
      <c r="AR535" s="7"/>
      <c r="AS535" s="7"/>
      <c r="AT535" s="7"/>
      <c r="AU535" s="7"/>
      <c r="AV535" s="7"/>
      <c r="AW535" s="7"/>
    </row>
    <row r="536" spans="1:49" ht="15.75" customHeight="1" thickBo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0"/>
      <c r="AO536" s="7"/>
      <c r="AP536" s="7"/>
      <c r="AQ536" s="7"/>
      <c r="AR536" s="7"/>
      <c r="AS536" s="7"/>
      <c r="AT536" s="7"/>
      <c r="AU536" s="7"/>
      <c r="AV536" s="7"/>
      <c r="AW536" s="7"/>
    </row>
    <row r="537" spans="1:49" ht="15.75" customHeight="1" thickBo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0"/>
      <c r="AO537" s="7"/>
      <c r="AP537" s="7"/>
      <c r="AQ537" s="7"/>
      <c r="AR537" s="7"/>
      <c r="AS537" s="7"/>
      <c r="AT537" s="7"/>
      <c r="AU537" s="7"/>
      <c r="AV537" s="7"/>
      <c r="AW537" s="7"/>
    </row>
    <row r="538" spans="1:49" ht="15.75" customHeight="1" thickBo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0"/>
      <c r="AO538" s="7"/>
      <c r="AP538" s="7"/>
      <c r="AQ538" s="7"/>
      <c r="AR538" s="7"/>
      <c r="AS538" s="7"/>
      <c r="AT538" s="7"/>
      <c r="AU538" s="7"/>
      <c r="AV538" s="7"/>
      <c r="AW538" s="7"/>
    </row>
    <row r="539" spans="1:49" ht="15.75" customHeight="1" thickBo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0"/>
      <c r="AO539" s="7"/>
      <c r="AP539" s="7"/>
      <c r="AQ539" s="7"/>
      <c r="AR539" s="7"/>
      <c r="AS539" s="7"/>
      <c r="AT539" s="7"/>
      <c r="AU539" s="7"/>
      <c r="AV539" s="7"/>
      <c r="AW539" s="7"/>
    </row>
    <row r="540" spans="1:49" ht="15.75" customHeight="1" thickBo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0"/>
      <c r="AO540" s="7"/>
      <c r="AP540" s="7"/>
      <c r="AQ540" s="7"/>
      <c r="AR540" s="7"/>
      <c r="AS540" s="7"/>
      <c r="AT540" s="7"/>
      <c r="AU540" s="7"/>
      <c r="AV540" s="7"/>
      <c r="AW540" s="7"/>
    </row>
    <row r="541" spans="1:49" ht="15.75" customHeight="1" thickBo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0"/>
      <c r="AO541" s="7"/>
      <c r="AP541" s="7"/>
      <c r="AQ541" s="7"/>
      <c r="AR541" s="7"/>
      <c r="AS541" s="7"/>
      <c r="AT541" s="7"/>
      <c r="AU541" s="7"/>
      <c r="AV541" s="7"/>
      <c r="AW541" s="7"/>
    </row>
    <row r="542" spans="1:49" ht="15.75" customHeight="1" thickBo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0"/>
      <c r="AO542" s="7"/>
      <c r="AP542" s="7"/>
      <c r="AQ542" s="7"/>
      <c r="AR542" s="7"/>
      <c r="AS542" s="7"/>
      <c r="AT542" s="7"/>
      <c r="AU542" s="7"/>
      <c r="AV542" s="7"/>
      <c r="AW542" s="7"/>
    </row>
    <row r="543" spans="1:49" ht="15.75" customHeight="1" thickBo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0"/>
      <c r="AO543" s="7"/>
      <c r="AP543" s="7"/>
      <c r="AQ543" s="7"/>
      <c r="AR543" s="7"/>
      <c r="AS543" s="7"/>
      <c r="AT543" s="7"/>
      <c r="AU543" s="7"/>
      <c r="AV543" s="7"/>
      <c r="AW543" s="7"/>
    </row>
    <row r="544" spans="1:49" ht="15.75" customHeight="1" thickBo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0"/>
      <c r="AO544" s="7"/>
      <c r="AP544" s="7"/>
      <c r="AQ544" s="7"/>
      <c r="AR544" s="7"/>
      <c r="AS544" s="7"/>
      <c r="AT544" s="7"/>
      <c r="AU544" s="7"/>
      <c r="AV544" s="7"/>
      <c r="AW544" s="7"/>
    </row>
    <row r="545" spans="1:49" ht="15.75" customHeight="1" thickBo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0"/>
      <c r="AO545" s="7"/>
      <c r="AP545" s="7"/>
      <c r="AQ545" s="7"/>
      <c r="AR545" s="7"/>
      <c r="AS545" s="7"/>
      <c r="AT545" s="7"/>
      <c r="AU545" s="7"/>
      <c r="AV545" s="7"/>
      <c r="AW545" s="7"/>
    </row>
    <row r="546" spans="1:49" ht="15.75" customHeight="1" thickBo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0"/>
      <c r="AO546" s="7"/>
      <c r="AP546" s="7"/>
      <c r="AQ546" s="7"/>
      <c r="AR546" s="7"/>
      <c r="AS546" s="7"/>
      <c r="AT546" s="7"/>
      <c r="AU546" s="7"/>
      <c r="AV546" s="7"/>
      <c r="AW546" s="7"/>
    </row>
    <row r="547" spans="1:49" ht="15.75" customHeight="1" thickBo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0"/>
      <c r="AO547" s="7"/>
      <c r="AP547" s="7"/>
      <c r="AQ547" s="7"/>
      <c r="AR547" s="7"/>
      <c r="AS547" s="7"/>
      <c r="AT547" s="7"/>
      <c r="AU547" s="7"/>
      <c r="AV547" s="7"/>
      <c r="AW547" s="7"/>
    </row>
    <row r="548" spans="1:49" ht="15.75" customHeight="1" thickBo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0"/>
      <c r="AO548" s="7"/>
      <c r="AP548" s="7"/>
      <c r="AQ548" s="7"/>
      <c r="AR548" s="7"/>
      <c r="AS548" s="7"/>
      <c r="AT548" s="7"/>
      <c r="AU548" s="7"/>
      <c r="AV548" s="7"/>
      <c r="AW548" s="7"/>
    </row>
    <row r="549" spans="1:49" ht="15.75" customHeight="1" thickBo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0"/>
      <c r="AO549" s="7"/>
      <c r="AP549" s="7"/>
      <c r="AQ549" s="7"/>
      <c r="AR549" s="7"/>
      <c r="AS549" s="7"/>
      <c r="AT549" s="7"/>
      <c r="AU549" s="7"/>
      <c r="AV549" s="7"/>
      <c r="AW549" s="7"/>
    </row>
    <row r="550" spans="1:49" ht="15.75" customHeight="1" thickBo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0"/>
      <c r="AO550" s="7"/>
      <c r="AP550" s="7"/>
      <c r="AQ550" s="7"/>
      <c r="AR550" s="7"/>
      <c r="AS550" s="7"/>
      <c r="AT550" s="7"/>
      <c r="AU550" s="7"/>
      <c r="AV550" s="7"/>
      <c r="AW550" s="7"/>
    </row>
    <row r="551" spans="1:49" ht="15.75" customHeight="1" thickBo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0"/>
      <c r="AO551" s="7"/>
      <c r="AP551" s="7"/>
      <c r="AQ551" s="7"/>
      <c r="AR551" s="7"/>
      <c r="AS551" s="7"/>
      <c r="AT551" s="7"/>
      <c r="AU551" s="7"/>
      <c r="AV551" s="7"/>
      <c r="AW551" s="7"/>
    </row>
    <row r="552" spans="1:49" ht="15.75" customHeight="1" thickBo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0"/>
      <c r="AO552" s="7"/>
      <c r="AP552" s="7"/>
      <c r="AQ552" s="7"/>
      <c r="AR552" s="7"/>
      <c r="AS552" s="7"/>
      <c r="AT552" s="7"/>
      <c r="AU552" s="7"/>
      <c r="AV552" s="7"/>
      <c r="AW552" s="7"/>
    </row>
    <row r="553" spans="1:49" ht="15.75" customHeight="1" thickBo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0"/>
      <c r="AO553" s="7"/>
      <c r="AP553" s="7"/>
      <c r="AQ553" s="7"/>
      <c r="AR553" s="7"/>
      <c r="AS553" s="7"/>
      <c r="AT553" s="7"/>
      <c r="AU553" s="7"/>
      <c r="AV553" s="7"/>
      <c r="AW553" s="7"/>
    </row>
    <row r="554" spans="1:49" ht="15.75" customHeight="1" thickBo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0"/>
      <c r="AO554" s="7"/>
      <c r="AP554" s="7"/>
      <c r="AQ554" s="7"/>
      <c r="AR554" s="7"/>
      <c r="AS554" s="7"/>
      <c r="AT554" s="7"/>
      <c r="AU554" s="7"/>
      <c r="AV554" s="7"/>
      <c r="AW554" s="7"/>
    </row>
    <row r="555" spans="1:49" ht="15.75" customHeight="1" thickBo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0"/>
      <c r="AO555" s="7"/>
      <c r="AP555" s="7"/>
      <c r="AQ555" s="7"/>
      <c r="AR555" s="7"/>
      <c r="AS555" s="7"/>
      <c r="AT555" s="7"/>
      <c r="AU555" s="7"/>
      <c r="AV555" s="7"/>
      <c r="AW555" s="7"/>
    </row>
    <row r="556" spans="1:49" ht="15.75" customHeight="1" thickBo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0"/>
      <c r="AO556" s="7"/>
      <c r="AP556" s="7"/>
      <c r="AQ556" s="7"/>
      <c r="AR556" s="7"/>
      <c r="AS556" s="7"/>
      <c r="AT556" s="7"/>
      <c r="AU556" s="7"/>
      <c r="AV556" s="7"/>
      <c r="AW556" s="7"/>
    </row>
    <row r="557" spans="1:49" ht="15.75" customHeight="1" thickBo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0"/>
      <c r="AO557" s="7"/>
      <c r="AP557" s="7"/>
      <c r="AQ557" s="7"/>
      <c r="AR557" s="7"/>
      <c r="AS557" s="7"/>
      <c r="AT557" s="7"/>
      <c r="AU557" s="7"/>
      <c r="AV557" s="7"/>
      <c r="AW557" s="7"/>
    </row>
    <row r="558" spans="1:49" ht="15.75" customHeight="1" thickBo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0"/>
      <c r="AO558" s="7"/>
      <c r="AP558" s="7"/>
      <c r="AQ558" s="7"/>
      <c r="AR558" s="7"/>
      <c r="AS558" s="7"/>
      <c r="AT558" s="7"/>
      <c r="AU558" s="7"/>
      <c r="AV558" s="7"/>
      <c r="AW558" s="7"/>
    </row>
    <row r="559" spans="1:49" ht="15.75" customHeight="1" thickBo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0"/>
      <c r="AO559" s="7"/>
      <c r="AP559" s="7"/>
      <c r="AQ559" s="7"/>
      <c r="AR559" s="7"/>
      <c r="AS559" s="7"/>
      <c r="AT559" s="7"/>
      <c r="AU559" s="7"/>
      <c r="AV559" s="7"/>
      <c r="AW559" s="7"/>
    </row>
    <row r="560" spans="1:49" ht="15.75" customHeight="1" thickBo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0"/>
      <c r="AO560" s="7"/>
      <c r="AP560" s="7"/>
      <c r="AQ560" s="7"/>
      <c r="AR560" s="7"/>
      <c r="AS560" s="7"/>
      <c r="AT560" s="7"/>
      <c r="AU560" s="7"/>
      <c r="AV560" s="7"/>
      <c r="AW560" s="7"/>
    </row>
    <row r="561" spans="1:49" ht="15.75" customHeight="1" thickBo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0"/>
      <c r="AO561" s="7"/>
      <c r="AP561" s="7"/>
      <c r="AQ561" s="7"/>
      <c r="AR561" s="7"/>
      <c r="AS561" s="7"/>
      <c r="AT561" s="7"/>
      <c r="AU561" s="7"/>
      <c r="AV561" s="7"/>
      <c r="AW561" s="7"/>
    </row>
    <row r="562" spans="1:49" ht="15.75" customHeight="1" thickBo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0"/>
      <c r="AO562" s="7"/>
      <c r="AP562" s="7"/>
      <c r="AQ562" s="7"/>
      <c r="AR562" s="7"/>
      <c r="AS562" s="7"/>
      <c r="AT562" s="7"/>
      <c r="AU562" s="7"/>
      <c r="AV562" s="7"/>
      <c r="AW562" s="7"/>
    </row>
    <row r="563" spans="1:49" ht="15.75" customHeight="1" thickBo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0"/>
      <c r="AO563" s="7"/>
      <c r="AP563" s="7"/>
      <c r="AQ563" s="7"/>
      <c r="AR563" s="7"/>
      <c r="AS563" s="7"/>
      <c r="AT563" s="7"/>
      <c r="AU563" s="7"/>
      <c r="AV563" s="7"/>
      <c r="AW563" s="7"/>
    </row>
    <row r="564" spans="1:49" ht="15.75" customHeight="1" thickBo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0"/>
      <c r="AO564" s="7"/>
      <c r="AP564" s="7"/>
      <c r="AQ564" s="7"/>
      <c r="AR564" s="7"/>
      <c r="AS564" s="7"/>
      <c r="AT564" s="7"/>
      <c r="AU564" s="7"/>
      <c r="AV564" s="7"/>
      <c r="AW564" s="7"/>
    </row>
    <row r="565" spans="1:49" ht="15.75" customHeight="1" thickBo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0"/>
      <c r="AO565" s="7"/>
      <c r="AP565" s="7"/>
      <c r="AQ565" s="7"/>
      <c r="AR565" s="7"/>
      <c r="AS565" s="7"/>
      <c r="AT565" s="7"/>
      <c r="AU565" s="7"/>
      <c r="AV565" s="7"/>
      <c r="AW565" s="7"/>
    </row>
    <row r="566" spans="1:49" ht="15.75" customHeight="1" thickBo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0"/>
      <c r="AO566" s="7"/>
      <c r="AP566" s="7"/>
      <c r="AQ566" s="7"/>
      <c r="AR566" s="7"/>
      <c r="AS566" s="7"/>
      <c r="AT566" s="7"/>
      <c r="AU566" s="7"/>
      <c r="AV566" s="7"/>
      <c r="AW566" s="7"/>
    </row>
    <row r="567" spans="1:49" ht="15.75" customHeight="1" thickBo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0"/>
      <c r="AO567" s="7"/>
      <c r="AP567" s="7"/>
      <c r="AQ567" s="7"/>
      <c r="AR567" s="7"/>
      <c r="AS567" s="7"/>
      <c r="AT567" s="7"/>
      <c r="AU567" s="7"/>
      <c r="AV567" s="7"/>
      <c r="AW567" s="7"/>
    </row>
    <row r="568" spans="1:49" ht="15.75" customHeight="1" thickBo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0"/>
      <c r="AO568" s="7"/>
      <c r="AP568" s="7"/>
      <c r="AQ568" s="7"/>
      <c r="AR568" s="7"/>
      <c r="AS568" s="7"/>
      <c r="AT568" s="7"/>
      <c r="AU568" s="7"/>
      <c r="AV568" s="7"/>
      <c r="AW568" s="7"/>
    </row>
    <row r="569" spans="1:49" ht="15.75" customHeight="1" thickBo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0"/>
      <c r="AO569" s="7"/>
      <c r="AP569" s="7"/>
      <c r="AQ569" s="7"/>
      <c r="AR569" s="7"/>
      <c r="AS569" s="7"/>
      <c r="AT569" s="7"/>
      <c r="AU569" s="7"/>
      <c r="AV569" s="7"/>
      <c r="AW569" s="7"/>
    </row>
    <row r="570" spans="1:49" ht="15.75" customHeight="1" thickBo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0"/>
      <c r="AO570" s="7"/>
      <c r="AP570" s="7"/>
      <c r="AQ570" s="7"/>
      <c r="AR570" s="7"/>
      <c r="AS570" s="7"/>
      <c r="AT570" s="7"/>
      <c r="AU570" s="7"/>
      <c r="AV570" s="7"/>
      <c r="AW570" s="7"/>
    </row>
    <row r="571" spans="1:49" ht="15.75" customHeight="1" thickBo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0"/>
      <c r="AO571" s="7"/>
      <c r="AP571" s="7"/>
      <c r="AQ571" s="7"/>
      <c r="AR571" s="7"/>
      <c r="AS571" s="7"/>
      <c r="AT571" s="7"/>
      <c r="AU571" s="7"/>
      <c r="AV571" s="7"/>
      <c r="AW571" s="7"/>
    </row>
    <row r="572" spans="1:49" ht="15.75" customHeight="1" thickBo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0"/>
      <c r="AO572" s="7"/>
      <c r="AP572" s="7"/>
      <c r="AQ572" s="7"/>
      <c r="AR572" s="7"/>
      <c r="AS572" s="7"/>
      <c r="AT572" s="7"/>
      <c r="AU572" s="7"/>
      <c r="AV572" s="7"/>
      <c r="AW572" s="7"/>
    </row>
    <row r="573" spans="1:49" ht="15.75" customHeight="1" thickBo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0"/>
      <c r="AO573" s="7"/>
      <c r="AP573" s="7"/>
      <c r="AQ573" s="7"/>
      <c r="AR573" s="7"/>
      <c r="AS573" s="7"/>
      <c r="AT573" s="7"/>
      <c r="AU573" s="7"/>
      <c r="AV573" s="7"/>
      <c r="AW573" s="7"/>
    </row>
    <row r="574" spans="1:49" ht="15.75" customHeight="1" thickBo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0"/>
      <c r="AO574" s="7"/>
      <c r="AP574" s="7"/>
      <c r="AQ574" s="7"/>
      <c r="AR574" s="7"/>
      <c r="AS574" s="7"/>
      <c r="AT574" s="7"/>
      <c r="AU574" s="7"/>
      <c r="AV574" s="7"/>
      <c r="AW574" s="7"/>
    </row>
    <row r="575" spans="1:49" ht="15.75" customHeight="1" thickBo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0"/>
      <c r="AO575" s="7"/>
      <c r="AP575" s="7"/>
      <c r="AQ575" s="7"/>
      <c r="AR575" s="7"/>
      <c r="AS575" s="7"/>
      <c r="AT575" s="7"/>
      <c r="AU575" s="7"/>
      <c r="AV575" s="7"/>
      <c r="AW575" s="7"/>
    </row>
    <row r="576" spans="1:49" ht="15.75" customHeight="1" thickBo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0"/>
      <c r="AO576" s="7"/>
      <c r="AP576" s="7"/>
      <c r="AQ576" s="7"/>
      <c r="AR576" s="7"/>
      <c r="AS576" s="7"/>
      <c r="AT576" s="7"/>
      <c r="AU576" s="7"/>
      <c r="AV576" s="7"/>
      <c r="AW576" s="7"/>
    </row>
    <row r="577" spans="1:49" ht="15.75" customHeight="1" thickBo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0"/>
      <c r="AO577" s="7"/>
      <c r="AP577" s="7"/>
      <c r="AQ577" s="7"/>
      <c r="AR577" s="7"/>
      <c r="AS577" s="7"/>
      <c r="AT577" s="7"/>
      <c r="AU577" s="7"/>
      <c r="AV577" s="7"/>
      <c r="AW577" s="7"/>
    </row>
    <row r="578" spans="1:49" ht="15.75" customHeight="1" thickBo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0"/>
      <c r="AO578" s="7"/>
      <c r="AP578" s="7"/>
      <c r="AQ578" s="7"/>
      <c r="AR578" s="7"/>
      <c r="AS578" s="7"/>
      <c r="AT578" s="7"/>
      <c r="AU578" s="7"/>
      <c r="AV578" s="7"/>
      <c r="AW578" s="7"/>
    </row>
    <row r="579" spans="1:49" ht="15.75" customHeight="1" thickBo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0"/>
      <c r="AO579" s="7"/>
      <c r="AP579" s="7"/>
      <c r="AQ579" s="7"/>
      <c r="AR579" s="7"/>
      <c r="AS579" s="7"/>
      <c r="AT579" s="7"/>
      <c r="AU579" s="7"/>
      <c r="AV579" s="7"/>
      <c r="AW579" s="7"/>
    </row>
    <row r="580" spans="1:49" ht="15.75" customHeight="1" thickBo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0"/>
      <c r="AO580" s="7"/>
      <c r="AP580" s="7"/>
      <c r="AQ580" s="7"/>
      <c r="AR580" s="7"/>
      <c r="AS580" s="7"/>
      <c r="AT580" s="7"/>
      <c r="AU580" s="7"/>
      <c r="AV580" s="7"/>
      <c r="AW580" s="7"/>
    </row>
    <row r="581" spans="1:49" ht="15.75" customHeight="1" thickBo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0"/>
      <c r="AO581" s="7"/>
      <c r="AP581" s="7"/>
      <c r="AQ581" s="7"/>
      <c r="AR581" s="7"/>
      <c r="AS581" s="7"/>
      <c r="AT581" s="7"/>
      <c r="AU581" s="7"/>
      <c r="AV581" s="7"/>
      <c r="AW581" s="7"/>
    </row>
    <row r="582" spans="1:49" ht="15.75" customHeight="1" thickBo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0"/>
      <c r="AO582" s="7"/>
      <c r="AP582" s="7"/>
      <c r="AQ582" s="7"/>
      <c r="AR582" s="7"/>
      <c r="AS582" s="7"/>
      <c r="AT582" s="7"/>
      <c r="AU582" s="7"/>
      <c r="AV582" s="7"/>
      <c r="AW582" s="7"/>
    </row>
    <row r="583" spans="1:49" ht="15.75" customHeight="1" thickBo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0"/>
      <c r="AO583" s="7"/>
      <c r="AP583" s="7"/>
      <c r="AQ583" s="7"/>
      <c r="AR583" s="7"/>
      <c r="AS583" s="7"/>
      <c r="AT583" s="7"/>
      <c r="AU583" s="7"/>
      <c r="AV583" s="7"/>
      <c r="AW583" s="7"/>
    </row>
    <row r="584" spans="1:49" ht="15.75" customHeight="1" thickBo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0"/>
      <c r="AO584" s="7"/>
      <c r="AP584" s="7"/>
      <c r="AQ584" s="7"/>
      <c r="AR584" s="7"/>
      <c r="AS584" s="7"/>
      <c r="AT584" s="7"/>
      <c r="AU584" s="7"/>
      <c r="AV584" s="7"/>
      <c r="AW584" s="7"/>
    </row>
    <row r="585" spans="1:49" ht="15.75" customHeight="1" thickBo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0"/>
      <c r="AO585" s="7"/>
      <c r="AP585" s="7"/>
      <c r="AQ585" s="7"/>
      <c r="AR585" s="7"/>
      <c r="AS585" s="7"/>
      <c r="AT585" s="7"/>
      <c r="AU585" s="7"/>
      <c r="AV585" s="7"/>
      <c r="AW585" s="7"/>
    </row>
    <row r="586" spans="1:49" ht="15.75" customHeight="1" thickBo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0"/>
      <c r="AO586" s="7"/>
      <c r="AP586" s="7"/>
      <c r="AQ586" s="7"/>
      <c r="AR586" s="7"/>
      <c r="AS586" s="7"/>
      <c r="AT586" s="7"/>
      <c r="AU586" s="7"/>
      <c r="AV586" s="7"/>
      <c r="AW586" s="7"/>
    </row>
    <row r="587" spans="1:49" ht="15.75" customHeight="1" thickBo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0"/>
      <c r="AO587" s="7"/>
      <c r="AP587" s="7"/>
      <c r="AQ587" s="7"/>
      <c r="AR587" s="7"/>
      <c r="AS587" s="7"/>
      <c r="AT587" s="7"/>
      <c r="AU587" s="7"/>
      <c r="AV587" s="7"/>
      <c r="AW587" s="7"/>
    </row>
    <row r="588" spans="1:49" ht="15.75" customHeight="1" thickBo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0"/>
      <c r="AO588" s="7"/>
      <c r="AP588" s="7"/>
      <c r="AQ588" s="7"/>
      <c r="AR588" s="7"/>
      <c r="AS588" s="7"/>
      <c r="AT588" s="7"/>
      <c r="AU588" s="7"/>
      <c r="AV588" s="7"/>
      <c r="AW588" s="7"/>
    </row>
    <row r="589" spans="1:49" ht="15.75" customHeight="1" thickBo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0"/>
      <c r="AO589" s="7"/>
      <c r="AP589" s="7"/>
      <c r="AQ589" s="7"/>
      <c r="AR589" s="7"/>
      <c r="AS589" s="7"/>
      <c r="AT589" s="7"/>
      <c r="AU589" s="7"/>
      <c r="AV589" s="7"/>
      <c r="AW589" s="7"/>
    </row>
    <row r="590" spans="1:49" ht="15.75" customHeight="1" thickBo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0"/>
      <c r="AO590" s="7"/>
      <c r="AP590" s="7"/>
      <c r="AQ590" s="7"/>
      <c r="AR590" s="7"/>
      <c r="AS590" s="7"/>
      <c r="AT590" s="7"/>
      <c r="AU590" s="7"/>
      <c r="AV590" s="7"/>
      <c r="AW590" s="7"/>
    </row>
    <row r="591" spans="1:49" ht="15.75" customHeight="1" thickBo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0"/>
      <c r="AO591" s="7"/>
      <c r="AP591" s="7"/>
      <c r="AQ591" s="7"/>
      <c r="AR591" s="7"/>
      <c r="AS591" s="7"/>
      <c r="AT591" s="7"/>
      <c r="AU591" s="7"/>
      <c r="AV591" s="7"/>
      <c r="AW591" s="7"/>
    </row>
    <row r="592" spans="1:49" ht="15.75" customHeight="1" thickBo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0"/>
      <c r="AO592" s="7"/>
      <c r="AP592" s="7"/>
      <c r="AQ592" s="7"/>
      <c r="AR592" s="7"/>
      <c r="AS592" s="7"/>
      <c r="AT592" s="7"/>
      <c r="AU592" s="7"/>
      <c r="AV592" s="7"/>
      <c r="AW592" s="7"/>
    </row>
    <row r="593" spans="1:49" ht="15.75" customHeight="1" thickBo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0"/>
      <c r="AO593" s="7"/>
      <c r="AP593" s="7"/>
      <c r="AQ593" s="7"/>
      <c r="AR593" s="7"/>
      <c r="AS593" s="7"/>
      <c r="AT593" s="7"/>
      <c r="AU593" s="7"/>
      <c r="AV593" s="7"/>
      <c r="AW593" s="7"/>
    </row>
    <row r="594" spans="1:49" ht="15.75" customHeight="1" thickBo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0"/>
      <c r="AO594" s="7"/>
      <c r="AP594" s="7"/>
      <c r="AQ594" s="7"/>
      <c r="AR594" s="7"/>
      <c r="AS594" s="7"/>
      <c r="AT594" s="7"/>
      <c r="AU594" s="7"/>
      <c r="AV594" s="7"/>
      <c r="AW594" s="7"/>
    </row>
    <row r="595" spans="1:49" ht="15.75" customHeight="1" thickBo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0"/>
      <c r="AO595" s="7"/>
      <c r="AP595" s="7"/>
      <c r="AQ595" s="7"/>
      <c r="AR595" s="7"/>
      <c r="AS595" s="7"/>
      <c r="AT595" s="7"/>
      <c r="AU595" s="7"/>
      <c r="AV595" s="7"/>
      <c r="AW595" s="7"/>
    </row>
    <row r="596" spans="1:49" ht="15.75" customHeight="1" thickBo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0"/>
      <c r="AO596" s="7"/>
      <c r="AP596" s="7"/>
      <c r="AQ596" s="7"/>
      <c r="AR596" s="7"/>
      <c r="AS596" s="7"/>
      <c r="AT596" s="7"/>
      <c r="AU596" s="7"/>
      <c r="AV596" s="7"/>
      <c r="AW596" s="7"/>
    </row>
    <row r="597" spans="1:49" ht="15.75" customHeight="1" thickBo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0"/>
      <c r="AO597" s="7"/>
      <c r="AP597" s="7"/>
      <c r="AQ597" s="7"/>
      <c r="AR597" s="7"/>
      <c r="AS597" s="7"/>
      <c r="AT597" s="7"/>
      <c r="AU597" s="7"/>
      <c r="AV597" s="7"/>
      <c r="AW597" s="7"/>
    </row>
    <row r="598" spans="1:49" ht="15.75" customHeight="1" thickBo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0"/>
      <c r="AO598" s="7"/>
      <c r="AP598" s="7"/>
      <c r="AQ598" s="7"/>
      <c r="AR598" s="7"/>
      <c r="AS598" s="7"/>
      <c r="AT598" s="7"/>
      <c r="AU598" s="7"/>
      <c r="AV598" s="7"/>
      <c r="AW598" s="7"/>
    </row>
    <row r="599" spans="1:49" ht="15.75" customHeight="1" thickBo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0"/>
      <c r="AO599" s="7"/>
      <c r="AP599" s="7"/>
      <c r="AQ599" s="7"/>
      <c r="AR599" s="7"/>
      <c r="AS599" s="7"/>
      <c r="AT599" s="7"/>
      <c r="AU599" s="7"/>
      <c r="AV599" s="7"/>
      <c r="AW599" s="7"/>
    </row>
    <row r="600" spans="1:49" ht="15.75" customHeight="1" thickBo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0"/>
      <c r="AO600" s="7"/>
      <c r="AP600" s="7"/>
      <c r="AQ600" s="7"/>
      <c r="AR600" s="7"/>
      <c r="AS600" s="7"/>
      <c r="AT600" s="7"/>
      <c r="AU600" s="7"/>
      <c r="AV600" s="7"/>
      <c r="AW600" s="7"/>
    </row>
    <row r="601" spans="1:49" ht="15.75" customHeight="1" thickBo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0"/>
      <c r="AO601" s="7"/>
      <c r="AP601" s="7"/>
      <c r="AQ601" s="7"/>
      <c r="AR601" s="7"/>
      <c r="AS601" s="7"/>
      <c r="AT601" s="7"/>
      <c r="AU601" s="7"/>
      <c r="AV601" s="7"/>
      <c r="AW601" s="7"/>
    </row>
    <row r="602" spans="1:49" ht="15.75" customHeight="1" thickBo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0"/>
      <c r="AO602" s="7"/>
      <c r="AP602" s="7"/>
      <c r="AQ602" s="7"/>
      <c r="AR602" s="7"/>
      <c r="AS602" s="7"/>
      <c r="AT602" s="7"/>
      <c r="AU602" s="7"/>
      <c r="AV602" s="7"/>
      <c r="AW602" s="7"/>
    </row>
    <row r="603" spans="1:49" ht="15.75" customHeight="1" thickBo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0"/>
      <c r="AO603" s="7"/>
      <c r="AP603" s="7"/>
      <c r="AQ603" s="7"/>
      <c r="AR603" s="7"/>
      <c r="AS603" s="7"/>
      <c r="AT603" s="7"/>
      <c r="AU603" s="7"/>
      <c r="AV603" s="7"/>
      <c r="AW603" s="7"/>
    </row>
    <row r="604" spans="1:49" ht="15.75" customHeight="1" thickBo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0"/>
      <c r="AO604" s="7"/>
      <c r="AP604" s="7"/>
      <c r="AQ604" s="7"/>
      <c r="AR604" s="7"/>
      <c r="AS604" s="7"/>
      <c r="AT604" s="7"/>
      <c r="AU604" s="7"/>
      <c r="AV604" s="7"/>
      <c r="AW604" s="7"/>
    </row>
    <row r="605" spans="1:49" ht="15.75" customHeight="1" thickBo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0"/>
      <c r="AO605" s="7"/>
      <c r="AP605" s="7"/>
      <c r="AQ605" s="7"/>
      <c r="AR605" s="7"/>
      <c r="AS605" s="7"/>
      <c r="AT605" s="7"/>
      <c r="AU605" s="7"/>
      <c r="AV605" s="7"/>
      <c r="AW605" s="7"/>
    </row>
    <row r="606" spans="1:49" ht="15.75" customHeight="1" thickBo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0"/>
      <c r="AO606" s="7"/>
      <c r="AP606" s="7"/>
      <c r="AQ606" s="7"/>
      <c r="AR606" s="7"/>
      <c r="AS606" s="7"/>
      <c r="AT606" s="7"/>
      <c r="AU606" s="7"/>
      <c r="AV606" s="7"/>
      <c r="AW606" s="7"/>
    </row>
    <row r="607" spans="1:49" ht="15.75" customHeight="1" thickBo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0"/>
      <c r="AO607" s="7"/>
      <c r="AP607" s="7"/>
      <c r="AQ607" s="7"/>
      <c r="AR607" s="7"/>
      <c r="AS607" s="7"/>
      <c r="AT607" s="7"/>
      <c r="AU607" s="7"/>
      <c r="AV607" s="7"/>
      <c r="AW607" s="7"/>
    </row>
    <row r="608" spans="1:49" ht="15.75" customHeight="1" thickBo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0"/>
      <c r="AO608" s="7"/>
      <c r="AP608" s="7"/>
      <c r="AQ608" s="7"/>
      <c r="AR608" s="7"/>
      <c r="AS608" s="7"/>
      <c r="AT608" s="7"/>
      <c r="AU608" s="7"/>
      <c r="AV608" s="7"/>
      <c r="AW608" s="7"/>
    </row>
    <row r="609" spans="1:49" ht="15.75" customHeight="1" thickBo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0"/>
      <c r="AO609" s="7"/>
      <c r="AP609" s="7"/>
      <c r="AQ609" s="7"/>
      <c r="AR609" s="7"/>
      <c r="AS609" s="7"/>
      <c r="AT609" s="7"/>
      <c r="AU609" s="7"/>
      <c r="AV609" s="7"/>
      <c r="AW609" s="7"/>
    </row>
    <row r="610" spans="1:49" ht="15.75" customHeight="1" thickBo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0"/>
      <c r="AO610" s="7"/>
      <c r="AP610" s="7"/>
      <c r="AQ610" s="7"/>
      <c r="AR610" s="7"/>
      <c r="AS610" s="7"/>
      <c r="AT610" s="7"/>
      <c r="AU610" s="7"/>
      <c r="AV610" s="7"/>
      <c r="AW610" s="7"/>
    </row>
    <row r="611" spans="1:49" ht="15.75" customHeight="1" thickBo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0"/>
      <c r="AO611" s="7"/>
      <c r="AP611" s="7"/>
      <c r="AQ611" s="7"/>
      <c r="AR611" s="7"/>
      <c r="AS611" s="7"/>
      <c r="AT611" s="7"/>
      <c r="AU611" s="7"/>
      <c r="AV611" s="7"/>
      <c r="AW611" s="7"/>
    </row>
    <row r="612" spans="1:49" ht="15.75" customHeight="1" thickBo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0"/>
      <c r="AO612" s="7"/>
      <c r="AP612" s="7"/>
      <c r="AQ612" s="7"/>
      <c r="AR612" s="7"/>
      <c r="AS612" s="7"/>
      <c r="AT612" s="7"/>
      <c r="AU612" s="7"/>
      <c r="AV612" s="7"/>
      <c r="AW612" s="7"/>
    </row>
    <row r="613" spans="1:49" ht="15.75" customHeight="1" thickBo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0"/>
      <c r="AO613" s="7"/>
      <c r="AP613" s="7"/>
      <c r="AQ613" s="7"/>
      <c r="AR613" s="7"/>
      <c r="AS613" s="7"/>
      <c r="AT613" s="7"/>
      <c r="AU613" s="7"/>
      <c r="AV613" s="7"/>
      <c r="AW613" s="7"/>
    </row>
    <row r="614" spans="1:49" ht="15.75" customHeight="1" thickBo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0"/>
      <c r="AO614" s="7"/>
      <c r="AP614" s="7"/>
      <c r="AQ614" s="7"/>
      <c r="AR614" s="7"/>
      <c r="AS614" s="7"/>
      <c r="AT614" s="7"/>
      <c r="AU614" s="7"/>
      <c r="AV614" s="7"/>
      <c r="AW614" s="7"/>
    </row>
    <row r="615" spans="1:49" ht="15.75" customHeight="1" thickBo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0"/>
      <c r="AO615" s="7"/>
      <c r="AP615" s="7"/>
      <c r="AQ615" s="7"/>
      <c r="AR615" s="7"/>
      <c r="AS615" s="7"/>
      <c r="AT615" s="7"/>
      <c r="AU615" s="7"/>
      <c r="AV615" s="7"/>
      <c r="AW615" s="7"/>
    </row>
    <row r="616" spans="1:49" ht="15.75" customHeight="1" thickBo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0"/>
      <c r="AO616" s="7"/>
      <c r="AP616" s="7"/>
      <c r="AQ616" s="7"/>
      <c r="AR616" s="7"/>
      <c r="AS616" s="7"/>
      <c r="AT616" s="7"/>
      <c r="AU616" s="7"/>
      <c r="AV616" s="7"/>
      <c r="AW616" s="7"/>
    </row>
    <row r="617" spans="1:49" ht="15.75" customHeight="1" thickBo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0"/>
      <c r="AO617" s="7"/>
      <c r="AP617" s="7"/>
      <c r="AQ617" s="7"/>
      <c r="AR617" s="7"/>
      <c r="AS617" s="7"/>
      <c r="AT617" s="7"/>
      <c r="AU617" s="7"/>
      <c r="AV617" s="7"/>
      <c r="AW617" s="7"/>
    </row>
    <row r="618" spans="1:49" ht="15.75" customHeight="1" thickBo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0"/>
      <c r="AO618" s="7"/>
      <c r="AP618" s="7"/>
      <c r="AQ618" s="7"/>
      <c r="AR618" s="7"/>
      <c r="AS618" s="7"/>
      <c r="AT618" s="7"/>
      <c r="AU618" s="7"/>
      <c r="AV618" s="7"/>
      <c r="AW618" s="7"/>
    </row>
    <row r="619" spans="1:49" ht="15.75" customHeight="1" thickBo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0"/>
      <c r="AO619" s="7"/>
      <c r="AP619" s="7"/>
      <c r="AQ619" s="7"/>
      <c r="AR619" s="7"/>
      <c r="AS619" s="7"/>
      <c r="AT619" s="7"/>
      <c r="AU619" s="7"/>
      <c r="AV619" s="7"/>
      <c r="AW619" s="7"/>
    </row>
    <row r="620" spans="1:49" ht="15.75" customHeight="1" thickBo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0"/>
      <c r="AO620" s="7"/>
      <c r="AP620" s="7"/>
      <c r="AQ620" s="7"/>
      <c r="AR620" s="7"/>
      <c r="AS620" s="7"/>
      <c r="AT620" s="7"/>
      <c r="AU620" s="7"/>
      <c r="AV620" s="7"/>
      <c r="AW620" s="7"/>
    </row>
    <row r="621" spans="1:49" ht="15.75" customHeight="1" thickBo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0"/>
      <c r="AO621" s="7"/>
      <c r="AP621" s="7"/>
      <c r="AQ621" s="7"/>
      <c r="AR621" s="7"/>
      <c r="AS621" s="7"/>
      <c r="AT621" s="7"/>
      <c r="AU621" s="7"/>
      <c r="AV621" s="7"/>
      <c r="AW621" s="7"/>
    </row>
    <row r="622" spans="1:49" ht="15.75" customHeight="1" thickBo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0"/>
      <c r="AO622" s="7"/>
      <c r="AP622" s="7"/>
      <c r="AQ622" s="7"/>
      <c r="AR622" s="7"/>
      <c r="AS622" s="7"/>
      <c r="AT622" s="7"/>
      <c r="AU622" s="7"/>
      <c r="AV622" s="7"/>
      <c r="AW622" s="7"/>
    </row>
    <row r="623" spans="1:49" ht="15.75" customHeight="1" thickBo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0"/>
      <c r="AO623" s="7"/>
      <c r="AP623" s="7"/>
      <c r="AQ623" s="7"/>
      <c r="AR623" s="7"/>
      <c r="AS623" s="7"/>
      <c r="AT623" s="7"/>
      <c r="AU623" s="7"/>
      <c r="AV623" s="7"/>
      <c r="AW623" s="7"/>
    </row>
    <row r="624" spans="1:49" ht="15.75" customHeight="1" thickBo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0"/>
      <c r="AO624" s="7"/>
      <c r="AP624" s="7"/>
      <c r="AQ624" s="7"/>
      <c r="AR624" s="7"/>
      <c r="AS624" s="7"/>
      <c r="AT624" s="7"/>
      <c r="AU624" s="7"/>
      <c r="AV624" s="7"/>
      <c r="AW624" s="7"/>
    </row>
    <row r="625" spans="1:49" ht="15.75" customHeight="1" thickBo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0"/>
      <c r="AO625" s="7"/>
      <c r="AP625" s="7"/>
      <c r="AQ625" s="7"/>
      <c r="AR625" s="7"/>
      <c r="AS625" s="7"/>
      <c r="AT625" s="7"/>
      <c r="AU625" s="7"/>
      <c r="AV625" s="7"/>
      <c r="AW625" s="7"/>
    </row>
    <row r="626" spans="1:49" ht="15.75" customHeight="1" thickBo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0"/>
      <c r="AO626" s="7"/>
      <c r="AP626" s="7"/>
      <c r="AQ626" s="7"/>
      <c r="AR626" s="7"/>
      <c r="AS626" s="7"/>
      <c r="AT626" s="7"/>
      <c r="AU626" s="7"/>
      <c r="AV626" s="7"/>
      <c r="AW626" s="7"/>
    </row>
    <row r="627" spans="1:49" ht="15.75" customHeight="1" thickBo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0"/>
      <c r="AO627" s="7"/>
      <c r="AP627" s="7"/>
      <c r="AQ627" s="7"/>
      <c r="AR627" s="7"/>
      <c r="AS627" s="7"/>
      <c r="AT627" s="7"/>
      <c r="AU627" s="7"/>
      <c r="AV627" s="7"/>
      <c r="AW627" s="7"/>
    </row>
    <row r="628" spans="1:49" ht="15.75" customHeight="1" thickBo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0"/>
      <c r="AO628" s="7"/>
      <c r="AP628" s="7"/>
      <c r="AQ628" s="7"/>
      <c r="AR628" s="7"/>
      <c r="AS628" s="7"/>
      <c r="AT628" s="7"/>
      <c r="AU628" s="7"/>
      <c r="AV628" s="7"/>
      <c r="AW628" s="7"/>
    </row>
    <row r="629" spans="1:49" ht="15.75" customHeight="1" thickBo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0"/>
      <c r="AO629" s="7"/>
      <c r="AP629" s="7"/>
      <c r="AQ629" s="7"/>
      <c r="AR629" s="7"/>
      <c r="AS629" s="7"/>
      <c r="AT629" s="7"/>
      <c r="AU629" s="7"/>
      <c r="AV629" s="7"/>
      <c r="AW629" s="7"/>
    </row>
    <row r="630" spans="1:49" ht="15.75" customHeight="1" thickBo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0"/>
      <c r="AO630" s="7"/>
      <c r="AP630" s="7"/>
      <c r="AQ630" s="7"/>
      <c r="AR630" s="7"/>
      <c r="AS630" s="7"/>
      <c r="AT630" s="7"/>
      <c r="AU630" s="7"/>
      <c r="AV630" s="7"/>
      <c r="AW630" s="7"/>
    </row>
    <row r="631" spans="1:49" ht="15.75" customHeight="1" thickBo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0"/>
      <c r="AO631" s="7"/>
      <c r="AP631" s="7"/>
      <c r="AQ631" s="7"/>
      <c r="AR631" s="7"/>
      <c r="AS631" s="7"/>
      <c r="AT631" s="7"/>
      <c r="AU631" s="7"/>
      <c r="AV631" s="7"/>
      <c r="AW631" s="7"/>
    </row>
    <row r="632" spans="1:49" ht="15.75" customHeight="1" thickBo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0"/>
      <c r="AO632" s="7"/>
      <c r="AP632" s="7"/>
      <c r="AQ632" s="7"/>
      <c r="AR632" s="7"/>
      <c r="AS632" s="7"/>
      <c r="AT632" s="7"/>
      <c r="AU632" s="7"/>
      <c r="AV632" s="7"/>
      <c r="AW632" s="7"/>
    </row>
    <row r="633" spans="1:49" ht="15.75" customHeight="1" thickBo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0"/>
      <c r="AO633" s="7"/>
      <c r="AP633" s="7"/>
      <c r="AQ633" s="7"/>
      <c r="AR633" s="7"/>
      <c r="AS633" s="7"/>
      <c r="AT633" s="7"/>
      <c r="AU633" s="7"/>
      <c r="AV633" s="7"/>
      <c r="AW633" s="7"/>
    </row>
    <row r="634" spans="1:49" ht="15.75" customHeight="1" thickBo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0"/>
      <c r="AO634" s="7"/>
      <c r="AP634" s="7"/>
      <c r="AQ634" s="7"/>
      <c r="AR634" s="7"/>
      <c r="AS634" s="7"/>
      <c r="AT634" s="7"/>
      <c r="AU634" s="7"/>
      <c r="AV634" s="7"/>
      <c r="AW634" s="7"/>
    </row>
    <row r="635" spans="1:49" ht="15.75" customHeight="1" thickBo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0"/>
      <c r="AO635" s="7"/>
      <c r="AP635" s="7"/>
      <c r="AQ635" s="7"/>
      <c r="AR635" s="7"/>
      <c r="AS635" s="7"/>
      <c r="AT635" s="7"/>
      <c r="AU635" s="7"/>
      <c r="AV635" s="7"/>
      <c r="AW635" s="7"/>
    </row>
    <row r="636" spans="1:49" ht="15.75" customHeight="1" thickBo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0"/>
      <c r="AO636" s="7"/>
      <c r="AP636" s="7"/>
      <c r="AQ636" s="7"/>
      <c r="AR636" s="7"/>
      <c r="AS636" s="7"/>
      <c r="AT636" s="7"/>
      <c r="AU636" s="7"/>
      <c r="AV636" s="7"/>
      <c r="AW636" s="7"/>
    </row>
    <row r="637" spans="1:49" ht="15.75" customHeight="1" thickBo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0"/>
      <c r="AO637" s="7"/>
      <c r="AP637" s="7"/>
      <c r="AQ637" s="7"/>
      <c r="AR637" s="7"/>
      <c r="AS637" s="7"/>
      <c r="AT637" s="7"/>
      <c r="AU637" s="7"/>
      <c r="AV637" s="7"/>
      <c r="AW637" s="7"/>
    </row>
    <row r="638" spans="1:49" ht="15.75" customHeight="1" thickBo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0"/>
      <c r="AO638" s="7"/>
      <c r="AP638" s="7"/>
      <c r="AQ638" s="7"/>
      <c r="AR638" s="7"/>
      <c r="AS638" s="7"/>
      <c r="AT638" s="7"/>
      <c r="AU638" s="7"/>
      <c r="AV638" s="7"/>
      <c r="AW638" s="7"/>
    </row>
    <row r="639" spans="1:49" ht="15.75" customHeight="1" thickBo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0"/>
      <c r="AO639" s="7"/>
      <c r="AP639" s="7"/>
      <c r="AQ639" s="7"/>
      <c r="AR639" s="7"/>
      <c r="AS639" s="7"/>
      <c r="AT639" s="7"/>
      <c r="AU639" s="7"/>
      <c r="AV639" s="7"/>
      <c r="AW639" s="7"/>
    </row>
    <row r="640" spans="1:49" ht="15.75" customHeight="1" thickBo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0"/>
      <c r="AO640" s="7"/>
      <c r="AP640" s="7"/>
      <c r="AQ640" s="7"/>
      <c r="AR640" s="7"/>
      <c r="AS640" s="7"/>
      <c r="AT640" s="7"/>
      <c r="AU640" s="7"/>
      <c r="AV640" s="7"/>
      <c r="AW640" s="7"/>
    </row>
    <row r="641" spans="1:49" ht="15.75" customHeight="1" thickBo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0"/>
      <c r="AO641" s="7"/>
      <c r="AP641" s="7"/>
      <c r="AQ641" s="7"/>
      <c r="AR641" s="7"/>
      <c r="AS641" s="7"/>
      <c r="AT641" s="7"/>
      <c r="AU641" s="7"/>
      <c r="AV641" s="7"/>
      <c r="AW641" s="7"/>
    </row>
    <row r="642" spans="1:49" ht="15.75" customHeight="1" thickBo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0"/>
      <c r="AO642" s="7"/>
      <c r="AP642" s="7"/>
      <c r="AQ642" s="7"/>
      <c r="AR642" s="7"/>
      <c r="AS642" s="7"/>
      <c r="AT642" s="7"/>
      <c r="AU642" s="7"/>
      <c r="AV642" s="7"/>
      <c r="AW642" s="7"/>
    </row>
    <row r="643" spans="1:49" ht="15.75" customHeight="1" thickBo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0"/>
      <c r="AO643" s="7"/>
      <c r="AP643" s="7"/>
      <c r="AQ643" s="7"/>
      <c r="AR643" s="7"/>
      <c r="AS643" s="7"/>
      <c r="AT643" s="7"/>
      <c r="AU643" s="7"/>
      <c r="AV643" s="7"/>
      <c r="AW643" s="7"/>
    </row>
    <row r="644" spans="1:49" ht="15.75" customHeight="1" thickBo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0"/>
      <c r="AO644" s="7"/>
      <c r="AP644" s="7"/>
      <c r="AQ644" s="7"/>
      <c r="AR644" s="7"/>
      <c r="AS644" s="7"/>
      <c r="AT644" s="7"/>
      <c r="AU644" s="7"/>
      <c r="AV644" s="7"/>
      <c r="AW644" s="7"/>
    </row>
    <row r="645" spans="1:49" ht="15.75" customHeight="1" thickBo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0"/>
      <c r="AO645" s="7"/>
      <c r="AP645" s="7"/>
      <c r="AQ645" s="7"/>
      <c r="AR645" s="7"/>
      <c r="AS645" s="7"/>
      <c r="AT645" s="7"/>
      <c r="AU645" s="7"/>
      <c r="AV645" s="7"/>
      <c r="AW645" s="7"/>
    </row>
    <row r="646" spans="1:49" ht="15.75" customHeight="1" thickBo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0"/>
      <c r="AO646" s="7"/>
      <c r="AP646" s="7"/>
      <c r="AQ646" s="7"/>
      <c r="AR646" s="7"/>
      <c r="AS646" s="7"/>
      <c r="AT646" s="7"/>
      <c r="AU646" s="7"/>
      <c r="AV646" s="7"/>
      <c r="AW646" s="7"/>
    </row>
    <row r="647" spans="1:49" ht="15.75" customHeight="1" thickBo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0"/>
      <c r="AO647" s="7"/>
      <c r="AP647" s="7"/>
      <c r="AQ647" s="7"/>
      <c r="AR647" s="7"/>
      <c r="AS647" s="7"/>
      <c r="AT647" s="7"/>
      <c r="AU647" s="7"/>
      <c r="AV647" s="7"/>
      <c r="AW647" s="7"/>
    </row>
    <row r="648" spans="1:49" ht="15.75" customHeight="1" thickBo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0"/>
      <c r="AO648" s="7"/>
      <c r="AP648" s="7"/>
      <c r="AQ648" s="7"/>
      <c r="AR648" s="7"/>
      <c r="AS648" s="7"/>
      <c r="AT648" s="7"/>
      <c r="AU648" s="7"/>
      <c r="AV648" s="7"/>
      <c r="AW648" s="7"/>
    </row>
    <row r="649" spans="1:49" ht="15.75" customHeight="1" thickBo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0"/>
      <c r="AO649" s="7"/>
      <c r="AP649" s="7"/>
      <c r="AQ649" s="7"/>
      <c r="AR649" s="7"/>
      <c r="AS649" s="7"/>
      <c r="AT649" s="7"/>
      <c r="AU649" s="7"/>
      <c r="AV649" s="7"/>
      <c r="AW649" s="7"/>
    </row>
    <row r="650" spans="1:49" ht="15.75" customHeight="1" thickBo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0"/>
      <c r="AO650" s="7"/>
      <c r="AP650" s="7"/>
      <c r="AQ650" s="7"/>
      <c r="AR650" s="7"/>
      <c r="AS650" s="7"/>
      <c r="AT650" s="7"/>
      <c r="AU650" s="7"/>
      <c r="AV650" s="7"/>
      <c r="AW650" s="7"/>
    </row>
    <row r="651" spans="1:49" ht="15.75" customHeight="1" thickBo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0"/>
      <c r="AO651" s="7"/>
      <c r="AP651" s="7"/>
      <c r="AQ651" s="7"/>
      <c r="AR651" s="7"/>
      <c r="AS651" s="7"/>
      <c r="AT651" s="7"/>
      <c r="AU651" s="7"/>
      <c r="AV651" s="7"/>
      <c r="AW651" s="7"/>
    </row>
    <row r="652" spans="1:49" ht="15.75" customHeight="1" thickBo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0"/>
      <c r="AO652" s="7"/>
      <c r="AP652" s="7"/>
      <c r="AQ652" s="7"/>
      <c r="AR652" s="7"/>
      <c r="AS652" s="7"/>
      <c r="AT652" s="7"/>
      <c r="AU652" s="7"/>
      <c r="AV652" s="7"/>
      <c r="AW652" s="7"/>
    </row>
    <row r="653" spans="1:49" ht="15.75" customHeight="1" thickBo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0"/>
      <c r="AO653" s="7"/>
      <c r="AP653" s="7"/>
      <c r="AQ653" s="7"/>
      <c r="AR653" s="7"/>
      <c r="AS653" s="7"/>
      <c r="AT653" s="7"/>
      <c r="AU653" s="7"/>
      <c r="AV653" s="7"/>
      <c r="AW653" s="7"/>
    </row>
    <row r="654" spans="1:49" ht="15.75" customHeight="1" thickBo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0"/>
      <c r="AO654" s="7"/>
      <c r="AP654" s="7"/>
      <c r="AQ654" s="7"/>
      <c r="AR654" s="7"/>
      <c r="AS654" s="7"/>
      <c r="AT654" s="7"/>
      <c r="AU654" s="7"/>
      <c r="AV654" s="7"/>
      <c r="AW654" s="7"/>
    </row>
    <row r="655" spans="1:49" ht="15.75" customHeight="1" thickBo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0"/>
      <c r="AO655" s="7"/>
      <c r="AP655" s="7"/>
      <c r="AQ655" s="7"/>
      <c r="AR655" s="7"/>
      <c r="AS655" s="7"/>
      <c r="AT655" s="7"/>
      <c r="AU655" s="7"/>
      <c r="AV655" s="7"/>
      <c r="AW655" s="7"/>
    </row>
    <row r="656" spans="1:49" ht="15.75" customHeight="1" thickBo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0"/>
      <c r="AO656" s="7"/>
      <c r="AP656" s="7"/>
      <c r="AQ656" s="7"/>
      <c r="AR656" s="7"/>
      <c r="AS656" s="7"/>
      <c r="AT656" s="7"/>
      <c r="AU656" s="7"/>
      <c r="AV656" s="7"/>
      <c r="AW656" s="7"/>
    </row>
    <row r="657" spans="1:49" ht="15.75" customHeight="1" thickBo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0"/>
      <c r="AO657" s="7"/>
      <c r="AP657" s="7"/>
      <c r="AQ657" s="7"/>
      <c r="AR657" s="7"/>
      <c r="AS657" s="7"/>
      <c r="AT657" s="7"/>
      <c r="AU657" s="7"/>
      <c r="AV657" s="7"/>
      <c r="AW657" s="7"/>
    </row>
    <row r="658" spans="1:49" ht="15.75" customHeight="1" thickBo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0"/>
      <c r="AO658" s="7"/>
      <c r="AP658" s="7"/>
      <c r="AQ658" s="7"/>
      <c r="AR658" s="7"/>
      <c r="AS658" s="7"/>
      <c r="AT658" s="7"/>
      <c r="AU658" s="7"/>
      <c r="AV658" s="7"/>
      <c r="AW658" s="7"/>
    </row>
    <row r="659" spans="1:49" ht="15.75" customHeight="1" thickBo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0"/>
      <c r="AO659" s="7"/>
      <c r="AP659" s="7"/>
      <c r="AQ659" s="7"/>
      <c r="AR659" s="7"/>
      <c r="AS659" s="7"/>
      <c r="AT659" s="7"/>
      <c r="AU659" s="7"/>
      <c r="AV659" s="7"/>
      <c r="AW659" s="7"/>
    </row>
    <row r="660" spans="1:49" ht="15.75" customHeight="1" thickBo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0"/>
      <c r="AO660" s="7"/>
      <c r="AP660" s="7"/>
      <c r="AQ660" s="7"/>
      <c r="AR660" s="7"/>
      <c r="AS660" s="7"/>
      <c r="AT660" s="7"/>
      <c r="AU660" s="7"/>
      <c r="AV660" s="7"/>
      <c r="AW660" s="7"/>
    </row>
    <row r="661" spans="1:49" ht="15.75" customHeight="1" thickBo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0"/>
      <c r="AO661" s="7"/>
      <c r="AP661" s="7"/>
      <c r="AQ661" s="7"/>
      <c r="AR661" s="7"/>
      <c r="AS661" s="7"/>
      <c r="AT661" s="7"/>
      <c r="AU661" s="7"/>
      <c r="AV661" s="7"/>
      <c r="AW661" s="7"/>
    </row>
    <row r="662" spans="1:49" ht="15.75" customHeight="1" thickBo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0"/>
      <c r="AO662" s="7"/>
      <c r="AP662" s="7"/>
      <c r="AQ662" s="7"/>
      <c r="AR662" s="7"/>
      <c r="AS662" s="7"/>
      <c r="AT662" s="7"/>
      <c r="AU662" s="7"/>
      <c r="AV662" s="7"/>
      <c r="AW662" s="7"/>
    </row>
    <row r="663" spans="1:49" ht="15.75" customHeight="1" thickBo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0"/>
      <c r="AO663" s="7"/>
      <c r="AP663" s="7"/>
      <c r="AQ663" s="7"/>
      <c r="AR663" s="7"/>
      <c r="AS663" s="7"/>
      <c r="AT663" s="7"/>
      <c r="AU663" s="7"/>
      <c r="AV663" s="7"/>
      <c r="AW663" s="7"/>
    </row>
    <row r="664" spans="1:49" ht="15.75" customHeight="1" thickBo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0"/>
      <c r="AO664" s="7"/>
      <c r="AP664" s="7"/>
      <c r="AQ664" s="7"/>
      <c r="AR664" s="7"/>
      <c r="AS664" s="7"/>
      <c r="AT664" s="7"/>
      <c r="AU664" s="7"/>
      <c r="AV664" s="7"/>
      <c r="AW664" s="7"/>
    </row>
    <row r="665" spans="1:49" ht="15.75" customHeight="1" thickBo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0"/>
      <c r="AO665" s="7"/>
      <c r="AP665" s="7"/>
      <c r="AQ665" s="7"/>
      <c r="AR665" s="7"/>
      <c r="AS665" s="7"/>
      <c r="AT665" s="7"/>
      <c r="AU665" s="7"/>
      <c r="AV665" s="7"/>
      <c r="AW665" s="7"/>
    </row>
    <row r="666" spans="1:49" ht="15.75" customHeight="1" thickBo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0"/>
      <c r="AO666" s="7"/>
      <c r="AP666" s="7"/>
      <c r="AQ666" s="7"/>
      <c r="AR666" s="7"/>
      <c r="AS666" s="7"/>
      <c r="AT666" s="7"/>
      <c r="AU666" s="7"/>
      <c r="AV666" s="7"/>
      <c r="AW666" s="7"/>
    </row>
    <row r="667" spans="1:49" ht="15.75" customHeight="1" thickBo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0"/>
      <c r="AO667" s="7"/>
      <c r="AP667" s="7"/>
      <c r="AQ667" s="7"/>
      <c r="AR667" s="7"/>
      <c r="AS667" s="7"/>
      <c r="AT667" s="7"/>
      <c r="AU667" s="7"/>
      <c r="AV667" s="7"/>
      <c r="AW667" s="7"/>
    </row>
    <row r="668" spans="1:49" ht="15.75" customHeight="1" thickBo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0"/>
      <c r="AO668" s="7"/>
      <c r="AP668" s="7"/>
      <c r="AQ668" s="7"/>
      <c r="AR668" s="7"/>
      <c r="AS668" s="7"/>
      <c r="AT668" s="7"/>
      <c r="AU668" s="7"/>
      <c r="AV668" s="7"/>
      <c r="AW668" s="7"/>
    </row>
    <row r="669" spans="1:49" ht="15.75" customHeight="1" thickBo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0"/>
      <c r="AO669" s="7"/>
      <c r="AP669" s="7"/>
      <c r="AQ669" s="7"/>
      <c r="AR669" s="7"/>
      <c r="AS669" s="7"/>
      <c r="AT669" s="7"/>
      <c r="AU669" s="7"/>
      <c r="AV669" s="7"/>
      <c r="AW669" s="7"/>
    </row>
    <row r="670" spans="1:49" ht="15.75" customHeight="1" thickBo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0"/>
      <c r="AO670" s="7"/>
      <c r="AP670" s="7"/>
      <c r="AQ670" s="7"/>
      <c r="AR670" s="7"/>
      <c r="AS670" s="7"/>
      <c r="AT670" s="7"/>
      <c r="AU670" s="7"/>
      <c r="AV670" s="7"/>
      <c r="AW670" s="7"/>
    </row>
    <row r="671" spans="1:49" ht="15.75" customHeight="1" thickBo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0"/>
      <c r="AO671" s="7"/>
      <c r="AP671" s="7"/>
      <c r="AQ671" s="7"/>
      <c r="AR671" s="7"/>
      <c r="AS671" s="7"/>
      <c r="AT671" s="7"/>
      <c r="AU671" s="7"/>
      <c r="AV671" s="7"/>
      <c r="AW671" s="7"/>
    </row>
    <row r="672" spans="1:49" ht="15.75" customHeight="1" thickBo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0"/>
      <c r="AO672" s="7"/>
      <c r="AP672" s="7"/>
      <c r="AQ672" s="7"/>
      <c r="AR672" s="7"/>
      <c r="AS672" s="7"/>
      <c r="AT672" s="7"/>
      <c r="AU672" s="7"/>
      <c r="AV672" s="7"/>
      <c r="AW672" s="7"/>
    </row>
    <row r="673" spans="1:49" ht="15.75" customHeight="1" thickBo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0"/>
      <c r="AO673" s="7"/>
      <c r="AP673" s="7"/>
      <c r="AQ673" s="7"/>
      <c r="AR673" s="7"/>
      <c r="AS673" s="7"/>
      <c r="AT673" s="7"/>
      <c r="AU673" s="7"/>
      <c r="AV673" s="7"/>
      <c r="AW673" s="7"/>
    </row>
    <row r="674" spans="1:49" ht="15.75" customHeight="1" thickBo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0"/>
      <c r="AO674" s="7"/>
      <c r="AP674" s="7"/>
      <c r="AQ674" s="7"/>
      <c r="AR674" s="7"/>
      <c r="AS674" s="7"/>
      <c r="AT674" s="7"/>
      <c r="AU674" s="7"/>
      <c r="AV674" s="7"/>
      <c r="AW674" s="7"/>
    </row>
    <row r="675" spans="1:49" ht="15.75" customHeight="1" thickBo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0"/>
      <c r="AO675" s="7"/>
      <c r="AP675" s="7"/>
      <c r="AQ675" s="7"/>
      <c r="AR675" s="7"/>
      <c r="AS675" s="7"/>
      <c r="AT675" s="7"/>
      <c r="AU675" s="7"/>
      <c r="AV675" s="7"/>
      <c r="AW675" s="7"/>
    </row>
    <row r="676" spans="1:49" ht="15.75" customHeight="1" thickBo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0"/>
      <c r="AO676" s="7"/>
      <c r="AP676" s="7"/>
      <c r="AQ676" s="7"/>
      <c r="AR676" s="7"/>
      <c r="AS676" s="7"/>
      <c r="AT676" s="7"/>
      <c r="AU676" s="7"/>
      <c r="AV676" s="7"/>
      <c r="AW676" s="7"/>
    </row>
    <row r="677" spans="1:49" ht="15.75" customHeight="1" thickBo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0"/>
      <c r="AO677" s="7"/>
      <c r="AP677" s="7"/>
      <c r="AQ677" s="7"/>
      <c r="AR677" s="7"/>
      <c r="AS677" s="7"/>
      <c r="AT677" s="7"/>
      <c r="AU677" s="7"/>
      <c r="AV677" s="7"/>
      <c r="AW677" s="7"/>
    </row>
    <row r="678" spans="1:49" ht="15.75" customHeight="1" thickBo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0"/>
      <c r="AO678" s="7"/>
      <c r="AP678" s="7"/>
      <c r="AQ678" s="7"/>
      <c r="AR678" s="7"/>
      <c r="AS678" s="7"/>
      <c r="AT678" s="7"/>
      <c r="AU678" s="7"/>
      <c r="AV678" s="7"/>
      <c r="AW678" s="7"/>
    </row>
    <row r="679" spans="1:49" ht="15.75" customHeight="1" thickBo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0"/>
      <c r="AO679" s="7"/>
      <c r="AP679" s="7"/>
      <c r="AQ679" s="7"/>
      <c r="AR679" s="7"/>
      <c r="AS679" s="7"/>
      <c r="AT679" s="7"/>
      <c r="AU679" s="7"/>
      <c r="AV679" s="7"/>
      <c r="AW679" s="7"/>
    </row>
    <row r="680" spans="1:49" ht="15.75" customHeight="1" thickBo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0"/>
      <c r="AO680" s="7"/>
      <c r="AP680" s="7"/>
      <c r="AQ680" s="7"/>
      <c r="AR680" s="7"/>
      <c r="AS680" s="7"/>
      <c r="AT680" s="7"/>
      <c r="AU680" s="7"/>
      <c r="AV680" s="7"/>
      <c r="AW680" s="7"/>
    </row>
    <row r="681" spans="1:49" ht="15.75" customHeight="1" thickBo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0"/>
      <c r="AO681" s="7"/>
      <c r="AP681" s="7"/>
      <c r="AQ681" s="7"/>
      <c r="AR681" s="7"/>
      <c r="AS681" s="7"/>
      <c r="AT681" s="7"/>
      <c r="AU681" s="7"/>
      <c r="AV681" s="7"/>
      <c r="AW681" s="7"/>
    </row>
    <row r="682" spans="1:49" ht="15.75" customHeight="1" thickBo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0"/>
      <c r="AO682" s="7"/>
      <c r="AP682" s="7"/>
      <c r="AQ682" s="7"/>
      <c r="AR682" s="7"/>
      <c r="AS682" s="7"/>
      <c r="AT682" s="7"/>
      <c r="AU682" s="7"/>
      <c r="AV682" s="7"/>
      <c r="AW682" s="7"/>
    </row>
    <row r="683" spans="1:49" ht="15.75" customHeight="1" thickBo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0"/>
      <c r="AO683" s="7"/>
      <c r="AP683" s="7"/>
      <c r="AQ683" s="7"/>
      <c r="AR683" s="7"/>
      <c r="AS683" s="7"/>
      <c r="AT683" s="7"/>
      <c r="AU683" s="7"/>
      <c r="AV683" s="7"/>
      <c r="AW683" s="7"/>
    </row>
    <row r="684" spans="1:49" ht="15.75" customHeight="1" thickBo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0"/>
      <c r="AO684" s="7"/>
      <c r="AP684" s="7"/>
      <c r="AQ684" s="7"/>
      <c r="AR684" s="7"/>
      <c r="AS684" s="7"/>
      <c r="AT684" s="7"/>
      <c r="AU684" s="7"/>
      <c r="AV684" s="7"/>
      <c r="AW684" s="7"/>
    </row>
    <row r="685" spans="1:49" ht="15.75" customHeight="1" thickBo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0"/>
      <c r="AO685" s="7"/>
      <c r="AP685" s="7"/>
      <c r="AQ685" s="7"/>
      <c r="AR685" s="7"/>
      <c r="AS685" s="7"/>
      <c r="AT685" s="7"/>
      <c r="AU685" s="7"/>
      <c r="AV685" s="7"/>
      <c r="AW685" s="7"/>
    </row>
    <row r="686" spans="1:49" ht="15.75" customHeight="1" thickBo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0"/>
      <c r="AO686" s="7"/>
      <c r="AP686" s="7"/>
      <c r="AQ686" s="7"/>
      <c r="AR686" s="7"/>
      <c r="AS686" s="7"/>
      <c r="AT686" s="7"/>
      <c r="AU686" s="7"/>
      <c r="AV686" s="7"/>
      <c r="AW686" s="7"/>
    </row>
    <row r="687" spans="1:49" ht="15.75" customHeight="1" thickBo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0"/>
      <c r="AO687" s="7"/>
      <c r="AP687" s="7"/>
      <c r="AQ687" s="7"/>
      <c r="AR687" s="7"/>
      <c r="AS687" s="7"/>
      <c r="AT687" s="7"/>
      <c r="AU687" s="7"/>
      <c r="AV687" s="7"/>
      <c r="AW687" s="7"/>
    </row>
    <row r="688" spans="1:49" ht="15.75" customHeight="1" thickBo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0"/>
      <c r="AO688" s="7"/>
      <c r="AP688" s="7"/>
      <c r="AQ688" s="7"/>
      <c r="AR688" s="7"/>
      <c r="AS688" s="7"/>
      <c r="AT688" s="7"/>
      <c r="AU688" s="7"/>
      <c r="AV688" s="7"/>
      <c r="AW688" s="7"/>
    </row>
    <row r="689" spans="1:49" ht="15.75" customHeight="1" thickBo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0"/>
      <c r="AO689" s="7"/>
      <c r="AP689" s="7"/>
      <c r="AQ689" s="7"/>
      <c r="AR689" s="7"/>
      <c r="AS689" s="7"/>
      <c r="AT689" s="7"/>
      <c r="AU689" s="7"/>
      <c r="AV689" s="7"/>
      <c r="AW689" s="7"/>
    </row>
    <row r="690" spans="1:49" ht="15.75" customHeight="1" thickBo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0"/>
      <c r="AO690" s="7"/>
      <c r="AP690" s="7"/>
      <c r="AQ690" s="7"/>
      <c r="AR690" s="7"/>
      <c r="AS690" s="7"/>
      <c r="AT690" s="7"/>
      <c r="AU690" s="7"/>
      <c r="AV690" s="7"/>
      <c r="AW690" s="7"/>
    </row>
    <row r="691" spans="1:49" ht="15.75" customHeight="1" thickBo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0"/>
      <c r="AO691" s="7"/>
      <c r="AP691" s="7"/>
      <c r="AQ691" s="7"/>
      <c r="AR691" s="7"/>
      <c r="AS691" s="7"/>
      <c r="AT691" s="7"/>
      <c r="AU691" s="7"/>
      <c r="AV691" s="7"/>
      <c r="AW691" s="7"/>
    </row>
    <row r="692" spans="1:49" ht="15.75" customHeight="1" thickBo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0"/>
      <c r="AO692" s="7"/>
      <c r="AP692" s="7"/>
      <c r="AQ692" s="7"/>
      <c r="AR692" s="7"/>
      <c r="AS692" s="7"/>
      <c r="AT692" s="7"/>
      <c r="AU692" s="7"/>
      <c r="AV692" s="7"/>
      <c r="AW692" s="7"/>
    </row>
    <row r="693" spans="1:49" ht="15.75" customHeight="1" thickBo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0"/>
      <c r="AO693" s="7"/>
      <c r="AP693" s="7"/>
      <c r="AQ693" s="7"/>
      <c r="AR693" s="7"/>
      <c r="AS693" s="7"/>
      <c r="AT693" s="7"/>
      <c r="AU693" s="7"/>
      <c r="AV693" s="7"/>
      <c r="AW693" s="7"/>
    </row>
    <row r="694" spans="1:49" ht="15.75" customHeight="1" thickBo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0"/>
      <c r="AO694" s="7"/>
      <c r="AP694" s="7"/>
      <c r="AQ694" s="7"/>
      <c r="AR694" s="7"/>
      <c r="AS694" s="7"/>
      <c r="AT694" s="7"/>
      <c r="AU694" s="7"/>
      <c r="AV694" s="7"/>
      <c r="AW694" s="7"/>
    </row>
    <row r="695" spans="1:49" ht="15.75" customHeight="1" thickBo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0"/>
      <c r="AO695" s="7"/>
      <c r="AP695" s="7"/>
      <c r="AQ695" s="7"/>
      <c r="AR695" s="7"/>
      <c r="AS695" s="7"/>
      <c r="AT695" s="7"/>
      <c r="AU695" s="7"/>
      <c r="AV695" s="7"/>
      <c r="AW695" s="7"/>
    </row>
    <row r="696" spans="1:49" ht="15.75" customHeight="1" thickBo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0"/>
      <c r="AO696" s="7"/>
      <c r="AP696" s="7"/>
      <c r="AQ696" s="7"/>
      <c r="AR696" s="7"/>
      <c r="AS696" s="7"/>
      <c r="AT696" s="7"/>
      <c r="AU696" s="7"/>
      <c r="AV696" s="7"/>
      <c r="AW696" s="7"/>
    </row>
    <row r="697" spans="1:49" ht="15.75" customHeight="1" thickBo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0"/>
      <c r="AO697" s="7"/>
      <c r="AP697" s="7"/>
      <c r="AQ697" s="7"/>
      <c r="AR697" s="7"/>
      <c r="AS697" s="7"/>
      <c r="AT697" s="7"/>
      <c r="AU697" s="7"/>
      <c r="AV697" s="7"/>
      <c r="AW697" s="7"/>
    </row>
    <row r="698" spans="1:49" ht="15.75" customHeight="1" thickBo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0"/>
      <c r="AO698" s="7"/>
      <c r="AP698" s="7"/>
      <c r="AQ698" s="7"/>
      <c r="AR698" s="7"/>
      <c r="AS698" s="7"/>
      <c r="AT698" s="7"/>
      <c r="AU698" s="7"/>
      <c r="AV698" s="7"/>
      <c r="AW698" s="7"/>
    </row>
    <row r="699" spans="1:49" ht="15.75" customHeight="1" thickBo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0"/>
      <c r="AO699" s="7"/>
      <c r="AP699" s="7"/>
      <c r="AQ699" s="7"/>
      <c r="AR699" s="7"/>
      <c r="AS699" s="7"/>
      <c r="AT699" s="7"/>
      <c r="AU699" s="7"/>
      <c r="AV699" s="7"/>
      <c r="AW699" s="7"/>
    </row>
    <row r="700" spans="1:49" ht="15.75" customHeight="1" thickBo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0"/>
      <c r="AO700" s="7"/>
      <c r="AP700" s="7"/>
      <c r="AQ700" s="7"/>
      <c r="AR700" s="7"/>
      <c r="AS700" s="7"/>
      <c r="AT700" s="7"/>
      <c r="AU700" s="7"/>
      <c r="AV700" s="7"/>
      <c r="AW700" s="7"/>
    </row>
    <row r="701" spans="1:49" ht="15.75" customHeight="1" thickBo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0"/>
      <c r="AO701" s="7"/>
      <c r="AP701" s="7"/>
      <c r="AQ701" s="7"/>
      <c r="AR701" s="7"/>
      <c r="AS701" s="7"/>
      <c r="AT701" s="7"/>
      <c r="AU701" s="7"/>
      <c r="AV701" s="7"/>
      <c r="AW701" s="7"/>
    </row>
    <row r="702" spans="1:49" ht="15.75" customHeight="1" thickBo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0"/>
      <c r="AO702" s="7"/>
      <c r="AP702" s="7"/>
      <c r="AQ702" s="7"/>
      <c r="AR702" s="7"/>
      <c r="AS702" s="7"/>
      <c r="AT702" s="7"/>
      <c r="AU702" s="7"/>
      <c r="AV702" s="7"/>
      <c r="AW702" s="7"/>
    </row>
    <row r="703" spans="1:49" ht="15.75" customHeight="1" thickBo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0"/>
      <c r="AO703" s="7"/>
      <c r="AP703" s="7"/>
      <c r="AQ703" s="7"/>
      <c r="AR703" s="7"/>
      <c r="AS703" s="7"/>
      <c r="AT703" s="7"/>
      <c r="AU703" s="7"/>
      <c r="AV703" s="7"/>
      <c r="AW703" s="7"/>
    </row>
    <row r="704" spans="1:49" ht="15.75" customHeight="1" thickBo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0"/>
      <c r="AO704" s="7"/>
      <c r="AP704" s="7"/>
      <c r="AQ704" s="7"/>
      <c r="AR704" s="7"/>
      <c r="AS704" s="7"/>
      <c r="AT704" s="7"/>
      <c r="AU704" s="7"/>
      <c r="AV704" s="7"/>
      <c r="AW704" s="7"/>
    </row>
    <row r="705" spans="1:49" ht="15.75" customHeight="1" thickBo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0"/>
      <c r="AO705" s="7"/>
      <c r="AP705" s="7"/>
      <c r="AQ705" s="7"/>
      <c r="AR705" s="7"/>
      <c r="AS705" s="7"/>
      <c r="AT705" s="7"/>
      <c r="AU705" s="7"/>
      <c r="AV705" s="7"/>
      <c r="AW705" s="7"/>
    </row>
    <row r="706" spans="1:49" ht="15.75" customHeight="1" thickBo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0"/>
      <c r="AO706" s="7"/>
      <c r="AP706" s="7"/>
      <c r="AQ706" s="7"/>
      <c r="AR706" s="7"/>
      <c r="AS706" s="7"/>
      <c r="AT706" s="7"/>
      <c r="AU706" s="7"/>
      <c r="AV706" s="7"/>
      <c r="AW706" s="7"/>
    </row>
    <row r="707" spans="1:49" ht="15.75" customHeight="1" thickBo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0"/>
      <c r="AO707" s="7"/>
      <c r="AP707" s="7"/>
      <c r="AQ707" s="7"/>
      <c r="AR707" s="7"/>
      <c r="AS707" s="7"/>
      <c r="AT707" s="7"/>
      <c r="AU707" s="7"/>
      <c r="AV707" s="7"/>
      <c r="AW707" s="7"/>
    </row>
    <row r="708" spans="1:49" ht="15.75" customHeight="1" thickBo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0"/>
      <c r="AO708" s="7"/>
      <c r="AP708" s="7"/>
      <c r="AQ708" s="7"/>
      <c r="AR708" s="7"/>
      <c r="AS708" s="7"/>
      <c r="AT708" s="7"/>
      <c r="AU708" s="7"/>
      <c r="AV708" s="7"/>
      <c r="AW708" s="7"/>
    </row>
    <row r="709" spans="1:49" ht="15.75" customHeight="1" thickBo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0"/>
      <c r="AO709" s="7"/>
      <c r="AP709" s="7"/>
      <c r="AQ709" s="7"/>
      <c r="AR709" s="7"/>
      <c r="AS709" s="7"/>
      <c r="AT709" s="7"/>
      <c r="AU709" s="7"/>
      <c r="AV709" s="7"/>
      <c r="AW709" s="7"/>
    </row>
    <row r="710" spans="1:49" ht="15.75" customHeight="1" thickBo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0"/>
      <c r="AO710" s="7"/>
      <c r="AP710" s="7"/>
      <c r="AQ710" s="7"/>
      <c r="AR710" s="7"/>
      <c r="AS710" s="7"/>
      <c r="AT710" s="7"/>
      <c r="AU710" s="7"/>
      <c r="AV710" s="7"/>
      <c r="AW710" s="7"/>
    </row>
    <row r="711" spans="1:49" ht="15.75" customHeight="1" thickBo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0"/>
      <c r="AO711" s="7"/>
      <c r="AP711" s="7"/>
      <c r="AQ711" s="7"/>
      <c r="AR711" s="7"/>
      <c r="AS711" s="7"/>
      <c r="AT711" s="7"/>
      <c r="AU711" s="7"/>
      <c r="AV711" s="7"/>
      <c r="AW711" s="7"/>
    </row>
    <row r="712" spans="1:49" ht="15.75" customHeight="1" thickBo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0"/>
      <c r="AO712" s="7"/>
      <c r="AP712" s="7"/>
      <c r="AQ712" s="7"/>
      <c r="AR712" s="7"/>
      <c r="AS712" s="7"/>
      <c r="AT712" s="7"/>
      <c r="AU712" s="7"/>
      <c r="AV712" s="7"/>
      <c r="AW712" s="7"/>
    </row>
    <row r="713" spans="1:49" ht="15.75" customHeight="1" thickBo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0"/>
      <c r="AO713" s="7"/>
      <c r="AP713" s="7"/>
      <c r="AQ713" s="7"/>
      <c r="AR713" s="7"/>
      <c r="AS713" s="7"/>
      <c r="AT713" s="7"/>
      <c r="AU713" s="7"/>
      <c r="AV713" s="7"/>
      <c r="AW713" s="7"/>
    </row>
    <row r="714" spans="1:49" ht="15.75" customHeight="1" thickBo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0"/>
      <c r="AO714" s="7"/>
      <c r="AP714" s="7"/>
      <c r="AQ714" s="7"/>
      <c r="AR714" s="7"/>
      <c r="AS714" s="7"/>
      <c r="AT714" s="7"/>
      <c r="AU714" s="7"/>
      <c r="AV714" s="7"/>
      <c r="AW714" s="7"/>
    </row>
    <row r="715" spans="1:49" ht="15.75" customHeight="1" thickBo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0"/>
      <c r="AO715" s="7"/>
      <c r="AP715" s="7"/>
      <c r="AQ715" s="7"/>
      <c r="AR715" s="7"/>
      <c r="AS715" s="7"/>
      <c r="AT715" s="7"/>
      <c r="AU715" s="7"/>
      <c r="AV715" s="7"/>
      <c r="AW715" s="7"/>
    </row>
    <row r="716" spans="1:49" ht="15.75" customHeight="1" thickBo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0"/>
      <c r="AO716" s="7"/>
      <c r="AP716" s="7"/>
      <c r="AQ716" s="7"/>
      <c r="AR716" s="7"/>
      <c r="AS716" s="7"/>
      <c r="AT716" s="7"/>
      <c r="AU716" s="7"/>
      <c r="AV716" s="7"/>
      <c r="AW716" s="7"/>
    </row>
    <row r="717" spans="1:49" ht="15.75" customHeight="1" thickBo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0"/>
      <c r="AO717" s="7"/>
      <c r="AP717" s="7"/>
      <c r="AQ717" s="7"/>
      <c r="AR717" s="7"/>
      <c r="AS717" s="7"/>
      <c r="AT717" s="7"/>
      <c r="AU717" s="7"/>
      <c r="AV717" s="7"/>
      <c r="AW717" s="7"/>
    </row>
    <row r="718" spans="1:49" ht="15.75" customHeight="1" thickBo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0"/>
      <c r="AO718" s="7"/>
      <c r="AP718" s="7"/>
      <c r="AQ718" s="7"/>
      <c r="AR718" s="7"/>
      <c r="AS718" s="7"/>
      <c r="AT718" s="7"/>
      <c r="AU718" s="7"/>
      <c r="AV718" s="7"/>
      <c r="AW718" s="7"/>
    </row>
    <row r="719" spans="1:49" ht="15.75" customHeight="1" thickBo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0"/>
      <c r="AO719" s="7"/>
      <c r="AP719" s="7"/>
      <c r="AQ719" s="7"/>
      <c r="AR719" s="7"/>
      <c r="AS719" s="7"/>
      <c r="AT719" s="7"/>
      <c r="AU719" s="7"/>
      <c r="AV719" s="7"/>
      <c r="AW719" s="7"/>
    </row>
    <row r="720" spans="1:49" ht="15.75" customHeight="1" thickBo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0"/>
      <c r="AO720" s="7"/>
      <c r="AP720" s="7"/>
      <c r="AQ720" s="7"/>
      <c r="AR720" s="7"/>
      <c r="AS720" s="7"/>
      <c r="AT720" s="7"/>
      <c r="AU720" s="7"/>
      <c r="AV720" s="7"/>
      <c r="AW720" s="7"/>
    </row>
    <row r="721" spans="1:49" ht="15.75" customHeight="1" thickBo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0"/>
      <c r="AO721" s="7"/>
      <c r="AP721" s="7"/>
      <c r="AQ721" s="7"/>
      <c r="AR721" s="7"/>
      <c r="AS721" s="7"/>
      <c r="AT721" s="7"/>
      <c r="AU721" s="7"/>
      <c r="AV721" s="7"/>
      <c r="AW721" s="7"/>
    </row>
    <row r="722" spans="1:49" ht="15.75" customHeight="1" thickBo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0"/>
      <c r="AO722" s="7"/>
      <c r="AP722" s="7"/>
      <c r="AQ722" s="7"/>
      <c r="AR722" s="7"/>
      <c r="AS722" s="7"/>
      <c r="AT722" s="7"/>
      <c r="AU722" s="7"/>
      <c r="AV722" s="7"/>
      <c r="AW722" s="7"/>
    </row>
    <row r="723" spans="1:49" ht="15.75" customHeight="1" thickBo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0"/>
      <c r="AO723" s="7"/>
      <c r="AP723" s="7"/>
      <c r="AQ723" s="7"/>
      <c r="AR723" s="7"/>
      <c r="AS723" s="7"/>
      <c r="AT723" s="7"/>
      <c r="AU723" s="7"/>
      <c r="AV723" s="7"/>
      <c r="AW723" s="7"/>
    </row>
    <row r="724" spans="1:49" ht="15.75" customHeight="1" thickBo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0"/>
      <c r="AO724" s="7"/>
      <c r="AP724" s="7"/>
      <c r="AQ724" s="7"/>
      <c r="AR724" s="7"/>
      <c r="AS724" s="7"/>
      <c r="AT724" s="7"/>
      <c r="AU724" s="7"/>
      <c r="AV724" s="7"/>
      <c r="AW724" s="7"/>
    </row>
    <row r="725" spans="1:49" ht="15.75" customHeight="1" thickBo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0"/>
      <c r="AO725" s="7"/>
      <c r="AP725" s="7"/>
      <c r="AQ725" s="7"/>
      <c r="AR725" s="7"/>
      <c r="AS725" s="7"/>
      <c r="AT725" s="7"/>
      <c r="AU725" s="7"/>
      <c r="AV725" s="7"/>
      <c r="AW725" s="7"/>
    </row>
    <row r="726" spans="1:49" ht="15.75" customHeight="1" thickBo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0"/>
      <c r="AO726" s="7"/>
      <c r="AP726" s="7"/>
      <c r="AQ726" s="7"/>
      <c r="AR726" s="7"/>
      <c r="AS726" s="7"/>
      <c r="AT726" s="7"/>
      <c r="AU726" s="7"/>
      <c r="AV726" s="7"/>
      <c r="AW726" s="7"/>
    </row>
    <row r="727" spans="1:49" ht="15.75" customHeight="1" thickBo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0"/>
      <c r="AO727" s="7"/>
      <c r="AP727" s="7"/>
      <c r="AQ727" s="7"/>
      <c r="AR727" s="7"/>
      <c r="AS727" s="7"/>
      <c r="AT727" s="7"/>
      <c r="AU727" s="7"/>
      <c r="AV727" s="7"/>
      <c r="AW727" s="7"/>
    </row>
    <row r="728" spans="1:49" ht="15.75" customHeight="1" thickBo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0"/>
      <c r="AO728" s="7"/>
      <c r="AP728" s="7"/>
      <c r="AQ728" s="7"/>
      <c r="AR728" s="7"/>
      <c r="AS728" s="7"/>
      <c r="AT728" s="7"/>
      <c r="AU728" s="7"/>
      <c r="AV728" s="7"/>
      <c r="AW728" s="7"/>
    </row>
    <row r="729" spans="1:49" ht="15.75" customHeight="1" thickBo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0"/>
      <c r="AO729" s="7"/>
      <c r="AP729" s="7"/>
      <c r="AQ729" s="7"/>
      <c r="AR729" s="7"/>
      <c r="AS729" s="7"/>
      <c r="AT729" s="7"/>
      <c r="AU729" s="7"/>
      <c r="AV729" s="7"/>
      <c r="AW729" s="7"/>
    </row>
    <row r="730" spans="1:49" ht="15.75" customHeight="1" thickBo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0"/>
      <c r="AO730" s="7"/>
      <c r="AP730" s="7"/>
      <c r="AQ730" s="7"/>
      <c r="AR730" s="7"/>
      <c r="AS730" s="7"/>
      <c r="AT730" s="7"/>
      <c r="AU730" s="7"/>
      <c r="AV730" s="7"/>
      <c r="AW730" s="7"/>
    </row>
    <row r="731" spans="1:49" ht="15.75" customHeight="1" thickBo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0"/>
      <c r="AO731" s="7"/>
      <c r="AP731" s="7"/>
      <c r="AQ731" s="7"/>
      <c r="AR731" s="7"/>
      <c r="AS731" s="7"/>
      <c r="AT731" s="7"/>
      <c r="AU731" s="7"/>
      <c r="AV731" s="7"/>
      <c r="AW731" s="7"/>
    </row>
    <row r="732" spans="1:49" ht="15.75" customHeight="1" thickBo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0"/>
      <c r="AO732" s="7"/>
      <c r="AP732" s="7"/>
      <c r="AQ732" s="7"/>
      <c r="AR732" s="7"/>
      <c r="AS732" s="7"/>
      <c r="AT732" s="7"/>
      <c r="AU732" s="7"/>
      <c r="AV732" s="7"/>
      <c r="AW732" s="7"/>
    </row>
    <row r="733" spans="1:49" ht="15.75" customHeight="1" thickBo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0"/>
      <c r="AO733" s="7"/>
      <c r="AP733" s="7"/>
      <c r="AQ733" s="7"/>
      <c r="AR733" s="7"/>
      <c r="AS733" s="7"/>
      <c r="AT733" s="7"/>
      <c r="AU733" s="7"/>
      <c r="AV733" s="7"/>
      <c r="AW733" s="7"/>
    </row>
    <row r="734" spans="1:49" ht="15.75" customHeight="1" thickBo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0"/>
      <c r="AO734" s="7"/>
      <c r="AP734" s="7"/>
      <c r="AQ734" s="7"/>
      <c r="AR734" s="7"/>
      <c r="AS734" s="7"/>
      <c r="AT734" s="7"/>
      <c r="AU734" s="7"/>
      <c r="AV734" s="7"/>
      <c r="AW734" s="7"/>
    </row>
    <row r="735" spans="1:49" ht="15.75" customHeight="1" thickBo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0"/>
      <c r="AO735" s="7"/>
      <c r="AP735" s="7"/>
      <c r="AQ735" s="7"/>
      <c r="AR735" s="7"/>
      <c r="AS735" s="7"/>
      <c r="AT735" s="7"/>
      <c r="AU735" s="7"/>
      <c r="AV735" s="7"/>
      <c r="AW735" s="7"/>
    </row>
    <row r="736" spans="1:49" ht="15.75" customHeight="1" thickBo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0"/>
      <c r="AO736" s="7"/>
      <c r="AP736" s="7"/>
      <c r="AQ736" s="7"/>
      <c r="AR736" s="7"/>
      <c r="AS736" s="7"/>
      <c r="AT736" s="7"/>
      <c r="AU736" s="7"/>
      <c r="AV736" s="7"/>
      <c r="AW736" s="7"/>
    </row>
    <row r="737" spans="1:49" ht="15.75" customHeight="1" thickBo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0"/>
      <c r="AO737" s="7"/>
      <c r="AP737" s="7"/>
      <c r="AQ737" s="7"/>
      <c r="AR737" s="7"/>
      <c r="AS737" s="7"/>
      <c r="AT737" s="7"/>
      <c r="AU737" s="7"/>
      <c r="AV737" s="7"/>
      <c r="AW737" s="7"/>
    </row>
    <row r="738" spans="1:49" ht="15.75" customHeight="1" thickBo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0"/>
      <c r="AO738" s="7"/>
      <c r="AP738" s="7"/>
      <c r="AQ738" s="7"/>
      <c r="AR738" s="7"/>
      <c r="AS738" s="7"/>
      <c r="AT738" s="7"/>
      <c r="AU738" s="7"/>
      <c r="AV738" s="7"/>
      <c r="AW738" s="7"/>
    </row>
    <row r="739" spans="1:49" ht="15.75" customHeight="1" thickBo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0"/>
      <c r="AO739" s="7"/>
      <c r="AP739" s="7"/>
      <c r="AQ739" s="7"/>
      <c r="AR739" s="7"/>
      <c r="AS739" s="7"/>
      <c r="AT739" s="7"/>
      <c r="AU739" s="7"/>
      <c r="AV739" s="7"/>
      <c r="AW739" s="7"/>
    </row>
    <row r="740" spans="1:49" ht="15.75" customHeight="1" thickBo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0"/>
      <c r="AO740" s="7"/>
      <c r="AP740" s="7"/>
      <c r="AQ740" s="7"/>
      <c r="AR740" s="7"/>
      <c r="AS740" s="7"/>
      <c r="AT740" s="7"/>
      <c r="AU740" s="7"/>
      <c r="AV740" s="7"/>
      <c r="AW740" s="7"/>
    </row>
    <row r="741" spans="1:49" ht="15.75" customHeight="1" thickBo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0"/>
      <c r="AO741" s="7"/>
      <c r="AP741" s="7"/>
      <c r="AQ741" s="7"/>
      <c r="AR741" s="7"/>
      <c r="AS741" s="7"/>
      <c r="AT741" s="7"/>
      <c r="AU741" s="7"/>
      <c r="AV741" s="7"/>
      <c r="AW741" s="7"/>
    </row>
    <row r="742" spans="1:49" ht="15.75" customHeight="1" thickBo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0"/>
      <c r="AO742" s="7"/>
      <c r="AP742" s="7"/>
      <c r="AQ742" s="7"/>
      <c r="AR742" s="7"/>
      <c r="AS742" s="7"/>
      <c r="AT742" s="7"/>
      <c r="AU742" s="7"/>
      <c r="AV742" s="7"/>
      <c r="AW742" s="7"/>
    </row>
    <row r="743" spans="1:49" ht="15.75" customHeight="1" thickBo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0"/>
      <c r="AO743" s="7"/>
      <c r="AP743" s="7"/>
      <c r="AQ743" s="7"/>
      <c r="AR743" s="7"/>
      <c r="AS743" s="7"/>
      <c r="AT743" s="7"/>
      <c r="AU743" s="7"/>
      <c r="AV743" s="7"/>
      <c r="AW743" s="7"/>
    </row>
    <row r="744" spans="1:49" ht="15.75" customHeight="1" thickBo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0"/>
      <c r="AO744" s="7"/>
      <c r="AP744" s="7"/>
      <c r="AQ744" s="7"/>
      <c r="AR744" s="7"/>
      <c r="AS744" s="7"/>
      <c r="AT744" s="7"/>
      <c r="AU744" s="7"/>
      <c r="AV744" s="7"/>
      <c r="AW744" s="7"/>
    </row>
    <row r="745" spans="1:49" ht="15.75" customHeight="1" thickBo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0"/>
      <c r="AO745" s="7"/>
      <c r="AP745" s="7"/>
      <c r="AQ745" s="7"/>
      <c r="AR745" s="7"/>
      <c r="AS745" s="7"/>
      <c r="AT745" s="7"/>
      <c r="AU745" s="7"/>
      <c r="AV745" s="7"/>
      <c r="AW745" s="7"/>
    </row>
    <row r="746" spans="1:49" ht="15.75" customHeight="1" thickBo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0"/>
      <c r="AO746" s="7"/>
      <c r="AP746" s="7"/>
      <c r="AQ746" s="7"/>
      <c r="AR746" s="7"/>
      <c r="AS746" s="7"/>
      <c r="AT746" s="7"/>
      <c r="AU746" s="7"/>
      <c r="AV746" s="7"/>
      <c r="AW746" s="7"/>
    </row>
    <row r="747" spans="1:49" ht="15.75" customHeight="1" thickBo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0"/>
      <c r="AO747" s="7"/>
      <c r="AP747" s="7"/>
      <c r="AQ747" s="7"/>
      <c r="AR747" s="7"/>
      <c r="AS747" s="7"/>
      <c r="AT747" s="7"/>
      <c r="AU747" s="7"/>
      <c r="AV747" s="7"/>
      <c r="AW747" s="7"/>
    </row>
    <row r="748" spans="1:49" ht="15.75" customHeight="1" thickBo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0"/>
      <c r="AO748" s="7"/>
      <c r="AP748" s="7"/>
      <c r="AQ748" s="7"/>
      <c r="AR748" s="7"/>
      <c r="AS748" s="7"/>
      <c r="AT748" s="7"/>
      <c r="AU748" s="7"/>
      <c r="AV748" s="7"/>
      <c r="AW748" s="7"/>
    </row>
    <row r="749" spans="1:49" ht="15.75" customHeight="1" thickBo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0"/>
      <c r="AO749" s="7"/>
      <c r="AP749" s="7"/>
      <c r="AQ749" s="7"/>
      <c r="AR749" s="7"/>
      <c r="AS749" s="7"/>
      <c r="AT749" s="7"/>
      <c r="AU749" s="7"/>
      <c r="AV749" s="7"/>
      <c r="AW749" s="7"/>
    </row>
    <row r="750" spans="1:49" ht="15.75" customHeight="1" thickBo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0"/>
      <c r="AO750" s="7"/>
      <c r="AP750" s="7"/>
      <c r="AQ750" s="7"/>
      <c r="AR750" s="7"/>
      <c r="AS750" s="7"/>
      <c r="AT750" s="7"/>
      <c r="AU750" s="7"/>
      <c r="AV750" s="7"/>
      <c r="AW750" s="7"/>
    </row>
    <row r="751" spans="1:49" ht="15.75" customHeight="1" thickBo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0"/>
      <c r="AO751" s="7"/>
      <c r="AP751" s="7"/>
      <c r="AQ751" s="7"/>
      <c r="AR751" s="7"/>
      <c r="AS751" s="7"/>
      <c r="AT751" s="7"/>
      <c r="AU751" s="7"/>
      <c r="AV751" s="7"/>
      <c r="AW751" s="7"/>
    </row>
    <row r="752" spans="1:49" ht="15.75" customHeight="1" thickBo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0"/>
      <c r="AO752" s="7"/>
      <c r="AP752" s="7"/>
      <c r="AQ752" s="7"/>
      <c r="AR752" s="7"/>
      <c r="AS752" s="7"/>
      <c r="AT752" s="7"/>
      <c r="AU752" s="7"/>
      <c r="AV752" s="7"/>
      <c r="AW752" s="7"/>
    </row>
    <row r="753" spans="1:49" ht="15.75" customHeight="1" thickBo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0"/>
      <c r="AO753" s="7"/>
      <c r="AP753" s="7"/>
      <c r="AQ753" s="7"/>
      <c r="AR753" s="7"/>
      <c r="AS753" s="7"/>
      <c r="AT753" s="7"/>
      <c r="AU753" s="7"/>
      <c r="AV753" s="7"/>
      <c r="AW753" s="7"/>
    </row>
    <row r="754" spans="1:49" ht="15.75" customHeight="1" thickBo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0"/>
      <c r="AO754" s="7"/>
      <c r="AP754" s="7"/>
      <c r="AQ754" s="7"/>
      <c r="AR754" s="7"/>
      <c r="AS754" s="7"/>
      <c r="AT754" s="7"/>
      <c r="AU754" s="7"/>
      <c r="AV754" s="7"/>
      <c r="AW754" s="7"/>
    </row>
    <row r="755" spans="1:49" ht="15.75" customHeight="1" thickBo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0"/>
      <c r="AO755" s="7"/>
      <c r="AP755" s="7"/>
      <c r="AQ755" s="7"/>
      <c r="AR755" s="7"/>
      <c r="AS755" s="7"/>
      <c r="AT755" s="7"/>
      <c r="AU755" s="7"/>
      <c r="AV755" s="7"/>
      <c r="AW755" s="7"/>
    </row>
    <row r="756" spans="1:49" ht="15.75" customHeight="1" thickBo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0"/>
      <c r="AO756" s="7"/>
      <c r="AP756" s="7"/>
      <c r="AQ756" s="7"/>
      <c r="AR756" s="7"/>
      <c r="AS756" s="7"/>
      <c r="AT756" s="7"/>
      <c r="AU756" s="7"/>
      <c r="AV756" s="7"/>
      <c r="AW756" s="7"/>
    </row>
    <row r="757" spans="1:49" ht="15.75" customHeight="1" thickBo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0"/>
      <c r="AO757" s="7"/>
      <c r="AP757" s="7"/>
      <c r="AQ757" s="7"/>
      <c r="AR757" s="7"/>
      <c r="AS757" s="7"/>
      <c r="AT757" s="7"/>
      <c r="AU757" s="7"/>
      <c r="AV757" s="7"/>
      <c r="AW757" s="7"/>
    </row>
    <row r="758" spans="1:49" ht="15.75" customHeight="1" thickBo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0"/>
      <c r="AO758" s="7"/>
      <c r="AP758" s="7"/>
      <c r="AQ758" s="7"/>
      <c r="AR758" s="7"/>
      <c r="AS758" s="7"/>
      <c r="AT758" s="7"/>
      <c r="AU758" s="7"/>
      <c r="AV758" s="7"/>
      <c r="AW758" s="7"/>
    </row>
    <row r="759" spans="1:49" ht="15.75" customHeight="1" thickBo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0"/>
      <c r="AO759" s="7"/>
      <c r="AP759" s="7"/>
      <c r="AQ759" s="7"/>
      <c r="AR759" s="7"/>
      <c r="AS759" s="7"/>
      <c r="AT759" s="7"/>
      <c r="AU759" s="7"/>
      <c r="AV759" s="7"/>
      <c r="AW759" s="7"/>
    </row>
    <row r="760" spans="1:49" ht="15.75" customHeight="1" thickBo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0"/>
      <c r="AO760" s="7"/>
      <c r="AP760" s="7"/>
      <c r="AQ760" s="7"/>
      <c r="AR760" s="7"/>
      <c r="AS760" s="7"/>
      <c r="AT760" s="7"/>
      <c r="AU760" s="7"/>
      <c r="AV760" s="7"/>
      <c r="AW760" s="7"/>
    </row>
    <row r="761" spans="1:49" ht="15.75" customHeight="1" thickBo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0"/>
      <c r="AO761" s="7"/>
      <c r="AP761" s="7"/>
      <c r="AQ761" s="7"/>
      <c r="AR761" s="7"/>
      <c r="AS761" s="7"/>
      <c r="AT761" s="7"/>
      <c r="AU761" s="7"/>
      <c r="AV761" s="7"/>
      <c r="AW761" s="7"/>
    </row>
    <row r="762" spans="1:49" ht="15.75" customHeight="1" thickBo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0"/>
      <c r="AO762" s="7"/>
      <c r="AP762" s="7"/>
      <c r="AQ762" s="7"/>
      <c r="AR762" s="7"/>
      <c r="AS762" s="7"/>
      <c r="AT762" s="7"/>
      <c r="AU762" s="7"/>
      <c r="AV762" s="7"/>
      <c r="AW762" s="7"/>
    </row>
    <row r="763" spans="1:49" ht="15.75" customHeight="1" thickBo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0"/>
      <c r="AO763" s="7"/>
      <c r="AP763" s="7"/>
      <c r="AQ763" s="7"/>
      <c r="AR763" s="7"/>
      <c r="AS763" s="7"/>
      <c r="AT763" s="7"/>
      <c r="AU763" s="7"/>
      <c r="AV763" s="7"/>
      <c r="AW763" s="7"/>
    </row>
    <row r="764" spans="1:49" ht="15.75" customHeight="1" thickBo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0"/>
      <c r="AO764" s="7"/>
      <c r="AP764" s="7"/>
      <c r="AQ764" s="7"/>
      <c r="AR764" s="7"/>
      <c r="AS764" s="7"/>
      <c r="AT764" s="7"/>
      <c r="AU764" s="7"/>
      <c r="AV764" s="7"/>
      <c r="AW764" s="7"/>
    </row>
    <row r="765" spans="1:49" ht="15.75" customHeight="1" thickBo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0"/>
      <c r="AO765" s="7"/>
      <c r="AP765" s="7"/>
      <c r="AQ765" s="7"/>
      <c r="AR765" s="7"/>
      <c r="AS765" s="7"/>
      <c r="AT765" s="7"/>
      <c r="AU765" s="7"/>
      <c r="AV765" s="7"/>
      <c r="AW765" s="7"/>
    </row>
    <row r="766" spans="1:49" ht="15.75" customHeight="1" thickBo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0"/>
      <c r="AO766" s="7"/>
      <c r="AP766" s="7"/>
      <c r="AQ766" s="7"/>
      <c r="AR766" s="7"/>
      <c r="AS766" s="7"/>
      <c r="AT766" s="7"/>
      <c r="AU766" s="7"/>
      <c r="AV766" s="7"/>
      <c r="AW766" s="7"/>
    </row>
    <row r="767" spans="1:49" ht="15.75" customHeight="1" thickBo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0"/>
      <c r="AO767" s="7"/>
      <c r="AP767" s="7"/>
      <c r="AQ767" s="7"/>
      <c r="AR767" s="7"/>
      <c r="AS767" s="7"/>
      <c r="AT767" s="7"/>
      <c r="AU767" s="7"/>
      <c r="AV767" s="7"/>
      <c r="AW767" s="7"/>
    </row>
    <row r="768" spans="1:49" ht="15.75" customHeight="1" thickBo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0"/>
      <c r="AO768" s="7"/>
      <c r="AP768" s="7"/>
      <c r="AQ768" s="7"/>
      <c r="AR768" s="7"/>
      <c r="AS768" s="7"/>
      <c r="AT768" s="7"/>
      <c r="AU768" s="7"/>
      <c r="AV768" s="7"/>
      <c r="AW768" s="7"/>
    </row>
    <row r="769" spans="1:49" ht="15.75" customHeight="1" thickBo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0"/>
      <c r="AO769" s="7"/>
      <c r="AP769" s="7"/>
      <c r="AQ769" s="7"/>
      <c r="AR769" s="7"/>
      <c r="AS769" s="7"/>
      <c r="AT769" s="7"/>
      <c r="AU769" s="7"/>
      <c r="AV769" s="7"/>
      <c r="AW769" s="7"/>
    </row>
    <row r="770" spans="1:49" ht="15.75" customHeight="1" thickBo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0"/>
      <c r="AO770" s="7"/>
      <c r="AP770" s="7"/>
      <c r="AQ770" s="7"/>
      <c r="AR770" s="7"/>
      <c r="AS770" s="7"/>
      <c r="AT770" s="7"/>
      <c r="AU770" s="7"/>
      <c r="AV770" s="7"/>
      <c r="AW770" s="7"/>
    </row>
    <row r="771" spans="1:49" ht="15.75" customHeight="1" thickBo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0"/>
      <c r="AO771" s="7"/>
      <c r="AP771" s="7"/>
      <c r="AQ771" s="7"/>
      <c r="AR771" s="7"/>
      <c r="AS771" s="7"/>
      <c r="AT771" s="7"/>
      <c r="AU771" s="7"/>
      <c r="AV771" s="7"/>
      <c r="AW771" s="7"/>
    </row>
    <row r="772" spans="1:49" ht="15.75" customHeight="1" thickBo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0"/>
      <c r="AO772" s="7"/>
      <c r="AP772" s="7"/>
      <c r="AQ772" s="7"/>
      <c r="AR772" s="7"/>
      <c r="AS772" s="7"/>
      <c r="AT772" s="7"/>
      <c r="AU772" s="7"/>
      <c r="AV772" s="7"/>
      <c r="AW772" s="7"/>
    </row>
    <row r="773" spans="1:49" ht="15.75" customHeight="1" thickBo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0"/>
      <c r="AO773" s="7"/>
      <c r="AP773" s="7"/>
      <c r="AQ773" s="7"/>
      <c r="AR773" s="7"/>
      <c r="AS773" s="7"/>
      <c r="AT773" s="7"/>
      <c r="AU773" s="7"/>
      <c r="AV773" s="7"/>
      <c r="AW773" s="7"/>
    </row>
    <row r="774" spans="1:49" ht="15.75" customHeight="1" thickBo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0"/>
      <c r="AO774" s="7"/>
      <c r="AP774" s="7"/>
      <c r="AQ774" s="7"/>
      <c r="AR774" s="7"/>
      <c r="AS774" s="7"/>
      <c r="AT774" s="7"/>
      <c r="AU774" s="7"/>
      <c r="AV774" s="7"/>
      <c r="AW774" s="7"/>
    </row>
    <row r="775" spans="1:49" ht="15.75" customHeight="1" thickBo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0"/>
      <c r="AO775" s="7"/>
      <c r="AP775" s="7"/>
      <c r="AQ775" s="7"/>
      <c r="AR775" s="7"/>
      <c r="AS775" s="7"/>
      <c r="AT775" s="7"/>
      <c r="AU775" s="7"/>
      <c r="AV775" s="7"/>
      <c r="AW775" s="7"/>
    </row>
    <row r="776" spans="1:49" ht="15.75" customHeight="1" thickBo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0"/>
      <c r="AO776" s="7"/>
      <c r="AP776" s="7"/>
      <c r="AQ776" s="7"/>
      <c r="AR776" s="7"/>
      <c r="AS776" s="7"/>
      <c r="AT776" s="7"/>
      <c r="AU776" s="7"/>
      <c r="AV776" s="7"/>
      <c r="AW776" s="7"/>
    </row>
    <row r="777" spans="1:49" ht="15.75" customHeight="1" thickBo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0"/>
      <c r="AO777" s="7"/>
      <c r="AP777" s="7"/>
      <c r="AQ777" s="7"/>
      <c r="AR777" s="7"/>
      <c r="AS777" s="7"/>
      <c r="AT777" s="7"/>
      <c r="AU777" s="7"/>
      <c r="AV777" s="7"/>
      <c r="AW777" s="7"/>
    </row>
    <row r="778" spans="1:49" ht="15.75" customHeight="1" thickBo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0"/>
      <c r="AO778" s="7"/>
      <c r="AP778" s="7"/>
      <c r="AQ778" s="7"/>
      <c r="AR778" s="7"/>
      <c r="AS778" s="7"/>
      <c r="AT778" s="7"/>
      <c r="AU778" s="7"/>
      <c r="AV778" s="7"/>
      <c r="AW778" s="7"/>
    </row>
    <row r="779" spans="1:49" ht="15.75" customHeight="1" thickBo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0"/>
      <c r="AO779" s="7"/>
      <c r="AP779" s="7"/>
      <c r="AQ779" s="7"/>
      <c r="AR779" s="7"/>
      <c r="AS779" s="7"/>
      <c r="AT779" s="7"/>
      <c r="AU779" s="7"/>
      <c r="AV779" s="7"/>
      <c r="AW779" s="7"/>
    </row>
    <row r="780" spans="1:49" ht="15.75" customHeight="1" thickBo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0"/>
      <c r="AO780" s="7"/>
      <c r="AP780" s="7"/>
      <c r="AQ780" s="7"/>
      <c r="AR780" s="7"/>
      <c r="AS780" s="7"/>
      <c r="AT780" s="7"/>
      <c r="AU780" s="7"/>
      <c r="AV780" s="7"/>
      <c r="AW780" s="7"/>
    </row>
    <row r="781" spans="1:49" ht="15.75" customHeight="1" thickBo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0"/>
      <c r="AO781" s="7"/>
      <c r="AP781" s="7"/>
      <c r="AQ781" s="7"/>
      <c r="AR781" s="7"/>
      <c r="AS781" s="7"/>
      <c r="AT781" s="7"/>
      <c r="AU781" s="7"/>
      <c r="AV781" s="7"/>
      <c r="AW781" s="7"/>
    </row>
    <row r="782" spans="1:49" ht="15.75" customHeight="1" thickBo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0"/>
      <c r="AO782" s="7"/>
      <c r="AP782" s="7"/>
      <c r="AQ782" s="7"/>
      <c r="AR782" s="7"/>
      <c r="AS782" s="7"/>
      <c r="AT782" s="7"/>
      <c r="AU782" s="7"/>
      <c r="AV782" s="7"/>
      <c r="AW782" s="7"/>
    </row>
    <row r="783" spans="1:49" ht="15.75" customHeight="1" thickBo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0"/>
      <c r="AO783" s="7"/>
      <c r="AP783" s="7"/>
      <c r="AQ783" s="7"/>
      <c r="AR783" s="7"/>
      <c r="AS783" s="7"/>
      <c r="AT783" s="7"/>
      <c r="AU783" s="7"/>
      <c r="AV783" s="7"/>
      <c r="AW783" s="7"/>
    </row>
    <row r="784" spans="1:49" ht="15.75" customHeight="1" thickBo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0"/>
      <c r="AO784" s="7"/>
      <c r="AP784" s="7"/>
      <c r="AQ784" s="7"/>
      <c r="AR784" s="7"/>
      <c r="AS784" s="7"/>
      <c r="AT784" s="7"/>
      <c r="AU784" s="7"/>
      <c r="AV784" s="7"/>
      <c r="AW784" s="7"/>
    </row>
    <row r="785" spans="1:49" ht="15.75" customHeight="1" thickBo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0"/>
      <c r="AO785" s="7"/>
      <c r="AP785" s="7"/>
      <c r="AQ785" s="7"/>
      <c r="AR785" s="7"/>
      <c r="AS785" s="7"/>
      <c r="AT785" s="7"/>
      <c r="AU785" s="7"/>
      <c r="AV785" s="7"/>
      <c r="AW785" s="7"/>
    </row>
    <row r="786" spans="1:49" ht="15.75" customHeight="1" thickBo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0"/>
      <c r="AO786" s="7"/>
      <c r="AP786" s="7"/>
      <c r="AQ786" s="7"/>
      <c r="AR786" s="7"/>
      <c r="AS786" s="7"/>
      <c r="AT786" s="7"/>
      <c r="AU786" s="7"/>
      <c r="AV786" s="7"/>
      <c r="AW786" s="7"/>
    </row>
    <row r="787" spans="1:49" ht="15.75" customHeight="1" thickBo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0"/>
      <c r="AO787" s="7"/>
      <c r="AP787" s="7"/>
      <c r="AQ787" s="7"/>
      <c r="AR787" s="7"/>
      <c r="AS787" s="7"/>
      <c r="AT787" s="7"/>
      <c r="AU787" s="7"/>
      <c r="AV787" s="7"/>
      <c r="AW787" s="7"/>
    </row>
    <row r="788" spans="1:49" ht="15.75" customHeight="1" thickBo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0"/>
      <c r="AO788" s="7"/>
      <c r="AP788" s="7"/>
      <c r="AQ788" s="7"/>
      <c r="AR788" s="7"/>
      <c r="AS788" s="7"/>
      <c r="AT788" s="7"/>
      <c r="AU788" s="7"/>
      <c r="AV788" s="7"/>
      <c r="AW788" s="7"/>
    </row>
    <row r="789" spans="1:49" ht="15.75" customHeight="1" thickBo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0"/>
      <c r="AO789" s="7"/>
      <c r="AP789" s="7"/>
      <c r="AQ789" s="7"/>
      <c r="AR789" s="7"/>
      <c r="AS789" s="7"/>
      <c r="AT789" s="7"/>
      <c r="AU789" s="7"/>
      <c r="AV789" s="7"/>
      <c r="AW789" s="7"/>
    </row>
    <row r="790" spans="1:49" ht="15.75" customHeight="1" thickBo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0"/>
      <c r="AO790" s="7"/>
      <c r="AP790" s="7"/>
      <c r="AQ790" s="7"/>
      <c r="AR790" s="7"/>
      <c r="AS790" s="7"/>
      <c r="AT790" s="7"/>
      <c r="AU790" s="7"/>
      <c r="AV790" s="7"/>
      <c r="AW790" s="7"/>
    </row>
    <row r="791" spans="1:49" ht="15.75" customHeight="1" thickBo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0"/>
      <c r="AO791" s="7"/>
      <c r="AP791" s="7"/>
      <c r="AQ791" s="7"/>
      <c r="AR791" s="7"/>
      <c r="AS791" s="7"/>
      <c r="AT791" s="7"/>
      <c r="AU791" s="7"/>
      <c r="AV791" s="7"/>
      <c r="AW791" s="7"/>
    </row>
    <row r="792" spans="1:49" ht="15.75" customHeight="1" thickBo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0"/>
      <c r="AO792" s="7"/>
      <c r="AP792" s="7"/>
      <c r="AQ792" s="7"/>
      <c r="AR792" s="7"/>
      <c r="AS792" s="7"/>
      <c r="AT792" s="7"/>
      <c r="AU792" s="7"/>
      <c r="AV792" s="7"/>
      <c r="AW792" s="7"/>
    </row>
    <row r="793" spans="1:49" ht="15.75" customHeight="1" thickBo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0"/>
      <c r="AO793" s="7"/>
      <c r="AP793" s="7"/>
      <c r="AQ793" s="7"/>
      <c r="AR793" s="7"/>
      <c r="AS793" s="7"/>
      <c r="AT793" s="7"/>
      <c r="AU793" s="7"/>
      <c r="AV793" s="7"/>
      <c r="AW793" s="7"/>
    </row>
    <row r="794" spans="1:49" ht="15.75" customHeight="1" thickBo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0"/>
      <c r="AO794" s="7"/>
      <c r="AP794" s="7"/>
      <c r="AQ794" s="7"/>
      <c r="AR794" s="7"/>
      <c r="AS794" s="7"/>
      <c r="AT794" s="7"/>
      <c r="AU794" s="7"/>
      <c r="AV794" s="7"/>
      <c r="AW794" s="7"/>
    </row>
    <row r="795" spans="1:49" ht="15.75" customHeight="1" thickBo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0"/>
      <c r="AO795" s="7"/>
      <c r="AP795" s="7"/>
      <c r="AQ795" s="7"/>
      <c r="AR795" s="7"/>
      <c r="AS795" s="7"/>
      <c r="AT795" s="7"/>
      <c r="AU795" s="7"/>
      <c r="AV795" s="7"/>
      <c r="AW795" s="7"/>
    </row>
    <row r="796" spans="1:49" ht="15.75" customHeight="1" thickBo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0"/>
      <c r="AO796" s="7"/>
      <c r="AP796" s="7"/>
      <c r="AQ796" s="7"/>
      <c r="AR796" s="7"/>
      <c r="AS796" s="7"/>
      <c r="AT796" s="7"/>
      <c r="AU796" s="7"/>
      <c r="AV796" s="7"/>
      <c r="AW796" s="7"/>
    </row>
    <row r="797" spans="1:49" ht="15.75" customHeight="1" thickBo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0"/>
      <c r="AO797" s="7"/>
      <c r="AP797" s="7"/>
      <c r="AQ797" s="7"/>
      <c r="AR797" s="7"/>
      <c r="AS797" s="7"/>
      <c r="AT797" s="7"/>
      <c r="AU797" s="7"/>
      <c r="AV797" s="7"/>
      <c r="AW797" s="7"/>
    </row>
    <row r="798" spans="1:49" ht="15.75" customHeight="1" thickBo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0"/>
      <c r="AO798" s="7"/>
      <c r="AP798" s="7"/>
      <c r="AQ798" s="7"/>
      <c r="AR798" s="7"/>
      <c r="AS798" s="7"/>
      <c r="AT798" s="7"/>
      <c r="AU798" s="7"/>
      <c r="AV798" s="7"/>
      <c r="AW798" s="7"/>
    </row>
    <row r="799" spans="1:49" ht="15.75" customHeight="1" thickBo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0"/>
      <c r="AO799" s="7"/>
      <c r="AP799" s="7"/>
      <c r="AQ799" s="7"/>
      <c r="AR799" s="7"/>
      <c r="AS799" s="7"/>
      <c r="AT799" s="7"/>
      <c r="AU799" s="7"/>
      <c r="AV799" s="7"/>
      <c r="AW799" s="7"/>
    </row>
    <row r="800" spans="1:49" ht="15.75" customHeight="1" thickBo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0"/>
      <c r="AO800" s="7"/>
      <c r="AP800" s="7"/>
      <c r="AQ800" s="7"/>
      <c r="AR800" s="7"/>
      <c r="AS800" s="7"/>
      <c r="AT800" s="7"/>
      <c r="AU800" s="7"/>
      <c r="AV800" s="7"/>
      <c r="AW800" s="7"/>
    </row>
    <row r="801" spans="1:49" ht="15.75" customHeight="1" thickBo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0"/>
      <c r="AO801" s="7"/>
      <c r="AP801" s="7"/>
      <c r="AQ801" s="7"/>
      <c r="AR801" s="7"/>
      <c r="AS801" s="7"/>
      <c r="AT801" s="7"/>
      <c r="AU801" s="7"/>
      <c r="AV801" s="7"/>
      <c r="AW801" s="7"/>
    </row>
    <row r="802" spans="1:49" ht="15.75" customHeight="1" thickBo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0"/>
      <c r="AO802" s="7"/>
      <c r="AP802" s="7"/>
      <c r="AQ802" s="7"/>
      <c r="AR802" s="7"/>
      <c r="AS802" s="7"/>
      <c r="AT802" s="7"/>
      <c r="AU802" s="7"/>
      <c r="AV802" s="7"/>
      <c r="AW802" s="7"/>
    </row>
    <row r="803" spans="1:49" ht="15.75" customHeight="1" thickBo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0"/>
      <c r="AO803" s="7"/>
      <c r="AP803" s="7"/>
      <c r="AQ803" s="7"/>
      <c r="AR803" s="7"/>
      <c r="AS803" s="7"/>
      <c r="AT803" s="7"/>
      <c r="AU803" s="7"/>
      <c r="AV803" s="7"/>
      <c r="AW803" s="7"/>
    </row>
    <row r="804" spans="1:49" ht="15.75" customHeight="1" thickBo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0"/>
      <c r="AO804" s="7"/>
      <c r="AP804" s="7"/>
      <c r="AQ804" s="7"/>
      <c r="AR804" s="7"/>
      <c r="AS804" s="7"/>
      <c r="AT804" s="7"/>
      <c r="AU804" s="7"/>
      <c r="AV804" s="7"/>
      <c r="AW804" s="7"/>
    </row>
    <row r="805" spans="1:49" ht="15.75" customHeight="1" thickBo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0"/>
      <c r="AO805" s="7"/>
      <c r="AP805" s="7"/>
      <c r="AQ805" s="7"/>
      <c r="AR805" s="7"/>
      <c r="AS805" s="7"/>
      <c r="AT805" s="7"/>
      <c r="AU805" s="7"/>
      <c r="AV805" s="7"/>
      <c r="AW805" s="7"/>
    </row>
    <row r="806" spans="1:49" ht="15.75" customHeight="1" thickBo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0"/>
      <c r="AO806" s="7"/>
      <c r="AP806" s="7"/>
      <c r="AQ806" s="7"/>
      <c r="AR806" s="7"/>
      <c r="AS806" s="7"/>
      <c r="AT806" s="7"/>
      <c r="AU806" s="7"/>
      <c r="AV806" s="7"/>
      <c r="AW806" s="7"/>
    </row>
    <row r="807" spans="1:49" ht="15.75" customHeight="1" thickBo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0"/>
      <c r="AO807" s="7"/>
      <c r="AP807" s="7"/>
      <c r="AQ807" s="7"/>
      <c r="AR807" s="7"/>
      <c r="AS807" s="7"/>
      <c r="AT807" s="7"/>
      <c r="AU807" s="7"/>
      <c r="AV807" s="7"/>
      <c r="AW807" s="7"/>
    </row>
    <row r="808" spans="1:49" ht="15.75" customHeight="1" thickBo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0"/>
      <c r="AO808" s="7"/>
      <c r="AP808" s="7"/>
      <c r="AQ808" s="7"/>
      <c r="AR808" s="7"/>
      <c r="AS808" s="7"/>
      <c r="AT808" s="7"/>
      <c r="AU808" s="7"/>
      <c r="AV808" s="7"/>
      <c r="AW808" s="7"/>
    </row>
    <row r="809" spans="1:49" ht="15.75" customHeight="1" thickBo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0"/>
      <c r="AO809" s="7"/>
      <c r="AP809" s="7"/>
      <c r="AQ809" s="7"/>
      <c r="AR809" s="7"/>
      <c r="AS809" s="7"/>
      <c r="AT809" s="7"/>
      <c r="AU809" s="7"/>
      <c r="AV809" s="7"/>
      <c r="AW809" s="7"/>
    </row>
    <row r="810" spans="1:49" ht="15.75" customHeight="1" thickBo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0"/>
      <c r="AO810" s="7"/>
      <c r="AP810" s="7"/>
      <c r="AQ810" s="7"/>
      <c r="AR810" s="7"/>
      <c r="AS810" s="7"/>
      <c r="AT810" s="7"/>
      <c r="AU810" s="7"/>
      <c r="AV810" s="7"/>
      <c r="AW810" s="7"/>
    </row>
    <row r="811" spans="1:49" ht="15.75" customHeight="1" thickBo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0"/>
      <c r="AO811" s="7"/>
      <c r="AP811" s="7"/>
      <c r="AQ811" s="7"/>
      <c r="AR811" s="7"/>
      <c r="AS811" s="7"/>
      <c r="AT811" s="7"/>
      <c r="AU811" s="7"/>
      <c r="AV811" s="7"/>
      <c r="AW811" s="7"/>
    </row>
    <row r="812" spans="1:49" ht="15.75" customHeight="1" thickBo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0"/>
      <c r="AO812" s="7"/>
      <c r="AP812" s="7"/>
      <c r="AQ812" s="7"/>
      <c r="AR812" s="7"/>
      <c r="AS812" s="7"/>
      <c r="AT812" s="7"/>
      <c r="AU812" s="7"/>
      <c r="AV812" s="7"/>
      <c r="AW812" s="7"/>
    </row>
    <row r="813" spans="1:49" ht="15.75" customHeight="1" thickBo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0"/>
      <c r="AO813" s="7"/>
      <c r="AP813" s="7"/>
      <c r="AQ813" s="7"/>
      <c r="AR813" s="7"/>
      <c r="AS813" s="7"/>
      <c r="AT813" s="7"/>
      <c r="AU813" s="7"/>
      <c r="AV813" s="7"/>
      <c r="AW813" s="7"/>
    </row>
    <row r="814" spans="1:49" ht="15.75" customHeight="1" thickBo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0"/>
      <c r="AO814" s="7"/>
      <c r="AP814" s="7"/>
      <c r="AQ814" s="7"/>
      <c r="AR814" s="7"/>
      <c r="AS814" s="7"/>
      <c r="AT814" s="7"/>
      <c r="AU814" s="7"/>
      <c r="AV814" s="7"/>
      <c r="AW814" s="7"/>
    </row>
    <row r="815" spans="1:49" ht="15.75" customHeight="1" thickBo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0"/>
      <c r="AO815" s="7"/>
      <c r="AP815" s="7"/>
      <c r="AQ815" s="7"/>
      <c r="AR815" s="7"/>
      <c r="AS815" s="7"/>
      <c r="AT815" s="7"/>
      <c r="AU815" s="7"/>
      <c r="AV815" s="7"/>
      <c r="AW815" s="7"/>
    </row>
    <row r="816" spans="1:49" ht="15.75" customHeight="1" thickBo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0"/>
      <c r="AO816" s="7"/>
      <c r="AP816" s="7"/>
      <c r="AQ816" s="7"/>
      <c r="AR816" s="7"/>
      <c r="AS816" s="7"/>
      <c r="AT816" s="7"/>
      <c r="AU816" s="7"/>
      <c r="AV816" s="7"/>
      <c r="AW816" s="7"/>
    </row>
    <row r="817" spans="1:49" ht="15.75" customHeight="1" thickBo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0"/>
      <c r="AO817" s="7"/>
      <c r="AP817" s="7"/>
      <c r="AQ817" s="7"/>
      <c r="AR817" s="7"/>
      <c r="AS817" s="7"/>
      <c r="AT817" s="7"/>
      <c r="AU817" s="7"/>
      <c r="AV817" s="7"/>
      <c r="AW817" s="7"/>
    </row>
    <row r="818" spans="1:49" ht="15.75" customHeight="1" thickBo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0"/>
      <c r="AO818" s="7"/>
      <c r="AP818" s="7"/>
      <c r="AQ818" s="7"/>
      <c r="AR818" s="7"/>
      <c r="AS818" s="7"/>
      <c r="AT818" s="7"/>
      <c r="AU818" s="7"/>
      <c r="AV818" s="7"/>
      <c r="AW818" s="7"/>
    </row>
    <row r="819" spans="1:49" ht="15.75" customHeight="1" thickBo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0"/>
      <c r="AO819" s="7"/>
      <c r="AP819" s="7"/>
      <c r="AQ819" s="7"/>
      <c r="AR819" s="7"/>
      <c r="AS819" s="7"/>
      <c r="AT819" s="7"/>
      <c r="AU819" s="7"/>
      <c r="AV819" s="7"/>
      <c r="AW819" s="7"/>
    </row>
    <row r="820" spans="1:49" ht="15.75" customHeight="1" thickBo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0"/>
      <c r="AO820" s="7"/>
      <c r="AP820" s="7"/>
      <c r="AQ820" s="7"/>
      <c r="AR820" s="7"/>
      <c r="AS820" s="7"/>
      <c r="AT820" s="7"/>
      <c r="AU820" s="7"/>
      <c r="AV820" s="7"/>
      <c r="AW820" s="7"/>
    </row>
    <row r="821" spans="1:49" ht="15.75" customHeight="1" thickBo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0"/>
      <c r="AO821" s="7"/>
      <c r="AP821" s="7"/>
      <c r="AQ821" s="7"/>
      <c r="AR821" s="7"/>
      <c r="AS821" s="7"/>
      <c r="AT821" s="7"/>
      <c r="AU821" s="7"/>
      <c r="AV821" s="7"/>
      <c r="AW821" s="7"/>
    </row>
    <row r="822" spans="1:49" ht="15.75" customHeight="1" thickBo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0"/>
      <c r="AO822" s="7"/>
      <c r="AP822" s="7"/>
      <c r="AQ822" s="7"/>
      <c r="AR822" s="7"/>
      <c r="AS822" s="7"/>
      <c r="AT822" s="7"/>
      <c r="AU822" s="7"/>
      <c r="AV822" s="7"/>
      <c r="AW822" s="7"/>
    </row>
    <row r="823" spans="1:49" ht="15.75" customHeight="1" thickBo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0"/>
      <c r="AO823" s="7"/>
      <c r="AP823" s="7"/>
      <c r="AQ823" s="7"/>
      <c r="AR823" s="7"/>
      <c r="AS823" s="7"/>
      <c r="AT823" s="7"/>
      <c r="AU823" s="7"/>
      <c r="AV823" s="7"/>
      <c r="AW823" s="7"/>
    </row>
    <row r="824" spans="1:49" ht="15.75" customHeight="1" thickBo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0"/>
      <c r="AO824" s="7"/>
      <c r="AP824" s="7"/>
      <c r="AQ824" s="7"/>
      <c r="AR824" s="7"/>
      <c r="AS824" s="7"/>
      <c r="AT824" s="7"/>
      <c r="AU824" s="7"/>
      <c r="AV824" s="7"/>
      <c r="AW824" s="7"/>
    </row>
    <row r="825" spans="1:49" ht="15.75" customHeight="1" thickBo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0"/>
      <c r="AO825" s="7"/>
      <c r="AP825" s="7"/>
      <c r="AQ825" s="7"/>
      <c r="AR825" s="7"/>
      <c r="AS825" s="7"/>
      <c r="AT825" s="7"/>
      <c r="AU825" s="7"/>
      <c r="AV825" s="7"/>
      <c r="AW825" s="7"/>
    </row>
    <row r="826" spans="1:49" ht="15.75" customHeight="1" thickBo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0"/>
      <c r="AO826" s="7"/>
      <c r="AP826" s="7"/>
      <c r="AQ826" s="7"/>
      <c r="AR826" s="7"/>
      <c r="AS826" s="7"/>
      <c r="AT826" s="7"/>
      <c r="AU826" s="7"/>
      <c r="AV826" s="7"/>
      <c r="AW826" s="7"/>
    </row>
    <row r="827" spans="1:49" ht="15.75" customHeight="1" thickBo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0"/>
      <c r="AO827" s="7"/>
      <c r="AP827" s="7"/>
      <c r="AQ827" s="7"/>
      <c r="AR827" s="7"/>
      <c r="AS827" s="7"/>
      <c r="AT827" s="7"/>
      <c r="AU827" s="7"/>
      <c r="AV827" s="7"/>
      <c r="AW827" s="7"/>
    </row>
    <row r="828" spans="1:49" ht="15.75" customHeight="1" thickBo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0"/>
      <c r="AO828" s="7"/>
      <c r="AP828" s="7"/>
      <c r="AQ828" s="7"/>
      <c r="AR828" s="7"/>
      <c r="AS828" s="7"/>
      <c r="AT828" s="7"/>
      <c r="AU828" s="7"/>
      <c r="AV828" s="7"/>
      <c r="AW828" s="7"/>
    </row>
    <row r="829" spans="1:49" ht="15.75" customHeight="1" thickBo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0"/>
      <c r="AO829" s="7"/>
      <c r="AP829" s="7"/>
      <c r="AQ829" s="7"/>
      <c r="AR829" s="7"/>
      <c r="AS829" s="7"/>
      <c r="AT829" s="7"/>
      <c r="AU829" s="7"/>
      <c r="AV829" s="7"/>
      <c r="AW829" s="7"/>
    </row>
    <row r="830" spans="1:49" ht="15.75" customHeight="1" thickBo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0"/>
      <c r="AO830" s="7"/>
      <c r="AP830" s="7"/>
      <c r="AQ830" s="7"/>
      <c r="AR830" s="7"/>
      <c r="AS830" s="7"/>
      <c r="AT830" s="7"/>
      <c r="AU830" s="7"/>
      <c r="AV830" s="7"/>
      <c r="AW830" s="7"/>
    </row>
    <row r="831" spans="1:49" ht="15.75" customHeight="1" thickBo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0"/>
      <c r="AO831" s="7"/>
      <c r="AP831" s="7"/>
      <c r="AQ831" s="7"/>
      <c r="AR831" s="7"/>
      <c r="AS831" s="7"/>
      <c r="AT831" s="7"/>
      <c r="AU831" s="7"/>
      <c r="AV831" s="7"/>
      <c r="AW831" s="7"/>
    </row>
    <row r="832" spans="1:49" ht="15.75" customHeight="1" thickBo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0"/>
      <c r="AO832" s="7"/>
      <c r="AP832" s="7"/>
      <c r="AQ832" s="7"/>
      <c r="AR832" s="7"/>
      <c r="AS832" s="7"/>
      <c r="AT832" s="7"/>
      <c r="AU832" s="7"/>
      <c r="AV832" s="7"/>
      <c r="AW832" s="7"/>
    </row>
    <row r="833" spans="1:49" ht="15.75" customHeight="1" thickBo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0"/>
      <c r="AO833" s="7"/>
      <c r="AP833" s="7"/>
      <c r="AQ833" s="7"/>
      <c r="AR833" s="7"/>
      <c r="AS833" s="7"/>
      <c r="AT833" s="7"/>
      <c r="AU833" s="7"/>
      <c r="AV833" s="7"/>
      <c r="AW833" s="7"/>
    </row>
    <row r="834" spans="1:49" ht="15.75" customHeight="1" thickBo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0"/>
      <c r="AO834" s="7"/>
      <c r="AP834" s="7"/>
      <c r="AQ834" s="7"/>
      <c r="AR834" s="7"/>
      <c r="AS834" s="7"/>
      <c r="AT834" s="7"/>
      <c r="AU834" s="7"/>
      <c r="AV834" s="7"/>
      <c r="AW834" s="7"/>
    </row>
    <row r="835" spans="1:49" ht="15.75" customHeight="1" thickBo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0"/>
      <c r="AO835" s="7"/>
      <c r="AP835" s="7"/>
      <c r="AQ835" s="7"/>
      <c r="AR835" s="7"/>
      <c r="AS835" s="7"/>
      <c r="AT835" s="7"/>
      <c r="AU835" s="7"/>
      <c r="AV835" s="7"/>
      <c r="AW835" s="7"/>
    </row>
    <row r="836" spans="1:49" ht="15.75" customHeight="1" thickBo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0"/>
      <c r="AO836" s="7"/>
      <c r="AP836" s="7"/>
      <c r="AQ836" s="7"/>
      <c r="AR836" s="7"/>
      <c r="AS836" s="7"/>
      <c r="AT836" s="7"/>
      <c r="AU836" s="7"/>
      <c r="AV836" s="7"/>
      <c r="AW836" s="7"/>
    </row>
    <row r="837" spans="1:49" ht="15.75" customHeight="1" thickBo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0"/>
      <c r="AO837" s="7"/>
      <c r="AP837" s="7"/>
      <c r="AQ837" s="7"/>
      <c r="AR837" s="7"/>
      <c r="AS837" s="7"/>
      <c r="AT837" s="7"/>
      <c r="AU837" s="7"/>
      <c r="AV837" s="7"/>
      <c r="AW837" s="7"/>
    </row>
    <row r="838" spans="1:49" ht="15.75" customHeight="1" thickBo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0"/>
      <c r="AO838" s="7"/>
      <c r="AP838" s="7"/>
      <c r="AQ838" s="7"/>
      <c r="AR838" s="7"/>
      <c r="AS838" s="7"/>
      <c r="AT838" s="7"/>
      <c r="AU838" s="7"/>
      <c r="AV838" s="7"/>
      <c r="AW838" s="7"/>
    </row>
    <row r="839" spans="1:49" ht="15.75" customHeight="1" thickBo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0"/>
      <c r="AO839" s="7"/>
      <c r="AP839" s="7"/>
      <c r="AQ839" s="7"/>
      <c r="AR839" s="7"/>
      <c r="AS839" s="7"/>
      <c r="AT839" s="7"/>
      <c r="AU839" s="7"/>
      <c r="AV839" s="7"/>
      <c r="AW839" s="7"/>
    </row>
    <row r="840" spans="1:49" ht="15.75" customHeight="1" thickBo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0"/>
      <c r="AO840" s="7"/>
      <c r="AP840" s="7"/>
      <c r="AQ840" s="7"/>
      <c r="AR840" s="7"/>
      <c r="AS840" s="7"/>
      <c r="AT840" s="7"/>
      <c r="AU840" s="7"/>
      <c r="AV840" s="7"/>
      <c r="AW840" s="7"/>
    </row>
    <row r="841" spans="1:49" ht="15.75" customHeight="1" thickBo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0"/>
      <c r="AO841" s="7"/>
      <c r="AP841" s="7"/>
      <c r="AQ841" s="7"/>
      <c r="AR841" s="7"/>
      <c r="AS841" s="7"/>
      <c r="AT841" s="7"/>
      <c r="AU841" s="7"/>
      <c r="AV841" s="7"/>
      <c r="AW841" s="7"/>
    </row>
    <row r="842" spans="1:49" ht="15.75" customHeight="1" thickBo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0"/>
      <c r="AO842" s="7"/>
      <c r="AP842" s="7"/>
      <c r="AQ842" s="7"/>
      <c r="AR842" s="7"/>
      <c r="AS842" s="7"/>
      <c r="AT842" s="7"/>
      <c r="AU842" s="7"/>
      <c r="AV842" s="7"/>
      <c r="AW842" s="7"/>
    </row>
    <row r="843" spans="1:49" ht="15.75" customHeight="1" thickBo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0"/>
      <c r="AO843" s="7"/>
      <c r="AP843" s="7"/>
      <c r="AQ843" s="7"/>
      <c r="AR843" s="7"/>
      <c r="AS843" s="7"/>
      <c r="AT843" s="7"/>
      <c r="AU843" s="7"/>
      <c r="AV843" s="7"/>
      <c r="AW843" s="7"/>
    </row>
    <row r="844" spans="1:49" ht="15.75" customHeight="1" thickBo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0"/>
      <c r="AO844" s="7"/>
      <c r="AP844" s="7"/>
      <c r="AQ844" s="7"/>
      <c r="AR844" s="7"/>
      <c r="AS844" s="7"/>
      <c r="AT844" s="7"/>
      <c r="AU844" s="7"/>
      <c r="AV844" s="7"/>
      <c r="AW844" s="7"/>
    </row>
    <row r="845" spans="1:49" ht="15.75" customHeight="1" thickBo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0"/>
      <c r="AO845" s="7"/>
      <c r="AP845" s="7"/>
      <c r="AQ845" s="7"/>
      <c r="AR845" s="7"/>
      <c r="AS845" s="7"/>
      <c r="AT845" s="7"/>
      <c r="AU845" s="7"/>
      <c r="AV845" s="7"/>
      <c r="AW845" s="7"/>
    </row>
    <row r="846" spans="1:49" ht="15.75" customHeight="1" thickBo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0"/>
      <c r="AO846" s="7"/>
      <c r="AP846" s="7"/>
      <c r="AQ846" s="7"/>
      <c r="AR846" s="7"/>
      <c r="AS846" s="7"/>
      <c r="AT846" s="7"/>
      <c r="AU846" s="7"/>
      <c r="AV846" s="7"/>
      <c r="AW846" s="7"/>
    </row>
    <row r="847" spans="1:49" ht="15.75" customHeight="1" thickBo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0"/>
      <c r="AO847" s="7"/>
      <c r="AP847" s="7"/>
      <c r="AQ847" s="7"/>
      <c r="AR847" s="7"/>
      <c r="AS847" s="7"/>
      <c r="AT847" s="7"/>
      <c r="AU847" s="7"/>
      <c r="AV847" s="7"/>
      <c r="AW847" s="7"/>
    </row>
    <row r="848" spans="1:49" ht="15.75" customHeight="1" thickBo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0"/>
      <c r="AO848" s="7"/>
      <c r="AP848" s="7"/>
      <c r="AQ848" s="7"/>
      <c r="AR848" s="7"/>
      <c r="AS848" s="7"/>
      <c r="AT848" s="7"/>
      <c r="AU848" s="7"/>
      <c r="AV848" s="7"/>
      <c r="AW848" s="7"/>
    </row>
    <row r="849" spans="1:49" ht="15.75" customHeight="1" thickBo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0"/>
      <c r="AO849" s="7"/>
      <c r="AP849" s="7"/>
      <c r="AQ849" s="7"/>
      <c r="AR849" s="7"/>
      <c r="AS849" s="7"/>
      <c r="AT849" s="7"/>
      <c r="AU849" s="7"/>
      <c r="AV849" s="7"/>
      <c r="AW849" s="7"/>
    </row>
    <row r="850" spans="1:49" ht="15.75" customHeight="1" thickBo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0"/>
      <c r="AO850" s="7"/>
      <c r="AP850" s="7"/>
      <c r="AQ850" s="7"/>
      <c r="AR850" s="7"/>
      <c r="AS850" s="7"/>
      <c r="AT850" s="7"/>
      <c r="AU850" s="7"/>
      <c r="AV850" s="7"/>
      <c r="AW850" s="7"/>
    </row>
    <row r="851" spans="1:49" ht="15.75" customHeight="1" thickBo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0"/>
      <c r="AO851" s="7"/>
      <c r="AP851" s="7"/>
      <c r="AQ851" s="7"/>
      <c r="AR851" s="7"/>
      <c r="AS851" s="7"/>
      <c r="AT851" s="7"/>
      <c r="AU851" s="7"/>
      <c r="AV851" s="7"/>
      <c r="AW851" s="7"/>
    </row>
    <row r="852" spans="1:49" ht="15.75" customHeight="1" thickBo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0"/>
      <c r="AO852" s="7"/>
      <c r="AP852" s="7"/>
      <c r="AQ852" s="7"/>
      <c r="AR852" s="7"/>
      <c r="AS852" s="7"/>
      <c r="AT852" s="7"/>
      <c r="AU852" s="7"/>
      <c r="AV852" s="7"/>
      <c r="AW852" s="7"/>
    </row>
    <row r="853" spans="1:49" ht="15.75" customHeight="1" thickBo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0"/>
      <c r="AO853" s="7"/>
      <c r="AP853" s="7"/>
      <c r="AQ853" s="7"/>
      <c r="AR853" s="7"/>
      <c r="AS853" s="7"/>
      <c r="AT853" s="7"/>
      <c r="AU853" s="7"/>
      <c r="AV853" s="7"/>
      <c r="AW853" s="7"/>
    </row>
    <row r="854" spans="1:49" ht="15.75" customHeight="1" thickBo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0"/>
      <c r="AO854" s="7"/>
      <c r="AP854" s="7"/>
      <c r="AQ854" s="7"/>
      <c r="AR854" s="7"/>
      <c r="AS854" s="7"/>
      <c r="AT854" s="7"/>
      <c r="AU854" s="7"/>
      <c r="AV854" s="7"/>
      <c r="AW854" s="7"/>
    </row>
    <row r="855" spans="1:49" ht="15.75" customHeight="1" thickBo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0"/>
      <c r="AO855" s="7"/>
      <c r="AP855" s="7"/>
      <c r="AQ855" s="7"/>
      <c r="AR855" s="7"/>
      <c r="AS855" s="7"/>
      <c r="AT855" s="7"/>
      <c r="AU855" s="7"/>
      <c r="AV855" s="7"/>
      <c r="AW855" s="7"/>
    </row>
    <row r="856" spans="1:49" ht="15.75" customHeight="1" thickBo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0"/>
      <c r="AO856" s="7"/>
      <c r="AP856" s="7"/>
      <c r="AQ856" s="7"/>
      <c r="AR856" s="7"/>
      <c r="AS856" s="7"/>
      <c r="AT856" s="7"/>
      <c r="AU856" s="7"/>
      <c r="AV856" s="7"/>
      <c r="AW856" s="7"/>
    </row>
    <row r="857" spans="1:49" ht="15.75" customHeight="1" thickBo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0"/>
      <c r="AO857" s="7"/>
      <c r="AP857" s="7"/>
      <c r="AQ857" s="7"/>
      <c r="AR857" s="7"/>
      <c r="AS857" s="7"/>
      <c r="AT857" s="7"/>
      <c r="AU857" s="7"/>
      <c r="AV857" s="7"/>
      <c r="AW857" s="7"/>
    </row>
    <row r="858" spans="1:49" ht="15.75" customHeight="1" thickBo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0"/>
      <c r="AO858" s="7"/>
      <c r="AP858" s="7"/>
      <c r="AQ858" s="7"/>
      <c r="AR858" s="7"/>
      <c r="AS858" s="7"/>
      <c r="AT858" s="7"/>
      <c r="AU858" s="7"/>
      <c r="AV858" s="7"/>
      <c r="AW858" s="7"/>
    </row>
    <row r="859" spans="1:49" ht="15.75" customHeight="1" thickBo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0"/>
      <c r="AO859" s="7"/>
      <c r="AP859" s="7"/>
      <c r="AQ859" s="7"/>
      <c r="AR859" s="7"/>
      <c r="AS859" s="7"/>
      <c r="AT859" s="7"/>
      <c r="AU859" s="7"/>
      <c r="AV859" s="7"/>
      <c r="AW859" s="7"/>
    </row>
    <row r="860" spans="1:49" ht="15.75" customHeight="1" thickBo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0"/>
      <c r="AO860" s="7"/>
      <c r="AP860" s="7"/>
      <c r="AQ860" s="7"/>
      <c r="AR860" s="7"/>
      <c r="AS860" s="7"/>
      <c r="AT860" s="7"/>
      <c r="AU860" s="7"/>
      <c r="AV860" s="7"/>
      <c r="AW860" s="7"/>
    </row>
    <row r="861" spans="1:49" ht="15.75" customHeight="1" thickBo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0"/>
      <c r="AO861" s="7"/>
      <c r="AP861" s="7"/>
      <c r="AQ861" s="7"/>
      <c r="AR861" s="7"/>
      <c r="AS861" s="7"/>
      <c r="AT861" s="7"/>
      <c r="AU861" s="7"/>
      <c r="AV861" s="7"/>
      <c r="AW861" s="7"/>
    </row>
    <row r="862" spans="1:49" ht="15.75" customHeight="1" thickBo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0"/>
      <c r="AO862" s="7"/>
      <c r="AP862" s="7"/>
      <c r="AQ862" s="7"/>
      <c r="AR862" s="7"/>
      <c r="AS862" s="7"/>
      <c r="AT862" s="7"/>
      <c r="AU862" s="7"/>
      <c r="AV862" s="7"/>
      <c r="AW862" s="7"/>
    </row>
    <row r="863" spans="1:49" ht="15.75" customHeight="1" thickBo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0"/>
      <c r="AO863" s="7"/>
      <c r="AP863" s="7"/>
      <c r="AQ863" s="7"/>
      <c r="AR863" s="7"/>
      <c r="AS863" s="7"/>
      <c r="AT863" s="7"/>
      <c r="AU863" s="7"/>
      <c r="AV863" s="7"/>
      <c r="AW863" s="7"/>
    </row>
    <row r="864" spans="1:49" ht="15.75" customHeight="1" thickBo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0"/>
      <c r="AO864" s="7"/>
      <c r="AP864" s="7"/>
      <c r="AQ864" s="7"/>
      <c r="AR864" s="7"/>
      <c r="AS864" s="7"/>
      <c r="AT864" s="7"/>
      <c r="AU864" s="7"/>
      <c r="AV864" s="7"/>
      <c r="AW864" s="7"/>
    </row>
    <row r="865" spans="1:49" ht="15.75" customHeight="1" thickBo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0"/>
      <c r="AO865" s="7"/>
      <c r="AP865" s="7"/>
      <c r="AQ865" s="7"/>
      <c r="AR865" s="7"/>
      <c r="AS865" s="7"/>
      <c r="AT865" s="7"/>
      <c r="AU865" s="7"/>
      <c r="AV865" s="7"/>
      <c r="AW865" s="7"/>
    </row>
    <row r="866" spans="1:49" ht="15.75" customHeight="1" thickBo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0"/>
      <c r="AO866" s="7"/>
      <c r="AP866" s="7"/>
      <c r="AQ866" s="7"/>
      <c r="AR866" s="7"/>
      <c r="AS866" s="7"/>
      <c r="AT866" s="7"/>
      <c r="AU866" s="7"/>
      <c r="AV866" s="7"/>
      <c r="AW866" s="7"/>
    </row>
    <row r="867" spans="1:49" ht="15.75" customHeight="1" thickBo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0"/>
      <c r="AO867" s="7"/>
      <c r="AP867" s="7"/>
      <c r="AQ867" s="7"/>
      <c r="AR867" s="7"/>
      <c r="AS867" s="7"/>
      <c r="AT867" s="7"/>
      <c r="AU867" s="7"/>
      <c r="AV867" s="7"/>
      <c r="AW867" s="7"/>
    </row>
    <row r="868" spans="1:49" ht="15.75" customHeight="1" thickBo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0"/>
      <c r="AO868" s="7"/>
      <c r="AP868" s="7"/>
      <c r="AQ868" s="7"/>
      <c r="AR868" s="7"/>
      <c r="AS868" s="7"/>
      <c r="AT868" s="7"/>
      <c r="AU868" s="7"/>
      <c r="AV868" s="7"/>
      <c r="AW868" s="7"/>
    </row>
    <row r="869" spans="1:49" ht="15.75" customHeight="1" thickBo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0"/>
      <c r="AO869" s="7"/>
      <c r="AP869" s="7"/>
      <c r="AQ869" s="7"/>
      <c r="AR869" s="7"/>
      <c r="AS869" s="7"/>
      <c r="AT869" s="7"/>
      <c r="AU869" s="7"/>
      <c r="AV869" s="7"/>
      <c r="AW869" s="7"/>
    </row>
    <row r="870" spans="1:49" ht="15.75" customHeight="1" thickBo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0"/>
      <c r="AO870" s="7"/>
      <c r="AP870" s="7"/>
      <c r="AQ870" s="7"/>
      <c r="AR870" s="7"/>
      <c r="AS870" s="7"/>
      <c r="AT870" s="7"/>
      <c r="AU870" s="7"/>
      <c r="AV870" s="7"/>
      <c r="AW870" s="7"/>
    </row>
    <row r="871" spans="1:49" ht="15.75" customHeight="1" thickBo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0"/>
      <c r="AO871" s="7"/>
      <c r="AP871" s="7"/>
      <c r="AQ871" s="7"/>
      <c r="AR871" s="7"/>
      <c r="AS871" s="7"/>
      <c r="AT871" s="7"/>
      <c r="AU871" s="7"/>
      <c r="AV871" s="7"/>
      <c r="AW871" s="7"/>
    </row>
    <row r="872" spans="1:49" ht="15.75" customHeight="1" thickBo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0"/>
      <c r="AO872" s="7"/>
      <c r="AP872" s="7"/>
      <c r="AQ872" s="7"/>
      <c r="AR872" s="7"/>
      <c r="AS872" s="7"/>
      <c r="AT872" s="7"/>
      <c r="AU872" s="7"/>
      <c r="AV872" s="7"/>
      <c r="AW872" s="7"/>
    </row>
    <row r="873" spans="1:49" ht="15.75" customHeight="1" thickBo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0"/>
      <c r="AO873" s="7"/>
      <c r="AP873" s="7"/>
      <c r="AQ873" s="7"/>
      <c r="AR873" s="7"/>
      <c r="AS873" s="7"/>
      <c r="AT873" s="7"/>
      <c r="AU873" s="7"/>
      <c r="AV873" s="7"/>
      <c r="AW873" s="7"/>
    </row>
    <row r="874" spans="1:49" ht="15.75" customHeight="1" thickBo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0"/>
      <c r="AO874" s="7"/>
      <c r="AP874" s="7"/>
      <c r="AQ874" s="7"/>
      <c r="AR874" s="7"/>
      <c r="AS874" s="7"/>
      <c r="AT874" s="7"/>
      <c r="AU874" s="7"/>
      <c r="AV874" s="7"/>
      <c r="AW874" s="7"/>
    </row>
    <row r="875" spans="1:49" ht="15.75" customHeight="1" thickBo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0"/>
      <c r="AO875" s="7"/>
      <c r="AP875" s="7"/>
      <c r="AQ875" s="7"/>
      <c r="AR875" s="7"/>
      <c r="AS875" s="7"/>
      <c r="AT875" s="7"/>
      <c r="AU875" s="7"/>
      <c r="AV875" s="7"/>
      <c r="AW875" s="7"/>
    </row>
    <row r="876" spans="1:49" ht="15.75" customHeight="1" thickBo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0"/>
      <c r="AO876" s="7"/>
      <c r="AP876" s="7"/>
      <c r="AQ876" s="7"/>
      <c r="AR876" s="7"/>
      <c r="AS876" s="7"/>
      <c r="AT876" s="7"/>
      <c r="AU876" s="7"/>
      <c r="AV876" s="7"/>
      <c r="AW876" s="7"/>
    </row>
    <row r="877" spans="1:49" ht="15.75" customHeight="1" thickBo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0"/>
      <c r="AO877" s="7"/>
      <c r="AP877" s="7"/>
      <c r="AQ877" s="7"/>
      <c r="AR877" s="7"/>
      <c r="AS877" s="7"/>
      <c r="AT877" s="7"/>
      <c r="AU877" s="7"/>
      <c r="AV877" s="7"/>
      <c r="AW877" s="7"/>
    </row>
    <row r="878" spans="1:49" ht="15.75" customHeight="1" thickBo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0"/>
      <c r="AO878" s="7"/>
      <c r="AP878" s="7"/>
      <c r="AQ878" s="7"/>
      <c r="AR878" s="7"/>
      <c r="AS878" s="7"/>
      <c r="AT878" s="7"/>
      <c r="AU878" s="7"/>
      <c r="AV878" s="7"/>
      <c r="AW878" s="7"/>
    </row>
    <row r="879" spans="1:49" ht="15.75" customHeight="1" thickBo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0"/>
      <c r="AO879" s="7"/>
      <c r="AP879" s="7"/>
      <c r="AQ879" s="7"/>
      <c r="AR879" s="7"/>
      <c r="AS879" s="7"/>
      <c r="AT879" s="7"/>
      <c r="AU879" s="7"/>
      <c r="AV879" s="7"/>
      <c r="AW879" s="7"/>
    </row>
    <row r="880" spans="1:49" ht="15.75" customHeight="1" thickBo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0"/>
      <c r="AO880" s="7"/>
      <c r="AP880" s="7"/>
      <c r="AQ880" s="7"/>
      <c r="AR880" s="7"/>
      <c r="AS880" s="7"/>
      <c r="AT880" s="7"/>
      <c r="AU880" s="7"/>
      <c r="AV880" s="7"/>
      <c r="AW880" s="7"/>
    </row>
    <row r="881" spans="1:49" ht="15.75" customHeight="1" thickBo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0"/>
      <c r="AO881" s="7"/>
      <c r="AP881" s="7"/>
      <c r="AQ881" s="7"/>
      <c r="AR881" s="7"/>
      <c r="AS881" s="7"/>
      <c r="AT881" s="7"/>
      <c r="AU881" s="7"/>
      <c r="AV881" s="7"/>
      <c r="AW881" s="7"/>
    </row>
    <row r="882" spans="1:49" ht="15.75" customHeight="1" thickBo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0"/>
      <c r="AO882" s="7"/>
      <c r="AP882" s="7"/>
      <c r="AQ882" s="7"/>
      <c r="AR882" s="7"/>
      <c r="AS882" s="7"/>
      <c r="AT882" s="7"/>
      <c r="AU882" s="7"/>
      <c r="AV882" s="7"/>
      <c r="AW882" s="7"/>
    </row>
    <row r="883" spans="1:49" ht="15.75" customHeight="1" thickBo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0"/>
      <c r="AO883" s="7"/>
      <c r="AP883" s="7"/>
      <c r="AQ883" s="7"/>
      <c r="AR883" s="7"/>
      <c r="AS883" s="7"/>
      <c r="AT883" s="7"/>
      <c r="AU883" s="7"/>
      <c r="AV883" s="7"/>
      <c r="AW883" s="7"/>
    </row>
    <row r="884" spans="1:49" ht="15.75" customHeight="1" thickBo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0"/>
      <c r="AO884" s="7"/>
      <c r="AP884" s="7"/>
      <c r="AQ884" s="7"/>
      <c r="AR884" s="7"/>
      <c r="AS884" s="7"/>
      <c r="AT884" s="7"/>
      <c r="AU884" s="7"/>
      <c r="AV884" s="7"/>
      <c r="AW884" s="7"/>
    </row>
    <row r="885" spans="1:49" ht="15.75" customHeight="1" thickBo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0"/>
      <c r="AO885" s="7"/>
      <c r="AP885" s="7"/>
      <c r="AQ885" s="7"/>
      <c r="AR885" s="7"/>
      <c r="AS885" s="7"/>
      <c r="AT885" s="7"/>
      <c r="AU885" s="7"/>
      <c r="AV885" s="7"/>
      <c r="AW885" s="7"/>
    </row>
    <row r="886" spans="1:49" ht="15.75" customHeight="1" thickBo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0"/>
      <c r="AO886" s="7"/>
      <c r="AP886" s="7"/>
      <c r="AQ886" s="7"/>
      <c r="AR886" s="7"/>
      <c r="AS886" s="7"/>
      <c r="AT886" s="7"/>
      <c r="AU886" s="7"/>
      <c r="AV886" s="7"/>
      <c r="AW886" s="7"/>
    </row>
    <row r="887" spans="1:49" ht="15.75" customHeight="1" thickBo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0"/>
      <c r="AO887" s="7"/>
      <c r="AP887" s="7"/>
      <c r="AQ887" s="7"/>
      <c r="AR887" s="7"/>
      <c r="AS887" s="7"/>
      <c r="AT887" s="7"/>
      <c r="AU887" s="7"/>
      <c r="AV887" s="7"/>
      <c r="AW887" s="7"/>
    </row>
    <row r="888" spans="1:49" ht="15.75" customHeight="1" thickBo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0"/>
      <c r="AO888" s="7"/>
      <c r="AP888" s="7"/>
      <c r="AQ888" s="7"/>
      <c r="AR888" s="7"/>
      <c r="AS888" s="7"/>
      <c r="AT888" s="7"/>
      <c r="AU888" s="7"/>
      <c r="AV888" s="7"/>
      <c r="AW888" s="7"/>
    </row>
    <row r="889" spans="1:49" ht="15.75" customHeight="1" thickBo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0"/>
      <c r="AO889" s="7"/>
      <c r="AP889" s="7"/>
      <c r="AQ889" s="7"/>
      <c r="AR889" s="7"/>
      <c r="AS889" s="7"/>
      <c r="AT889" s="7"/>
      <c r="AU889" s="7"/>
      <c r="AV889" s="7"/>
      <c r="AW889" s="7"/>
    </row>
    <row r="890" spans="1:49" ht="15.75" customHeight="1" thickBo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0"/>
      <c r="AO890" s="7"/>
      <c r="AP890" s="7"/>
      <c r="AQ890" s="7"/>
      <c r="AR890" s="7"/>
      <c r="AS890" s="7"/>
      <c r="AT890" s="7"/>
      <c r="AU890" s="7"/>
      <c r="AV890" s="7"/>
      <c r="AW890" s="7"/>
    </row>
    <row r="891" spans="1:49" ht="15.75" customHeight="1" thickBo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0"/>
      <c r="AO891" s="7"/>
      <c r="AP891" s="7"/>
      <c r="AQ891" s="7"/>
      <c r="AR891" s="7"/>
      <c r="AS891" s="7"/>
      <c r="AT891" s="7"/>
      <c r="AU891" s="7"/>
      <c r="AV891" s="7"/>
      <c r="AW891" s="7"/>
    </row>
    <row r="892" spans="1:49" ht="15.75" customHeight="1" thickBo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0"/>
      <c r="AO892" s="7"/>
      <c r="AP892" s="7"/>
      <c r="AQ892" s="7"/>
      <c r="AR892" s="7"/>
      <c r="AS892" s="7"/>
      <c r="AT892" s="7"/>
      <c r="AU892" s="7"/>
      <c r="AV892" s="7"/>
      <c r="AW892" s="7"/>
    </row>
    <row r="893" spans="1:49" ht="15.75" customHeight="1" thickBo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0"/>
      <c r="AO893" s="7"/>
      <c r="AP893" s="7"/>
      <c r="AQ893" s="7"/>
      <c r="AR893" s="7"/>
      <c r="AS893" s="7"/>
      <c r="AT893" s="7"/>
      <c r="AU893" s="7"/>
      <c r="AV893" s="7"/>
      <c r="AW893" s="7"/>
    </row>
    <row r="894" spans="1:49" ht="15.75" customHeight="1" thickBo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0"/>
      <c r="AO894" s="7"/>
      <c r="AP894" s="7"/>
      <c r="AQ894" s="7"/>
      <c r="AR894" s="7"/>
      <c r="AS894" s="7"/>
      <c r="AT894" s="7"/>
      <c r="AU894" s="7"/>
      <c r="AV894" s="7"/>
      <c r="AW894" s="7"/>
    </row>
    <row r="895" spans="1:49" ht="15.75" customHeight="1" thickBo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0"/>
      <c r="AO895" s="7"/>
      <c r="AP895" s="7"/>
      <c r="AQ895" s="7"/>
      <c r="AR895" s="7"/>
      <c r="AS895" s="7"/>
      <c r="AT895" s="7"/>
      <c r="AU895" s="7"/>
      <c r="AV895" s="7"/>
      <c r="AW895" s="7"/>
    </row>
    <row r="896" spans="1:49" ht="15.75" customHeight="1" thickBo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0"/>
      <c r="AO896" s="7"/>
      <c r="AP896" s="7"/>
      <c r="AQ896" s="7"/>
      <c r="AR896" s="7"/>
      <c r="AS896" s="7"/>
      <c r="AT896" s="7"/>
      <c r="AU896" s="7"/>
      <c r="AV896" s="7"/>
      <c r="AW896" s="7"/>
    </row>
    <row r="897" spans="1:49" ht="15.75" customHeight="1" thickBo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0"/>
      <c r="AO897" s="7"/>
      <c r="AP897" s="7"/>
      <c r="AQ897" s="7"/>
      <c r="AR897" s="7"/>
      <c r="AS897" s="7"/>
      <c r="AT897" s="7"/>
      <c r="AU897" s="7"/>
      <c r="AV897" s="7"/>
      <c r="AW897" s="7"/>
    </row>
    <row r="898" spans="1:49" ht="15.75" customHeight="1" thickBo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0"/>
      <c r="AO898" s="7"/>
      <c r="AP898" s="7"/>
      <c r="AQ898" s="7"/>
      <c r="AR898" s="7"/>
      <c r="AS898" s="7"/>
      <c r="AT898" s="7"/>
      <c r="AU898" s="7"/>
      <c r="AV898" s="7"/>
      <c r="AW898" s="7"/>
    </row>
    <row r="899" spans="1:49" ht="15.75" customHeight="1" thickBo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0"/>
      <c r="AO899" s="7"/>
      <c r="AP899" s="7"/>
      <c r="AQ899" s="7"/>
      <c r="AR899" s="7"/>
      <c r="AS899" s="7"/>
      <c r="AT899" s="7"/>
      <c r="AU899" s="7"/>
      <c r="AV899" s="7"/>
      <c r="AW899" s="7"/>
    </row>
    <row r="900" spans="1:49" ht="15.75" customHeight="1" thickBo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0"/>
      <c r="AO900" s="7"/>
      <c r="AP900" s="7"/>
      <c r="AQ900" s="7"/>
      <c r="AR900" s="7"/>
      <c r="AS900" s="7"/>
      <c r="AT900" s="7"/>
      <c r="AU900" s="7"/>
      <c r="AV900" s="7"/>
      <c r="AW900" s="7"/>
    </row>
    <row r="901" spans="1:49" ht="15.75" customHeight="1" thickBo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0"/>
      <c r="AO901" s="7"/>
      <c r="AP901" s="7"/>
      <c r="AQ901" s="7"/>
      <c r="AR901" s="7"/>
      <c r="AS901" s="7"/>
      <c r="AT901" s="7"/>
      <c r="AU901" s="7"/>
      <c r="AV901" s="7"/>
      <c r="AW901" s="7"/>
    </row>
    <row r="902" spans="1:49" ht="15.75" customHeight="1" thickBo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0"/>
      <c r="AO902" s="7"/>
      <c r="AP902" s="7"/>
      <c r="AQ902" s="7"/>
      <c r="AR902" s="7"/>
      <c r="AS902" s="7"/>
      <c r="AT902" s="7"/>
      <c r="AU902" s="7"/>
      <c r="AV902" s="7"/>
      <c r="AW902" s="7"/>
    </row>
    <row r="903" spans="1:49" ht="15.75" customHeight="1" thickBo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0"/>
      <c r="AO903" s="7"/>
      <c r="AP903" s="7"/>
      <c r="AQ903" s="7"/>
      <c r="AR903" s="7"/>
      <c r="AS903" s="7"/>
      <c r="AT903" s="7"/>
      <c r="AU903" s="7"/>
      <c r="AV903" s="7"/>
      <c r="AW903" s="7"/>
    </row>
    <row r="904" spans="1:49" ht="15.75" customHeight="1" thickBo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0"/>
      <c r="AO904" s="7"/>
      <c r="AP904" s="7"/>
      <c r="AQ904" s="7"/>
      <c r="AR904" s="7"/>
      <c r="AS904" s="7"/>
      <c r="AT904" s="7"/>
      <c r="AU904" s="7"/>
      <c r="AV904" s="7"/>
      <c r="AW904" s="7"/>
    </row>
    <row r="905" spans="1:49" ht="15.75" customHeight="1" thickBo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0"/>
      <c r="AO905" s="7"/>
      <c r="AP905" s="7"/>
      <c r="AQ905" s="7"/>
      <c r="AR905" s="7"/>
      <c r="AS905" s="7"/>
      <c r="AT905" s="7"/>
      <c r="AU905" s="7"/>
      <c r="AV905" s="7"/>
      <c r="AW905" s="7"/>
    </row>
    <row r="906" spans="1:49" ht="15.75" customHeight="1" thickBo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0"/>
      <c r="AO906" s="7"/>
      <c r="AP906" s="7"/>
      <c r="AQ906" s="7"/>
      <c r="AR906" s="7"/>
      <c r="AS906" s="7"/>
      <c r="AT906" s="7"/>
      <c r="AU906" s="7"/>
      <c r="AV906" s="7"/>
      <c r="AW906" s="7"/>
    </row>
    <row r="907" spans="1:49" ht="15.75" customHeight="1" thickBo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0"/>
      <c r="AO907" s="7"/>
      <c r="AP907" s="7"/>
      <c r="AQ907" s="7"/>
      <c r="AR907" s="7"/>
      <c r="AS907" s="7"/>
      <c r="AT907" s="7"/>
      <c r="AU907" s="7"/>
      <c r="AV907" s="7"/>
      <c r="AW907" s="7"/>
    </row>
    <row r="908" spans="1:49" ht="15.75" customHeight="1" thickBo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0"/>
      <c r="AO908" s="7"/>
      <c r="AP908" s="7"/>
      <c r="AQ908" s="7"/>
      <c r="AR908" s="7"/>
      <c r="AS908" s="7"/>
      <c r="AT908" s="7"/>
      <c r="AU908" s="7"/>
      <c r="AV908" s="7"/>
      <c r="AW908" s="7"/>
    </row>
    <row r="909" spans="1:49" ht="15.75" customHeight="1" thickBo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0"/>
      <c r="AO909" s="7"/>
      <c r="AP909" s="7"/>
      <c r="AQ909" s="7"/>
      <c r="AR909" s="7"/>
      <c r="AS909" s="7"/>
      <c r="AT909" s="7"/>
      <c r="AU909" s="7"/>
      <c r="AV909" s="7"/>
      <c r="AW909" s="7"/>
    </row>
    <row r="910" spans="1:49" ht="15.75" customHeight="1" thickBo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0"/>
      <c r="AO910" s="7"/>
      <c r="AP910" s="7"/>
      <c r="AQ910" s="7"/>
      <c r="AR910" s="7"/>
      <c r="AS910" s="7"/>
      <c r="AT910" s="7"/>
      <c r="AU910" s="7"/>
      <c r="AV910" s="7"/>
      <c r="AW910" s="7"/>
    </row>
    <row r="911" spans="1:49" ht="15.75" customHeight="1" thickBo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0"/>
      <c r="AO911" s="7"/>
      <c r="AP911" s="7"/>
      <c r="AQ911" s="7"/>
      <c r="AR911" s="7"/>
      <c r="AS911" s="7"/>
      <c r="AT911" s="7"/>
      <c r="AU911" s="7"/>
      <c r="AV911" s="7"/>
      <c r="AW911" s="7"/>
    </row>
    <row r="912" spans="1:49" ht="15.75" customHeight="1" thickBo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0"/>
      <c r="AO912" s="7"/>
      <c r="AP912" s="7"/>
      <c r="AQ912" s="7"/>
      <c r="AR912" s="7"/>
      <c r="AS912" s="7"/>
      <c r="AT912" s="7"/>
      <c r="AU912" s="7"/>
      <c r="AV912" s="7"/>
      <c r="AW912" s="7"/>
    </row>
    <row r="913" spans="1:49" ht="15.75" customHeight="1" thickBo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0"/>
      <c r="AO913" s="7"/>
      <c r="AP913" s="7"/>
      <c r="AQ913" s="7"/>
      <c r="AR913" s="7"/>
      <c r="AS913" s="7"/>
      <c r="AT913" s="7"/>
      <c r="AU913" s="7"/>
      <c r="AV913" s="7"/>
      <c r="AW913" s="7"/>
    </row>
    <row r="914" spans="1:49" ht="15.75" customHeight="1" thickBo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0"/>
      <c r="AO914" s="7"/>
      <c r="AP914" s="7"/>
      <c r="AQ914" s="7"/>
      <c r="AR914" s="7"/>
      <c r="AS914" s="7"/>
      <c r="AT914" s="7"/>
      <c r="AU914" s="7"/>
      <c r="AV914" s="7"/>
      <c r="AW914" s="7"/>
    </row>
    <row r="915" spans="1:49" ht="15.75" customHeight="1" thickBo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0"/>
      <c r="AO915" s="7"/>
      <c r="AP915" s="7"/>
      <c r="AQ915" s="7"/>
      <c r="AR915" s="7"/>
      <c r="AS915" s="7"/>
      <c r="AT915" s="7"/>
      <c r="AU915" s="7"/>
      <c r="AV915" s="7"/>
      <c r="AW915" s="7"/>
    </row>
    <row r="916" spans="1:49" ht="15.75" customHeight="1" thickBo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0"/>
      <c r="AO916" s="7"/>
      <c r="AP916" s="7"/>
      <c r="AQ916" s="7"/>
      <c r="AR916" s="7"/>
      <c r="AS916" s="7"/>
      <c r="AT916" s="7"/>
      <c r="AU916" s="7"/>
      <c r="AV916" s="7"/>
      <c r="AW916" s="7"/>
    </row>
    <row r="917" spans="1:49" ht="15.75" customHeight="1" thickBo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0"/>
      <c r="AO917" s="7"/>
      <c r="AP917" s="7"/>
      <c r="AQ917" s="7"/>
      <c r="AR917" s="7"/>
      <c r="AS917" s="7"/>
      <c r="AT917" s="7"/>
      <c r="AU917" s="7"/>
      <c r="AV917" s="7"/>
      <c r="AW917" s="7"/>
    </row>
    <row r="918" spans="1:49" ht="15.75" customHeight="1" thickBo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0"/>
      <c r="AO918" s="7"/>
      <c r="AP918" s="7"/>
      <c r="AQ918" s="7"/>
      <c r="AR918" s="7"/>
      <c r="AS918" s="7"/>
      <c r="AT918" s="7"/>
      <c r="AU918" s="7"/>
      <c r="AV918" s="7"/>
      <c r="AW918" s="7"/>
    </row>
    <row r="919" spans="1:49" ht="15.75" customHeight="1" thickBo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0"/>
      <c r="AO919" s="7"/>
      <c r="AP919" s="7"/>
      <c r="AQ919" s="7"/>
      <c r="AR919" s="7"/>
      <c r="AS919" s="7"/>
      <c r="AT919" s="7"/>
      <c r="AU919" s="7"/>
      <c r="AV919" s="7"/>
      <c r="AW919" s="7"/>
    </row>
    <row r="920" spans="1:49" ht="15.75" customHeight="1" thickBo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0"/>
      <c r="AO920" s="7"/>
      <c r="AP920" s="7"/>
      <c r="AQ920" s="7"/>
      <c r="AR920" s="7"/>
      <c r="AS920" s="7"/>
      <c r="AT920" s="7"/>
      <c r="AU920" s="7"/>
      <c r="AV920" s="7"/>
      <c r="AW920" s="7"/>
    </row>
    <row r="921" spans="1:49" ht="15.75" customHeight="1" thickBo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0"/>
      <c r="AO921" s="7"/>
      <c r="AP921" s="7"/>
      <c r="AQ921" s="7"/>
      <c r="AR921" s="7"/>
      <c r="AS921" s="7"/>
      <c r="AT921" s="7"/>
      <c r="AU921" s="7"/>
      <c r="AV921" s="7"/>
      <c r="AW921" s="7"/>
    </row>
    <row r="922" spans="1:49" ht="15.75" customHeight="1" thickBo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0"/>
      <c r="AO922" s="7"/>
      <c r="AP922" s="7"/>
      <c r="AQ922" s="7"/>
      <c r="AR922" s="7"/>
      <c r="AS922" s="7"/>
      <c r="AT922" s="7"/>
      <c r="AU922" s="7"/>
      <c r="AV922" s="7"/>
      <c r="AW922" s="7"/>
    </row>
    <row r="923" spans="1:49" ht="15.75" customHeight="1" thickBo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0"/>
      <c r="AO923" s="7"/>
      <c r="AP923" s="7"/>
      <c r="AQ923" s="7"/>
      <c r="AR923" s="7"/>
      <c r="AS923" s="7"/>
      <c r="AT923" s="7"/>
      <c r="AU923" s="7"/>
      <c r="AV923" s="7"/>
      <c r="AW923" s="7"/>
    </row>
    <row r="924" spans="1:49" ht="15.75" customHeight="1" thickBo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0"/>
      <c r="AO924" s="7"/>
      <c r="AP924" s="7"/>
      <c r="AQ924" s="7"/>
      <c r="AR924" s="7"/>
      <c r="AS924" s="7"/>
      <c r="AT924" s="7"/>
      <c r="AU924" s="7"/>
      <c r="AV924" s="7"/>
      <c r="AW924" s="7"/>
    </row>
    <row r="925" spans="1:49" ht="15.75" customHeight="1" thickBo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0"/>
      <c r="AO925" s="7"/>
      <c r="AP925" s="7"/>
      <c r="AQ925" s="7"/>
      <c r="AR925" s="7"/>
      <c r="AS925" s="7"/>
      <c r="AT925" s="7"/>
      <c r="AU925" s="7"/>
      <c r="AV925" s="7"/>
      <c r="AW925" s="7"/>
    </row>
    <row r="926" spans="1:49" ht="15.75" customHeight="1" thickBo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0"/>
      <c r="AO926" s="7"/>
      <c r="AP926" s="7"/>
      <c r="AQ926" s="7"/>
      <c r="AR926" s="7"/>
      <c r="AS926" s="7"/>
      <c r="AT926" s="7"/>
      <c r="AU926" s="7"/>
      <c r="AV926" s="7"/>
      <c r="AW926" s="7"/>
    </row>
    <row r="927" spans="1:49" ht="15.75" customHeight="1" thickBo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0"/>
      <c r="AO927" s="7"/>
      <c r="AP927" s="7"/>
      <c r="AQ927" s="7"/>
      <c r="AR927" s="7"/>
      <c r="AS927" s="7"/>
      <c r="AT927" s="7"/>
      <c r="AU927" s="7"/>
      <c r="AV927" s="7"/>
      <c r="AW927" s="7"/>
    </row>
    <row r="928" spans="1:49" ht="15.75" customHeight="1" thickBo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0"/>
      <c r="AO928" s="7"/>
      <c r="AP928" s="7"/>
      <c r="AQ928" s="7"/>
      <c r="AR928" s="7"/>
      <c r="AS928" s="7"/>
      <c r="AT928" s="7"/>
      <c r="AU928" s="7"/>
      <c r="AV928" s="7"/>
      <c r="AW928" s="7"/>
    </row>
    <row r="929" spans="1:49" ht="15.75" customHeight="1" thickBo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0"/>
      <c r="AO929" s="7"/>
      <c r="AP929" s="7"/>
      <c r="AQ929" s="7"/>
      <c r="AR929" s="7"/>
      <c r="AS929" s="7"/>
      <c r="AT929" s="7"/>
      <c r="AU929" s="7"/>
      <c r="AV929" s="7"/>
      <c r="AW929" s="7"/>
    </row>
    <row r="930" spans="1:49" ht="15.75" customHeight="1" thickBo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0"/>
      <c r="AO930" s="7"/>
      <c r="AP930" s="7"/>
      <c r="AQ930" s="7"/>
      <c r="AR930" s="7"/>
      <c r="AS930" s="7"/>
      <c r="AT930" s="7"/>
      <c r="AU930" s="7"/>
      <c r="AV930" s="7"/>
      <c r="AW930" s="7"/>
    </row>
    <row r="931" spans="1:49" ht="15.75" customHeight="1" thickBo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0"/>
      <c r="AO931" s="7"/>
      <c r="AP931" s="7"/>
      <c r="AQ931" s="7"/>
      <c r="AR931" s="7"/>
      <c r="AS931" s="7"/>
      <c r="AT931" s="7"/>
      <c r="AU931" s="7"/>
      <c r="AV931" s="7"/>
      <c r="AW931" s="7"/>
    </row>
    <row r="932" spans="1:49" ht="15.75" customHeight="1" thickBo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0"/>
      <c r="AO932" s="7"/>
      <c r="AP932" s="7"/>
      <c r="AQ932" s="7"/>
      <c r="AR932" s="7"/>
      <c r="AS932" s="7"/>
      <c r="AT932" s="7"/>
      <c r="AU932" s="7"/>
      <c r="AV932" s="7"/>
      <c r="AW932" s="7"/>
    </row>
    <row r="933" spans="1:49" ht="15.75" customHeight="1" thickBo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0"/>
      <c r="AO933" s="7"/>
      <c r="AP933" s="7"/>
      <c r="AQ933" s="7"/>
      <c r="AR933" s="7"/>
      <c r="AS933" s="7"/>
      <c r="AT933" s="7"/>
      <c r="AU933" s="7"/>
      <c r="AV933" s="7"/>
      <c r="AW933" s="7"/>
    </row>
    <row r="934" spans="1:49" ht="15.75" customHeight="1" thickBo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0"/>
      <c r="AO934" s="7"/>
      <c r="AP934" s="7"/>
      <c r="AQ934" s="7"/>
      <c r="AR934" s="7"/>
      <c r="AS934" s="7"/>
      <c r="AT934" s="7"/>
      <c r="AU934" s="7"/>
      <c r="AV934" s="7"/>
      <c r="AW934" s="7"/>
    </row>
    <row r="935" spans="1:49" ht="15.75" customHeight="1" thickBo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0"/>
      <c r="AO935" s="7"/>
      <c r="AP935" s="7"/>
      <c r="AQ935" s="7"/>
      <c r="AR935" s="7"/>
      <c r="AS935" s="7"/>
      <c r="AT935" s="7"/>
      <c r="AU935" s="7"/>
      <c r="AV935" s="7"/>
      <c r="AW935" s="7"/>
    </row>
    <row r="936" spans="1:49" ht="15.75" customHeight="1" thickBo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0"/>
      <c r="AO936" s="7"/>
      <c r="AP936" s="7"/>
      <c r="AQ936" s="7"/>
      <c r="AR936" s="7"/>
      <c r="AS936" s="7"/>
      <c r="AT936" s="7"/>
      <c r="AU936" s="7"/>
      <c r="AV936" s="7"/>
      <c r="AW936" s="7"/>
    </row>
    <row r="937" spans="1:49" ht="15.75" customHeight="1" thickBo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0"/>
      <c r="AO937" s="7"/>
      <c r="AP937" s="7"/>
      <c r="AQ937" s="7"/>
      <c r="AR937" s="7"/>
      <c r="AS937" s="7"/>
      <c r="AT937" s="7"/>
      <c r="AU937" s="7"/>
      <c r="AV937" s="7"/>
      <c r="AW937" s="7"/>
    </row>
    <row r="938" spans="1:49" ht="15.75" customHeight="1" thickBo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0"/>
      <c r="AO938" s="7"/>
      <c r="AP938" s="7"/>
      <c r="AQ938" s="7"/>
      <c r="AR938" s="7"/>
      <c r="AS938" s="7"/>
      <c r="AT938" s="7"/>
      <c r="AU938" s="7"/>
      <c r="AV938" s="7"/>
      <c r="AW938" s="7"/>
    </row>
    <row r="939" spans="1:49" ht="15.75" customHeight="1" thickBo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0"/>
      <c r="AO939" s="7"/>
      <c r="AP939" s="7"/>
      <c r="AQ939" s="7"/>
      <c r="AR939" s="7"/>
      <c r="AS939" s="7"/>
      <c r="AT939" s="7"/>
      <c r="AU939" s="7"/>
      <c r="AV939" s="7"/>
      <c r="AW939" s="7"/>
    </row>
    <row r="940" spans="1:49" ht="15.75" customHeight="1" thickBo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0"/>
      <c r="AO940" s="7"/>
      <c r="AP940" s="7"/>
      <c r="AQ940" s="7"/>
      <c r="AR940" s="7"/>
      <c r="AS940" s="7"/>
      <c r="AT940" s="7"/>
      <c r="AU940" s="7"/>
      <c r="AV940" s="7"/>
      <c r="AW940" s="7"/>
    </row>
    <row r="941" spans="1:49" ht="15.75" customHeight="1" thickBo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0"/>
      <c r="AO941" s="7"/>
      <c r="AP941" s="7"/>
      <c r="AQ941" s="7"/>
      <c r="AR941" s="7"/>
      <c r="AS941" s="7"/>
      <c r="AT941" s="7"/>
      <c r="AU941" s="7"/>
      <c r="AV941" s="7"/>
      <c r="AW941" s="7"/>
    </row>
    <row r="942" spans="1:49" ht="15.75" customHeight="1" thickBo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0"/>
      <c r="AO942" s="7"/>
      <c r="AP942" s="7"/>
      <c r="AQ942" s="7"/>
      <c r="AR942" s="7"/>
      <c r="AS942" s="7"/>
      <c r="AT942" s="7"/>
      <c r="AU942" s="7"/>
      <c r="AV942" s="7"/>
      <c r="AW942" s="7"/>
    </row>
    <row r="943" spans="1:49" ht="15.75" customHeight="1" thickBo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0"/>
      <c r="AO943" s="7"/>
      <c r="AP943" s="7"/>
      <c r="AQ943" s="7"/>
      <c r="AR943" s="7"/>
      <c r="AS943" s="7"/>
      <c r="AT943" s="7"/>
      <c r="AU943" s="7"/>
      <c r="AV943" s="7"/>
      <c r="AW943" s="7"/>
    </row>
    <row r="944" spans="1:49" ht="15.75" customHeight="1" thickBo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0"/>
      <c r="AO944" s="7"/>
      <c r="AP944" s="7"/>
      <c r="AQ944" s="7"/>
      <c r="AR944" s="7"/>
      <c r="AS944" s="7"/>
      <c r="AT944" s="7"/>
      <c r="AU944" s="7"/>
      <c r="AV944" s="7"/>
      <c r="AW944" s="7"/>
    </row>
    <row r="945" spans="1:49" ht="15.75" customHeight="1" thickBo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0"/>
      <c r="AO945" s="7"/>
      <c r="AP945" s="7"/>
      <c r="AQ945" s="7"/>
      <c r="AR945" s="7"/>
      <c r="AS945" s="7"/>
      <c r="AT945" s="7"/>
      <c r="AU945" s="7"/>
      <c r="AV945" s="7"/>
      <c r="AW945" s="7"/>
    </row>
    <row r="946" spans="1:49" ht="15.75" customHeight="1" thickBo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0"/>
      <c r="AO946" s="7"/>
      <c r="AP946" s="7"/>
      <c r="AQ946" s="7"/>
      <c r="AR946" s="7"/>
      <c r="AS946" s="7"/>
      <c r="AT946" s="7"/>
      <c r="AU946" s="7"/>
      <c r="AV946" s="7"/>
      <c r="AW946" s="7"/>
    </row>
    <row r="947" spans="1:49" ht="15.75" customHeight="1" thickBo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0"/>
      <c r="AO947" s="7"/>
      <c r="AP947" s="7"/>
      <c r="AQ947" s="7"/>
      <c r="AR947" s="7"/>
      <c r="AS947" s="7"/>
      <c r="AT947" s="7"/>
      <c r="AU947" s="7"/>
      <c r="AV947" s="7"/>
      <c r="AW947" s="7"/>
    </row>
    <row r="948" spans="1:49" ht="15.75" customHeight="1" thickBo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0"/>
      <c r="AO948" s="7"/>
      <c r="AP948" s="7"/>
      <c r="AQ948" s="7"/>
      <c r="AR948" s="7"/>
      <c r="AS948" s="7"/>
      <c r="AT948" s="7"/>
      <c r="AU948" s="7"/>
      <c r="AV948" s="7"/>
      <c r="AW948" s="7"/>
    </row>
    <row r="949" spans="1:49" ht="15.75" customHeight="1" thickBo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0"/>
      <c r="AO949" s="7"/>
      <c r="AP949" s="7"/>
      <c r="AQ949" s="7"/>
      <c r="AR949" s="7"/>
      <c r="AS949" s="7"/>
      <c r="AT949" s="7"/>
      <c r="AU949" s="7"/>
      <c r="AV949" s="7"/>
      <c r="AW949" s="7"/>
    </row>
    <row r="950" spans="1:49" ht="15.75" customHeight="1" thickBo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0"/>
      <c r="AO950" s="7"/>
      <c r="AP950" s="7"/>
      <c r="AQ950" s="7"/>
      <c r="AR950" s="7"/>
      <c r="AS950" s="7"/>
      <c r="AT950" s="7"/>
      <c r="AU950" s="7"/>
      <c r="AV950" s="7"/>
      <c r="AW950" s="7"/>
    </row>
    <row r="951" spans="1:49" ht="15.75" customHeight="1" thickBo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0"/>
      <c r="AO951" s="7"/>
      <c r="AP951" s="7"/>
      <c r="AQ951" s="7"/>
      <c r="AR951" s="7"/>
      <c r="AS951" s="7"/>
      <c r="AT951" s="7"/>
      <c r="AU951" s="7"/>
      <c r="AV951" s="7"/>
      <c r="AW951" s="7"/>
    </row>
    <row r="952" spans="1:49" ht="15.75" customHeight="1" thickBo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0"/>
      <c r="AO952" s="7"/>
      <c r="AP952" s="7"/>
      <c r="AQ952" s="7"/>
      <c r="AR952" s="7"/>
      <c r="AS952" s="7"/>
      <c r="AT952" s="7"/>
      <c r="AU952" s="7"/>
      <c r="AV952" s="7"/>
      <c r="AW952" s="7"/>
    </row>
    <row r="953" spans="1:49" ht="15.75" customHeight="1" thickBo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0"/>
      <c r="AO953" s="7"/>
      <c r="AP953" s="7"/>
      <c r="AQ953" s="7"/>
      <c r="AR953" s="7"/>
      <c r="AS953" s="7"/>
      <c r="AT953" s="7"/>
      <c r="AU953" s="7"/>
      <c r="AV953" s="7"/>
      <c r="AW953" s="7"/>
    </row>
    <row r="954" spans="1:49" ht="15.75" customHeight="1" thickBo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0"/>
      <c r="AO954" s="7"/>
      <c r="AP954" s="7"/>
      <c r="AQ954" s="7"/>
      <c r="AR954" s="7"/>
      <c r="AS954" s="7"/>
      <c r="AT954" s="7"/>
      <c r="AU954" s="7"/>
      <c r="AV954" s="7"/>
      <c r="AW954" s="7"/>
    </row>
    <row r="955" spans="1:49" ht="15.75" customHeight="1" thickBo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0"/>
      <c r="AO955" s="7"/>
      <c r="AP955" s="7"/>
      <c r="AQ955" s="7"/>
      <c r="AR955" s="7"/>
      <c r="AS955" s="7"/>
      <c r="AT955" s="7"/>
      <c r="AU955" s="7"/>
      <c r="AV955" s="7"/>
      <c r="AW955" s="7"/>
    </row>
    <row r="956" spans="1:49" ht="15.75" customHeight="1" thickBo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0"/>
      <c r="AO956" s="7"/>
      <c r="AP956" s="7"/>
      <c r="AQ956" s="7"/>
      <c r="AR956" s="7"/>
      <c r="AS956" s="7"/>
      <c r="AT956" s="7"/>
      <c r="AU956" s="7"/>
      <c r="AV956" s="7"/>
      <c r="AW956" s="7"/>
    </row>
    <row r="957" spans="1:49" ht="15.75" customHeight="1" thickBo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0"/>
      <c r="AO957" s="7"/>
      <c r="AP957" s="7"/>
      <c r="AQ957" s="7"/>
      <c r="AR957" s="7"/>
      <c r="AS957" s="7"/>
      <c r="AT957" s="7"/>
      <c r="AU957" s="7"/>
      <c r="AV957" s="7"/>
      <c r="AW957" s="7"/>
    </row>
    <row r="958" spans="1:49" ht="15.75" customHeight="1" thickBo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0"/>
      <c r="AO958" s="7"/>
      <c r="AP958" s="7"/>
      <c r="AQ958" s="7"/>
      <c r="AR958" s="7"/>
      <c r="AS958" s="7"/>
      <c r="AT958" s="7"/>
      <c r="AU958" s="7"/>
      <c r="AV958" s="7"/>
      <c r="AW958" s="7"/>
    </row>
    <row r="959" spans="1:49" ht="15.75" customHeight="1" thickBo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0"/>
      <c r="AO959" s="7"/>
      <c r="AP959" s="7"/>
      <c r="AQ959" s="7"/>
      <c r="AR959" s="7"/>
      <c r="AS959" s="7"/>
      <c r="AT959" s="7"/>
      <c r="AU959" s="7"/>
      <c r="AV959" s="7"/>
      <c r="AW959" s="7"/>
    </row>
    <row r="960" spans="1:49" ht="15.75" customHeight="1" thickBo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0"/>
      <c r="AO960" s="7"/>
      <c r="AP960" s="7"/>
      <c r="AQ960" s="7"/>
      <c r="AR960" s="7"/>
      <c r="AS960" s="7"/>
      <c r="AT960" s="7"/>
      <c r="AU960" s="7"/>
      <c r="AV960" s="7"/>
      <c r="AW960" s="7"/>
    </row>
    <row r="961" spans="1:49" ht="15.75" customHeight="1" thickBo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0"/>
      <c r="AO961" s="7"/>
      <c r="AP961" s="7"/>
      <c r="AQ961" s="7"/>
      <c r="AR961" s="7"/>
      <c r="AS961" s="7"/>
      <c r="AT961" s="7"/>
      <c r="AU961" s="7"/>
      <c r="AV961" s="7"/>
      <c r="AW961" s="7"/>
    </row>
    <row r="962" spans="1:49" ht="15.75" customHeight="1" thickBo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0"/>
      <c r="AO962" s="7"/>
      <c r="AP962" s="7"/>
      <c r="AQ962" s="7"/>
      <c r="AR962" s="7"/>
      <c r="AS962" s="7"/>
      <c r="AT962" s="7"/>
      <c r="AU962" s="7"/>
      <c r="AV962" s="7"/>
      <c r="AW962" s="7"/>
    </row>
    <row r="963" spans="1:49" ht="15.75" customHeight="1" thickBo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0"/>
      <c r="AO963" s="7"/>
      <c r="AP963" s="7"/>
      <c r="AQ963" s="7"/>
      <c r="AR963" s="7"/>
      <c r="AS963" s="7"/>
      <c r="AT963" s="7"/>
      <c r="AU963" s="7"/>
      <c r="AV963" s="7"/>
      <c r="AW963" s="7"/>
    </row>
    <row r="964" spans="1:49" ht="15.75" customHeight="1" thickBo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0"/>
      <c r="AO964" s="7"/>
      <c r="AP964" s="7"/>
      <c r="AQ964" s="7"/>
      <c r="AR964" s="7"/>
      <c r="AS964" s="7"/>
      <c r="AT964" s="7"/>
      <c r="AU964" s="7"/>
      <c r="AV964" s="7"/>
      <c r="AW964" s="7"/>
    </row>
    <row r="965" spans="1:49" ht="15.75" customHeight="1" thickBo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0"/>
      <c r="AO965" s="7"/>
      <c r="AP965" s="7"/>
      <c r="AQ965" s="7"/>
      <c r="AR965" s="7"/>
      <c r="AS965" s="7"/>
      <c r="AT965" s="7"/>
      <c r="AU965" s="7"/>
      <c r="AV965" s="7"/>
      <c r="AW965" s="7"/>
    </row>
    <row r="966" spans="1:49" ht="15.75" customHeight="1" thickBo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0"/>
      <c r="AO966" s="7"/>
      <c r="AP966" s="7"/>
      <c r="AQ966" s="7"/>
      <c r="AR966" s="7"/>
      <c r="AS966" s="7"/>
      <c r="AT966" s="7"/>
      <c r="AU966" s="7"/>
      <c r="AV966" s="7"/>
      <c r="AW966" s="7"/>
    </row>
    <row r="967" spans="1:49" ht="15.75" customHeight="1" thickBo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0"/>
      <c r="AO967" s="7"/>
      <c r="AP967" s="7"/>
      <c r="AQ967" s="7"/>
      <c r="AR967" s="7"/>
      <c r="AS967" s="7"/>
      <c r="AT967" s="7"/>
      <c r="AU967" s="7"/>
      <c r="AV967" s="7"/>
      <c r="AW967" s="7"/>
    </row>
    <row r="968" spans="1:49" ht="15.75" customHeight="1" thickBo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0"/>
      <c r="AO968" s="7"/>
      <c r="AP968" s="7"/>
      <c r="AQ968" s="7"/>
      <c r="AR968" s="7"/>
      <c r="AS968" s="7"/>
      <c r="AT968" s="7"/>
      <c r="AU968" s="7"/>
      <c r="AV968" s="7"/>
      <c r="AW968" s="7"/>
    </row>
    <row r="969" spans="1:49" ht="15.75" customHeight="1" thickBo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0"/>
      <c r="AO969" s="7"/>
      <c r="AP969" s="7"/>
      <c r="AQ969" s="7"/>
      <c r="AR969" s="7"/>
      <c r="AS969" s="7"/>
      <c r="AT969" s="7"/>
      <c r="AU969" s="7"/>
      <c r="AV969" s="7"/>
      <c r="AW969" s="7"/>
    </row>
    <row r="970" spans="1:49" ht="15.75" customHeight="1" thickBo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0"/>
      <c r="AO970" s="7"/>
      <c r="AP970" s="7"/>
      <c r="AQ970" s="7"/>
      <c r="AR970" s="7"/>
      <c r="AS970" s="7"/>
      <c r="AT970" s="7"/>
      <c r="AU970" s="7"/>
      <c r="AV970" s="7"/>
      <c r="AW970" s="7"/>
    </row>
    <row r="971" spans="1:49" ht="15.75" customHeight="1" thickBo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0"/>
      <c r="AO971" s="7"/>
      <c r="AP971" s="7"/>
      <c r="AQ971" s="7"/>
      <c r="AR971" s="7"/>
      <c r="AS971" s="7"/>
      <c r="AT971" s="7"/>
      <c r="AU971" s="7"/>
      <c r="AV971" s="7"/>
      <c r="AW971" s="7"/>
    </row>
    <row r="972" spans="1:49" ht="15.75" customHeight="1" thickBo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0"/>
      <c r="AO972" s="7"/>
      <c r="AP972" s="7"/>
      <c r="AQ972" s="7"/>
      <c r="AR972" s="7"/>
      <c r="AS972" s="7"/>
      <c r="AT972" s="7"/>
      <c r="AU972" s="7"/>
      <c r="AV972" s="7"/>
      <c r="AW972" s="7"/>
    </row>
    <row r="973" spans="1:49" ht="15.75" customHeight="1" thickBo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0"/>
      <c r="AO973" s="7"/>
      <c r="AP973" s="7"/>
      <c r="AQ973" s="7"/>
      <c r="AR973" s="7"/>
      <c r="AS973" s="7"/>
      <c r="AT973" s="7"/>
      <c r="AU973" s="7"/>
      <c r="AV973" s="7"/>
      <c r="AW973" s="7"/>
    </row>
    <row r="974" spans="1:49" ht="15.75" customHeight="1" thickBo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0"/>
      <c r="AO974" s="7"/>
      <c r="AP974" s="7"/>
      <c r="AQ974" s="7"/>
      <c r="AR974" s="7"/>
      <c r="AS974" s="7"/>
      <c r="AT974" s="7"/>
      <c r="AU974" s="7"/>
      <c r="AV974" s="7"/>
      <c r="AW974" s="7"/>
    </row>
    <row r="975" spans="1:49" ht="15.75" customHeight="1" thickBo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0"/>
      <c r="AO975" s="7"/>
      <c r="AP975" s="7"/>
      <c r="AQ975" s="7"/>
      <c r="AR975" s="7"/>
      <c r="AS975" s="7"/>
      <c r="AT975" s="7"/>
      <c r="AU975" s="7"/>
      <c r="AV975" s="7"/>
      <c r="AW975" s="7"/>
    </row>
    <row r="976" spans="1:49" ht="15.75" customHeight="1" thickBo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0"/>
      <c r="AO976" s="7"/>
      <c r="AP976" s="7"/>
      <c r="AQ976" s="7"/>
      <c r="AR976" s="7"/>
      <c r="AS976" s="7"/>
      <c r="AT976" s="7"/>
      <c r="AU976" s="7"/>
      <c r="AV976" s="7"/>
      <c r="AW976" s="7"/>
    </row>
    <row r="977" spans="1:49" ht="15.75" customHeight="1" thickBo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0"/>
      <c r="AO977" s="7"/>
      <c r="AP977" s="7"/>
      <c r="AQ977" s="7"/>
      <c r="AR977" s="7"/>
      <c r="AS977" s="7"/>
      <c r="AT977" s="7"/>
      <c r="AU977" s="7"/>
      <c r="AV977" s="7"/>
      <c r="AW977" s="7"/>
    </row>
    <row r="978" spans="1:49" ht="15.75" customHeight="1" thickBo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0"/>
      <c r="AO978" s="7"/>
      <c r="AP978" s="7"/>
      <c r="AQ978" s="7"/>
      <c r="AR978" s="7"/>
      <c r="AS978" s="7"/>
      <c r="AT978" s="7"/>
      <c r="AU978" s="7"/>
      <c r="AV978" s="7"/>
      <c r="AW978" s="7"/>
    </row>
    <row r="979" spans="1:49" ht="15.75" customHeight="1" thickBo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0"/>
      <c r="AO979" s="7"/>
      <c r="AP979" s="7"/>
      <c r="AQ979" s="7"/>
      <c r="AR979" s="7"/>
      <c r="AS979" s="7"/>
      <c r="AT979" s="7"/>
      <c r="AU979" s="7"/>
      <c r="AV979" s="7"/>
      <c r="AW979" s="7"/>
    </row>
    <row r="980" spans="1:49" ht="15.75" customHeight="1" thickBo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0"/>
      <c r="AO980" s="7"/>
      <c r="AP980" s="7"/>
      <c r="AQ980" s="7"/>
      <c r="AR980" s="7"/>
      <c r="AS980" s="7"/>
      <c r="AT980" s="7"/>
      <c r="AU980" s="7"/>
      <c r="AV980" s="7"/>
      <c r="AW980" s="7"/>
    </row>
    <row r="981" spans="1:49" ht="15.75" customHeight="1" thickBo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0"/>
      <c r="AO981" s="7"/>
      <c r="AP981" s="7"/>
      <c r="AQ981" s="7"/>
      <c r="AR981" s="7"/>
      <c r="AS981" s="7"/>
      <c r="AT981" s="7"/>
      <c r="AU981" s="7"/>
      <c r="AV981" s="7"/>
      <c r="AW981" s="7"/>
    </row>
    <row r="982" spans="1:49" ht="15.75" customHeight="1" thickBo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0"/>
      <c r="AO982" s="7"/>
      <c r="AP982" s="7"/>
      <c r="AQ982" s="7"/>
      <c r="AR982" s="7"/>
      <c r="AS982" s="7"/>
      <c r="AT982" s="7"/>
      <c r="AU982" s="7"/>
      <c r="AV982" s="7"/>
      <c r="AW982" s="7"/>
    </row>
    <row r="983" spans="1:49" ht="15.75" customHeight="1" thickBo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0"/>
      <c r="AO983" s="7"/>
      <c r="AP983" s="7"/>
      <c r="AQ983" s="7"/>
      <c r="AR983" s="7"/>
      <c r="AS983" s="7"/>
      <c r="AT983" s="7"/>
      <c r="AU983" s="7"/>
      <c r="AV983" s="7"/>
      <c r="AW983" s="7"/>
    </row>
    <row r="984" spans="1:49" ht="15.75" customHeight="1" thickBo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0"/>
      <c r="AO984" s="7"/>
      <c r="AP984" s="7"/>
      <c r="AQ984" s="7"/>
      <c r="AR984" s="7"/>
      <c r="AS984" s="7"/>
      <c r="AT984" s="7"/>
      <c r="AU984" s="7"/>
      <c r="AV984" s="7"/>
      <c r="AW984" s="7"/>
    </row>
    <row r="985" spans="1:49" ht="15.75" customHeight="1" thickBo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0"/>
      <c r="AO985" s="7"/>
      <c r="AP985" s="7"/>
      <c r="AQ985" s="7"/>
      <c r="AR985" s="7"/>
      <c r="AS985" s="7"/>
      <c r="AT985" s="7"/>
      <c r="AU985" s="7"/>
      <c r="AV985" s="7"/>
      <c r="AW985" s="7"/>
    </row>
    <row r="986" spans="1:49" ht="15.75" customHeight="1" thickBo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0"/>
      <c r="AO986" s="7"/>
      <c r="AP986" s="7"/>
      <c r="AQ986" s="7"/>
      <c r="AR986" s="7"/>
      <c r="AS986" s="7"/>
      <c r="AT986" s="7"/>
      <c r="AU986" s="7"/>
      <c r="AV986" s="7"/>
      <c r="AW986" s="7"/>
    </row>
    <row r="987" spans="1:49" ht="15.75" customHeight="1" thickBo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0"/>
      <c r="AO987" s="7"/>
      <c r="AP987" s="7"/>
      <c r="AQ987" s="7"/>
      <c r="AR987" s="7"/>
      <c r="AS987" s="7"/>
      <c r="AT987" s="7"/>
      <c r="AU987" s="7"/>
      <c r="AV987" s="7"/>
      <c r="AW987" s="7"/>
    </row>
    <row r="988" spans="1:49" ht="15.75" customHeight="1" thickBo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0"/>
      <c r="AO988" s="7"/>
      <c r="AP988" s="7"/>
      <c r="AQ988" s="7"/>
      <c r="AR988" s="7"/>
      <c r="AS988" s="7"/>
      <c r="AT988" s="7"/>
      <c r="AU988" s="7"/>
      <c r="AV988" s="7"/>
      <c r="AW988" s="7"/>
    </row>
    <row r="989" spans="1:49" ht="15.75" customHeight="1" thickBo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0"/>
      <c r="AO989" s="7"/>
      <c r="AP989" s="7"/>
      <c r="AQ989" s="7"/>
      <c r="AR989" s="7"/>
      <c r="AS989" s="7"/>
      <c r="AT989" s="7"/>
      <c r="AU989" s="7"/>
      <c r="AV989" s="7"/>
      <c r="AW989" s="7"/>
    </row>
    <row r="990" spans="1:49" ht="15.75" customHeight="1" thickBo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0"/>
      <c r="AO990" s="7"/>
      <c r="AP990" s="7"/>
      <c r="AQ990" s="7"/>
      <c r="AR990" s="7"/>
      <c r="AS990" s="7"/>
      <c r="AT990" s="7"/>
      <c r="AU990" s="7"/>
      <c r="AV990" s="7"/>
      <c r="AW990" s="7"/>
    </row>
    <row r="991" spans="1:49" ht="15.75" customHeight="1" thickBo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0"/>
      <c r="AO991" s="7"/>
      <c r="AP991" s="7"/>
      <c r="AQ991" s="7"/>
      <c r="AR991" s="7"/>
      <c r="AS991" s="7"/>
      <c r="AT991" s="7"/>
      <c r="AU991" s="7"/>
      <c r="AV991" s="7"/>
      <c r="AW991" s="7"/>
    </row>
    <row r="992" spans="1:49" ht="15.75" customHeight="1" thickBo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0"/>
      <c r="AO992" s="7"/>
      <c r="AP992" s="7"/>
      <c r="AQ992" s="7"/>
      <c r="AR992" s="7"/>
      <c r="AS992" s="7"/>
      <c r="AT992" s="7"/>
      <c r="AU992" s="7"/>
      <c r="AV992" s="7"/>
      <c r="AW992" s="7"/>
    </row>
    <row r="993" spans="1:49" ht="15.75" customHeight="1" thickBo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0"/>
      <c r="AO993" s="7"/>
      <c r="AP993" s="7"/>
      <c r="AQ993" s="7"/>
      <c r="AR993" s="7"/>
      <c r="AS993" s="7"/>
      <c r="AT993" s="7"/>
      <c r="AU993" s="7"/>
      <c r="AV993" s="7"/>
      <c r="AW993" s="7"/>
    </row>
    <row r="994" spans="1:49" ht="15.75" customHeight="1" thickBo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0"/>
      <c r="AO994" s="7"/>
      <c r="AP994" s="7"/>
      <c r="AQ994" s="7"/>
      <c r="AR994" s="7"/>
      <c r="AS994" s="7"/>
      <c r="AT994" s="7"/>
      <c r="AU994" s="7"/>
      <c r="AV994" s="7"/>
      <c r="AW994" s="7"/>
    </row>
    <row r="995" spans="1:49" ht="15.75" customHeight="1" thickBo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0"/>
      <c r="AO995" s="7"/>
      <c r="AP995" s="7"/>
      <c r="AQ995" s="7"/>
      <c r="AR995" s="7"/>
      <c r="AS995" s="7"/>
      <c r="AT995" s="7"/>
      <c r="AU995" s="7"/>
      <c r="AV995" s="7"/>
      <c r="AW995" s="7"/>
    </row>
    <row r="996" spans="1:49" ht="15.75" customHeight="1" thickBo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0"/>
      <c r="AO996" s="7"/>
      <c r="AP996" s="7"/>
      <c r="AQ996" s="7"/>
      <c r="AR996" s="7"/>
      <c r="AS996" s="7"/>
      <c r="AT996" s="7"/>
      <c r="AU996" s="7"/>
      <c r="AV996" s="7"/>
      <c r="AW996" s="7"/>
    </row>
    <row r="997" spans="1:49" ht="15.75" customHeight="1" thickBo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0"/>
      <c r="AO997" s="7"/>
      <c r="AP997" s="7"/>
      <c r="AQ997" s="7"/>
      <c r="AR997" s="7"/>
      <c r="AS997" s="7"/>
      <c r="AT997" s="7"/>
      <c r="AU997" s="7"/>
      <c r="AV997" s="7"/>
      <c r="AW997" s="7"/>
    </row>
    <row r="998" spans="1:49" ht="15.75" customHeight="1" thickBo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0"/>
      <c r="AO998" s="7"/>
      <c r="AP998" s="7"/>
      <c r="AQ998" s="7"/>
      <c r="AR998" s="7"/>
      <c r="AS998" s="7"/>
      <c r="AT998" s="7"/>
      <c r="AU998" s="7"/>
      <c r="AV998" s="7"/>
      <c r="AW998" s="7"/>
    </row>
    <row r="999" spans="1:49" ht="15.75" customHeight="1" thickBo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0"/>
      <c r="AO999" s="7"/>
      <c r="AP999" s="7"/>
      <c r="AQ999" s="7"/>
      <c r="AR999" s="7"/>
      <c r="AS999" s="7"/>
      <c r="AT999" s="7"/>
      <c r="AU999" s="7"/>
      <c r="AV999" s="7"/>
      <c r="AW999" s="7"/>
    </row>
    <row r="1000" spans="1:49" ht="15.75" customHeight="1" thickBo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0"/>
      <c r="AO1000" s="7"/>
      <c r="AP1000" s="7"/>
      <c r="AQ1000" s="7"/>
      <c r="AR1000" s="7"/>
      <c r="AS1000" s="7"/>
      <c r="AT1000" s="7"/>
      <c r="AU1000" s="7"/>
      <c r="AV1000" s="7"/>
      <c r="AW1000" s="7"/>
    </row>
    <row r="1001" spans="1:49" ht="15.75" customHeight="1" thickBo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20"/>
      <c r="AO1001" s="7"/>
      <c r="AP1001" s="7"/>
      <c r="AQ1001" s="7"/>
      <c r="AR1001" s="7"/>
      <c r="AS1001" s="7"/>
      <c r="AT1001" s="7"/>
      <c r="AU1001" s="7"/>
      <c r="AV1001" s="7"/>
      <c r="AW1001" s="7"/>
    </row>
    <row r="1002" spans="1:49" ht="15.75" customHeight="1" thickBo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20"/>
      <c r="AO1002" s="7"/>
      <c r="AP1002" s="7"/>
      <c r="AQ1002" s="7"/>
      <c r="AR1002" s="7"/>
      <c r="AS1002" s="7"/>
      <c r="AT1002" s="7"/>
      <c r="AU1002" s="7"/>
      <c r="AV1002" s="7"/>
      <c r="AW1002" s="7"/>
    </row>
    <row r="1003" spans="1:49" ht="15.75" customHeight="1" thickBo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20"/>
      <c r="AO1003" s="7"/>
      <c r="AP1003" s="7"/>
      <c r="AQ1003" s="7"/>
      <c r="AR1003" s="7"/>
      <c r="AS1003" s="7"/>
      <c r="AT1003" s="7"/>
      <c r="AU1003" s="7"/>
      <c r="AV1003" s="7"/>
      <c r="AW1003" s="7"/>
    </row>
    <row r="1004" spans="1:49" ht="15.75" customHeight="1" thickBo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20"/>
      <c r="AO1004" s="7"/>
      <c r="AP1004" s="7"/>
      <c r="AQ1004" s="7"/>
      <c r="AR1004" s="7"/>
      <c r="AS1004" s="7"/>
      <c r="AT1004" s="7"/>
      <c r="AU1004" s="7"/>
      <c r="AV1004" s="7"/>
      <c r="AW1004" s="7"/>
    </row>
    <row r="1005" spans="1:49" ht="15.75" customHeight="1" thickBo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20"/>
      <c r="AO1005" s="7"/>
      <c r="AP1005" s="7"/>
      <c r="AQ1005" s="7"/>
      <c r="AR1005" s="7"/>
      <c r="AS1005" s="7"/>
      <c r="AT1005" s="7"/>
      <c r="AU1005" s="7"/>
      <c r="AV1005" s="7"/>
      <c r="AW1005" s="7"/>
    </row>
    <row r="1006" spans="1:49" ht="15.75" customHeight="1" thickBot="1">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20"/>
      <c r="AO1006" s="7"/>
      <c r="AP1006" s="7"/>
      <c r="AQ1006" s="7"/>
      <c r="AR1006" s="7"/>
      <c r="AS1006" s="7"/>
      <c r="AT1006" s="7"/>
      <c r="AU1006" s="7"/>
      <c r="AV1006" s="7"/>
      <c r="AW1006" s="7"/>
    </row>
    <row r="1007" spans="1:49" ht="15.75" customHeight="1" thickBot="1">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20"/>
      <c r="AO1007" s="7"/>
      <c r="AP1007" s="7"/>
      <c r="AQ1007" s="7"/>
      <c r="AR1007" s="7"/>
      <c r="AS1007" s="7"/>
      <c r="AT1007" s="7"/>
      <c r="AU1007" s="7"/>
      <c r="AV1007" s="7"/>
      <c r="AW1007" s="7"/>
    </row>
    <row r="1008" spans="1:49" ht="15.75" customHeight="1" thickBot="1">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20"/>
      <c r="AO1008" s="7"/>
      <c r="AP1008" s="7"/>
      <c r="AQ1008" s="7"/>
      <c r="AR1008" s="7"/>
      <c r="AS1008" s="7"/>
      <c r="AT1008" s="7"/>
      <c r="AU1008" s="7"/>
      <c r="AV1008" s="7"/>
      <c r="AW1008" s="7"/>
    </row>
    <row r="1009" spans="1:49" ht="15.75" customHeight="1" thickBot="1">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20"/>
      <c r="AO1009" s="7"/>
      <c r="AP1009" s="7"/>
      <c r="AQ1009" s="7"/>
      <c r="AR1009" s="7"/>
      <c r="AS1009" s="7"/>
      <c r="AT1009" s="7"/>
      <c r="AU1009" s="7"/>
      <c r="AV1009" s="7"/>
      <c r="AW1009" s="7"/>
    </row>
    <row r="1010" spans="1:49" ht="15.75" customHeight="1" thickBot="1">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20"/>
      <c r="AO1010" s="7"/>
      <c r="AP1010" s="7"/>
      <c r="AQ1010" s="7"/>
      <c r="AR1010" s="7"/>
      <c r="AS1010" s="7"/>
      <c r="AT1010" s="7"/>
      <c r="AU1010" s="7"/>
      <c r="AV1010" s="7"/>
      <c r="AW1010" s="7"/>
    </row>
    <row r="1011" spans="1:49" ht="15.75" customHeight="1" thickBot="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20"/>
      <c r="AO1011" s="7"/>
      <c r="AP1011" s="7"/>
      <c r="AQ1011" s="7"/>
      <c r="AR1011" s="7"/>
      <c r="AS1011" s="7"/>
      <c r="AT1011" s="7"/>
      <c r="AU1011" s="7"/>
      <c r="AV1011" s="7"/>
      <c r="AW1011" s="7"/>
    </row>
    <row r="1012" spans="1:49" ht="15.75" customHeight="1" thickBot="1">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20"/>
      <c r="AO1012" s="7"/>
      <c r="AP1012" s="7"/>
      <c r="AQ1012" s="7"/>
      <c r="AR1012" s="7"/>
      <c r="AS1012" s="7"/>
      <c r="AT1012" s="7"/>
      <c r="AU1012" s="7"/>
      <c r="AV1012" s="7"/>
      <c r="AW1012" s="7"/>
    </row>
    <row r="1013" spans="1:49" ht="15.75" customHeight="1" thickBot="1">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20"/>
      <c r="AO1013" s="7"/>
      <c r="AP1013" s="7"/>
      <c r="AQ1013" s="7"/>
      <c r="AR1013" s="7"/>
      <c r="AS1013" s="7"/>
      <c r="AT1013" s="7"/>
      <c r="AU1013" s="7"/>
      <c r="AV1013" s="7"/>
      <c r="AW1013" s="7"/>
    </row>
    <row r="1014" spans="1:49" ht="15.75" customHeight="1" thickBot="1">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20"/>
      <c r="AO1014" s="7"/>
      <c r="AP1014" s="7"/>
      <c r="AQ1014" s="7"/>
      <c r="AR1014" s="7"/>
      <c r="AS1014" s="7"/>
      <c r="AT1014" s="7"/>
      <c r="AU1014" s="7"/>
      <c r="AV1014" s="7"/>
      <c r="AW1014" s="7"/>
    </row>
    <row r="1015" spans="1:49" ht="15.75" customHeight="1" thickBot="1">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20"/>
      <c r="AO1015" s="7"/>
      <c r="AP1015" s="7"/>
      <c r="AQ1015" s="7"/>
      <c r="AR1015" s="7"/>
      <c r="AS1015" s="7"/>
      <c r="AT1015" s="7"/>
      <c r="AU1015" s="7"/>
      <c r="AV1015" s="7"/>
      <c r="AW1015" s="7"/>
    </row>
    <row r="1016" spans="1:49" ht="15.75" customHeight="1" thickBot="1">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20"/>
      <c r="AO1016" s="7"/>
      <c r="AP1016" s="7"/>
      <c r="AQ1016" s="7"/>
      <c r="AR1016" s="7"/>
      <c r="AS1016" s="7"/>
      <c r="AT1016" s="7"/>
      <c r="AU1016" s="7"/>
      <c r="AV1016" s="7"/>
      <c r="AW1016" s="7"/>
    </row>
    <row r="1017" spans="1:49" ht="15.75" customHeight="1" thickBot="1">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20"/>
      <c r="AO1017" s="7"/>
      <c r="AP1017" s="7"/>
      <c r="AQ1017" s="7"/>
      <c r="AR1017" s="7"/>
      <c r="AS1017" s="7"/>
      <c r="AT1017" s="7"/>
      <c r="AU1017" s="7"/>
      <c r="AV1017" s="7"/>
      <c r="AW1017" s="7"/>
    </row>
    <row r="1018" spans="1:49" ht="15.75" customHeight="1" thickBot="1">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20"/>
      <c r="AO1018" s="7"/>
      <c r="AP1018" s="7"/>
      <c r="AQ1018" s="7"/>
      <c r="AR1018" s="7"/>
      <c r="AS1018" s="7"/>
      <c r="AT1018" s="7"/>
      <c r="AU1018" s="7"/>
      <c r="AV1018" s="7"/>
      <c r="AW1018" s="7"/>
    </row>
    <row r="1019" spans="1:49" ht="15.75" customHeight="1" thickBot="1">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20"/>
      <c r="AO1019" s="7"/>
      <c r="AP1019" s="7"/>
      <c r="AQ1019" s="7"/>
      <c r="AR1019" s="7"/>
      <c r="AS1019" s="7"/>
      <c r="AT1019" s="7"/>
      <c r="AU1019" s="7"/>
      <c r="AV1019" s="7"/>
      <c r="AW1019" s="7"/>
    </row>
    <row r="1020" spans="1:49" ht="15.75" customHeight="1" thickBot="1">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20"/>
      <c r="AO1020" s="7"/>
      <c r="AP1020" s="7"/>
      <c r="AQ1020" s="7"/>
      <c r="AR1020" s="7"/>
      <c r="AS1020" s="7"/>
      <c r="AT1020" s="7"/>
      <c r="AU1020" s="7"/>
      <c r="AV1020" s="7"/>
      <c r="AW1020" s="7"/>
    </row>
    <row r="1021" spans="1:49" ht="15.75" customHeight="1" thickBot="1">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20"/>
      <c r="AO1021" s="7"/>
      <c r="AP1021" s="7"/>
      <c r="AQ1021" s="7"/>
      <c r="AR1021" s="7"/>
      <c r="AS1021" s="7"/>
      <c r="AT1021" s="7"/>
      <c r="AU1021" s="7"/>
      <c r="AV1021" s="7"/>
      <c r="AW1021" s="7"/>
    </row>
    <row r="1022" spans="1:49" ht="15.75" customHeight="1" thickBot="1">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20"/>
      <c r="AO1022" s="7"/>
      <c r="AP1022" s="7"/>
      <c r="AQ1022" s="7"/>
      <c r="AR1022" s="7"/>
      <c r="AS1022" s="7"/>
      <c r="AT1022" s="7"/>
      <c r="AU1022" s="7"/>
      <c r="AV1022" s="7"/>
      <c r="AW1022" s="7"/>
    </row>
    <row r="1023" spans="1:49" ht="15.75" customHeight="1" thickBot="1">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20"/>
      <c r="AO1023" s="7"/>
      <c r="AP1023" s="7"/>
      <c r="AQ1023" s="7"/>
      <c r="AR1023" s="7"/>
      <c r="AS1023" s="7"/>
      <c r="AT1023" s="7"/>
      <c r="AU1023" s="7"/>
      <c r="AV1023" s="7"/>
      <c r="AW1023" s="7"/>
    </row>
    <row r="1024" spans="1:49" ht="15.75" customHeight="1" thickBot="1">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20"/>
      <c r="AO1024" s="7"/>
      <c r="AP1024" s="7"/>
      <c r="AQ1024" s="7"/>
      <c r="AR1024" s="7"/>
      <c r="AS1024" s="7"/>
      <c r="AT1024" s="7"/>
      <c r="AU1024" s="7"/>
      <c r="AV1024" s="7"/>
      <c r="AW1024" s="7"/>
    </row>
    <row r="1025" spans="1:49" ht="15.75" customHeight="1" thickBot="1">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20"/>
      <c r="AO1025" s="7"/>
      <c r="AP1025" s="7"/>
      <c r="AQ1025" s="7"/>
      <c r="AR1025" s="7"/>
      <c r="AS1025" s="7"/>
      <c r="AT1025" s="7"/>
      <c r="AU1025" s="7"/>
      <c r="AV1025" s="7"/>
      <c r="AW1025" s="7"/>
    </row>
    <row r="1026" spans="1:49" ht="15.75" customHeight="1" thickBot="1">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20"/>
      <c r="AO1026" s="7"/>
      <c r="AP1026" s="7"/>
      <c r="AQ1026" s="7"/>
      <c r="AR1026" s="7"/>
      <c r="AS1026" s="7"/>
      <c r="AT1026" s="7"/>
      <c r="AU1026" s="7"/>
      <c r="AV1026" s="7"/>
      <c r="AW1026" s="7"/>
    </row>
    <row r="1027" spans="1:49" ht="15.75" customHeight="1" thickBot="1">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20"/>
      <c r="AO1027" s="7"/>
      <c r="AP1027" s="7"/>
      <c r="AQ1027" s="7"/>
      <c r="AR1027" s="7"/>
      <c r="AS1027" s="7"/>
      <c r="AT1027" s="7"/>
      <c r="AU1027" s="7"/>
      <c r="AV1027" s="7"/>
      <c r="AW1027" s="7"/>
    </row>
    <row r="1028" spans="1:49" ht="15.75" customHeight="1" thickBot="1">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20"/>
      <c r="AO1028" s="7"/>
      <c r="AP1028" s="7"/>
      <c r="AQ1028" s="7"/>
      <c r="AR1028" s="7"/>
      <c r="AS1028" s="7"/>
      <c r="AT1028" s="7"/>
      <c r="AU1028" s="7"/>
      <c r="AV1028" s="7"/>
      <c r="AW1028" s="7"/>
    </row>
    <row r="1029" spans="1:49" ht="15.75" customHeight="1" thickBot="1">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20"/>
      <c r="AO1029" s="7"/>
      <c r="AP1029" s="7"/>
      <c r="AQ1029" s="7"/>
      <c r="AR1029" s="7"/>
      <c r="AS1029" s="7"/>
      <c r="AT1029" s="7"/>
      <c r="AU1029" s="7"/>
      <c r="AV1029" s="7"/>
      <c r="AW1029" s="7"/>
    </row>
    <row r="1030" spans="1:49" ht="15.75" customHeight="1" thickBot="1">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20"/>
      <c r="AO1030" s="7"/>
      <c r="AP1030" s="7"/>
      <c r="AQ1030" s="7"/>
      <c r="AR1030" s="7"/>
      <c r="AS1030" s="7"/>
      <c r="AT1030" s="7"/>
      <c r="AU1030" s="7"/>
      <c r="AV1030" s="7"/>
      <c r="AW1030" s="7"/>
    </row>
    <row r="1031" spans="1:49" ht="15.75" customHeight="1" thickBot="1">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20"/>
      <c r="AO1031" s="7"/>
      <c r="AP1031" s="7"/>
      <c r="AQ1031" s="7"/>
      <c r="AR1031" s="7"/>
      <c r="AS1031" s="7"/>
      <c r="AT1031" s="7"/>
      <c r="AU1031" s="7"/>
      <c r="AV1031" s="7"/>
      <c r="AW1031" s="7"/>
    </row>
    <row r="1032" spans="1:49" ht="15.75" customHeight="1" thickBot="1">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20"/>
      <c r="AO1032" s="7"/>
      <c r="AP1032" s="7"/>
      <c r="AQ1032" s="7"/>
      <c r="AR1032" s="7"/>
      <c r="AS1032" s="7"/>
      <c r="AT1032" s="7"/>
      <c r="AU1032" s="7"/>
      <c r="AV1032" s="7"/>
      <c r="AW1032" s="7"/>
    </row>
    <row r="1033" spans="1:49" ht="15.75" customHeight="1" thickBot="1">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20"/>
      <c r="AO1033" s="7"/>
      <c r="AP1033" s="7"/>
      <c r="AQ1033" s="7"/>
      <c r="AR1033" s="7"/>
      <c r="AS1033" s="7"/>
      <c r="AT1033" s="7"/>
      <c r="AU1033" s="7"/>
      <c r="AV1033" s="7"/>
      <c r="AW1033" s="7"/>
    </row>
    <row r="1034" spans="1:49" ht="15.75" customHeight="1" thickBot="1">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20"/>
      <c r="AO1034" s="7"/>
      <c r="AP1034" s="7"/>
      <c r="AQ1034" s="7"/>
      <c r="AR1034" s="7"/>
      <c r="AS1034" s="7"/>
      <c r="AT1034" s="7"/>
      <c r="AU1034" s="7"/>
      <c r="AV1034" s="7"/>
      <c r="AW1034" s="7"/>
    </row>
    <row r="1035" spans="1:49" ht="15.75" customHeight="1" thickBot="1">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20"/>
      <c r="AO1035" s="7"/>
      <c r="AP1035" s="7"/>
      <c r="AQ1035" s="7"/>
      <c r="AR1035" s="7"/>
      <c r="AS1035" s="7"/>
      <c r="AT1035" s="7"/>
      <c r="AU1035" s="7"/>
      <c r="AV1035" s="7"/>
      <c r="AW1035" s="7"/>
    </row>
    <row r="1036" spans="1:49" ht="15.75" customHeight="1" thickBot="1">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20"/>
      <c r="AO1036" s="7"/>
      <c r="AP1036" s="7"/>
      <c r="AQ1036" s="7"/>
      <c r="AR1036" s="7"/>
      <c r="AS1036" s="7"/>
      <c r="AT1036" s="7"/>
      <c r="AU1036" s="7"/>
      <c r="AV1036" s="7"/>
      <c r="AW1036" s="7"/>
    </row>
    <row r="1037" spans="1:49" ht="15.75" customHeight="1" thickBot="1">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20"/>
      <c r="AO1037" s="7"/>
      <c r="AP1037" s="7"/>
      <c r="AQ1037" s="7"/>
      <c r="AR1037" s="7"/>
      <c r="AS1037" s="7"/>
      <c r="AT1037" s="7"/>
      <c r="AU1037" s="7"/>
      <c r="AV1037" s="7"/>
      <c r="AW1037" s="7"/>
    </row>
    <row r="1038" spans="1:49" ht="15.75" customHeight="1" thickBot="1">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20"/>
      <c r="AO1038" s="7"/>
      <c r="AP1038" s="7"/>
      <c r="AQ1038" s="7"/>
      <c r="AR1038" s="7"/>
      <c r="AS1038" s="7"/>
      <c r="AT1038" s="7"/>
      <c r="AU1038" s="7"/>
      <c r="AV1038" s="7"/>
      <c r="AW1038" s="7"/>
    </row>
    <row r="1039" spans="1:49" ht="15.75" customHeight="1" thickBot="1">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20"/>
      <c r="AO1039" s="7"/>
      <c r="AP1039" s="7"/>
      <c r="AQ1039" s="7"/>
      <c r="AR1039" s="7"/>
      <c r="AS1039" s="7"/>
      <c r="AT1039" s="7"/>
      <c r="AU1039" s="7"/>
      <c r="AV1039" s="7"/>
      <c r="AW1039" s="7"/>
    </row>
    <row r="1040" spans="1:49" ht="17" thickBot="1">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20"/>
      <c r="AO1040" s="7"/>
      <c r="AP1040" s="7"/>
      <c r="AQ1040" s="7"/>
      <c r="AR1040" s="7"/>
      <c r="AS1040" s="7"/>
      <c r="AT1040" s="7"/>
      <c r="AU1040" s="7"/>
      <c r="AV1040" s="7"/>
      <c r="AW1040" s="7"/>
    </row>
    <row r="1041" spans="1:49" ht="15.75" customHeight="1" thickBot="1">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2"/>
      <c r="AG1041" s="2"/>
      <c r="AH1041" s="7"/>
      <c r="AI1041" s="7"/>
      <c r="AJ1041" s="7"/>
      <c r="AK1041" s="7"/>
      <c r="AL1041" s="7"/>
      <c r="AM1041" s="7"/>
      <c r="AN1041" s="20"/>
      <c r="AO1041" s="7"/>
      <c r="AP1041" s="7"/>
      <c r="AQ1041" s="7"/>
      <c r="AR1041" s="7"/>
      <c r="AS1041" s="7"/>
      <c r="AT1041" s="7"/>
      <c r="AU1041" s="7"/>
      <c r="AV1041" s="7"/>
      <c r="AW1041" s="7"/>
    </row>
    <row r="1042" spans="1:49">
      <c r="J1042" s="7"/>
      <c r="R1042" s="7"/>
      <c r="AR1042" s="7"/>
    </row>
    <row r="1043" spans="1:49">
      <c r="J1043" s="7"/>
      <c r="R1043" s="7"/>
      <c r="AR1043" s="7"/>
    </row>
    <row r="1044" spans="1:49">
      <c r="J1044" s="7"/>
      <c r="R1044" s="7"/>
      <c r="AR1044" s="7"/>
    </row>
  </sheetData>
  <sortState xmlns:xlrd2="http://schemas.microsoft.com/office/spreadsheetml/2017/richdata2" ref="A2:AW131">
    <sortCondition ref="M7:M131"/>
  </sortSt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7884E-0F0D-B047-AD16-5E19D1668F51}">
  <dimension ref="A1:Z1001"/>
  <sheetViews>
    <sheetView tabSelected="1" topLeftCell="A8" workbookViewId="0">
      <selection sqref="A1:Z1001"/>
    </sheetView>
  </sheetViews>
  <sheetFormatPr baseColWidth="10" defaultRowHeight="16"/>
  <cols>
    <col min="1" max="1" width="43.6640625" customWidth="1"/>
  </cols>
  <sheetData>
    <row r="1" spans="1:26">
      <c r="A1" s="5" t="s">
        <v>1155</v>
      </c>
      <c r="B1" s="5" t="s">
        <v>1115</v>
      </c>
      <c r="C1" s="7"/>
      <c r="D1" s="7"/>
      <c r="E1" s="7"/>
      <c r="F1" s="7"/>
      <c r="G1" s="7"/>
      <c r="H1" s="7"/>
      <c r="I1" s="7"/>
      <c r="J1" s="7"/>
      <c r="K1" s="7"/>
      <c r="L1" s="7"/>
      <c r="M1" s="7"/>
      <c r="N1" s="7"/>
      <c r="O1" s="7"/>
      <c r="P1" s="7"/>
      <c r="Q1" s="7"/>
      <c r="R1" s="7"/>
      <c r="S1" s="7"/>
      <c r="T1" s="7"/>
      <c r="U1" s="7"/>
      <c r="V1" s="7"/>
      <c r="W1" s="7"/>
      <c r="X1" s="7"/>
      <c r="Y1" s="7"/>
      <c r="Z1" s="7"/>
    </row>
    <row r="2" spans="1:26">
      <c r="A2" s="1" t="s">
        <v>0</v>
      </c>
      <c r="B2" s="5" t="s">
        <v>1190</v>
      </c>
      <c r="C2" s="7"/>
      <c r="D2" s="7"/>
      <c r="E2" s="7"/>
      <c r="F2" s="7"/>
      <c r="G2" s="7"/>
      <c r="H2" s="7"/>
      <c r="I2" s="7"/>
      <c r="J2" s="7"/>
      <c r="K2" s="7"/>
      <c r="L2" s="7"/>
      <c r="M2" s="7"/>
      <c r="N2" s="7"/>
      <c r="O2" s="7"/>
      <c r="P2" s="7"/>
      <c r="Q2" s="7"/>
      <c r="R2" s="7"/>
      <c r="S2" s="7"/>
      <c r="T2" s="7"/>
      <c r="U2" s="7"/>
      <c r="V2" s="7"/>
      <c r="W2" s="7"/>
      <c r="X2" s="7"/>
      <c r="Y2" s="7"/>
      <c r="Z2" s="7"/>
    </row>
    <row r="3" spans="1:26">
      <c r="A3" s="1" t="s">
        <v>1</v>
      </c>
      <c r="B3" s="5" t="s">
        <v>1191</v>
      </c>
      <c r="C3" s="7"/>
      <c r="D3" s="7"/>
      <c r="E3" s="7"/>
      <c r="F3" s="7"/>
      <c r="G3" s="7"/>
      <c r="H3" s="7"/>
      <c r="I3" s="7"/>
      <c r="J3" s="7"/>
      <c r="K3" s="7"/>
      <c r="L3" s="7"/>
      <c r="M3" s="7"/>
      <c r="N3" s="7"/>
      <c r="O3" s="7"/>
      <c r="P3" s="7"/>
      <c r="Q3" s="7"/>
      <c r="R3" s="7"/>
      <c r="S3" s="7"/>
      <c r="T3" s="7"/>
      <c r="U3" s="7"/>
      <c r="V3" s="7"/>
      <c r="W3" s="7"/>
      <c r="X3" s="7"/>
      <c r="Y3" s="7"/>
      <c r="Z3" s="7"/>
    </row>
    <row r="4" spans="1:26">
      <c r="A4" s="1" t="s">
        <v>2</v>
      </c>
      <c r="B4" s="5" t="s">
        <v>1113</v>
      </c>
      <c r="C4" s="7"/>
      <c r="D4" s="7"/>
      <c r="E4" s="7"/>
      <c r="F4" s="7"/>
      <c r="G4" s="7"/>
      <c r="H4" s="7"/>
      <c r="I4" s="7"/>
      <c r="J4" s="7"/>
      <c r="K4" s="7"/>
      <c r="L4" s="7"/>
      <c r="M4" s="7"/>
      <c r="N4" s="7"/>
      <c r="O4" s="7"/>
      <c r="P4" s="7"/>
      <c r="Q4" s="7"/>
      <c r="R4" s="7"/>
      <c r="S4" s="7"/>
      <c r="T4" s="7"/>
      <c r="U4" s="7"/>
      <c r="V4" s="7"/>
      <c r="W4" s="7"/>
      <c r="X4" s="7"/>
      <c r="Y4" s="7"/>
      <c r="Z4" s="7"/>
    </row>
    <row r="5" spans="1:26">
      <c r="A5" s="1" t="s">
        <v>3</v>
      </c>
      <c r="B5" s="5" t="s">
        <v>1114</v>
      </c>
      <c r="C5" s="7"/>
      <c r="D5" s="7"/>
      <c r="E5" s="7"/>
      <c r="F5" s="7"/>
      <c r="G5" s="7"/>
      <c r="H5" s="7"/>
      <c r="I5" s="7"/>
      <c r="J5" s="7"/>
      <c r="K5" s="7"/>
      <c r="L5" s="7"/>
      <c r="M5" s="7"/>
      <c r="N5" s="7"/>
      <c r="O5" s="7"/>
      <c r="P5" s="7"/>
      <c r="Q5" s="7"/>
      <c r="R5" s="7"/>
      <c r="S5" s="7"/>
      <c r="T5" s="7"/>
      <c r="U5" s="7"/>
      <c r="V5" s="7"/>
      <c r="W5" s="7"/>
      <c r="X5" s="7"/>
      <c r="Y5" s="7"/>
      <c r="Z5" s="7"/>
    </row>
    <row r="6" spans="1:26">
      <c r="A6" s="1" t="s">
        <v>4</v>
      </c>
      <c r="B6" s="5" t="s">
        <v>1192</v>
      </c>
      <c r="C6" s="7"/>
      <c r="D6" s="7"/>
      <c r="E6" s="7"/>
      <c r="F6" s="7"/>
      <c r="G6" s="7"/>
      <c r="H6" s="7"/>
      <c r="I6" s="7"/>
      <c r="J6" s="7"/>
      <c r="K6" s="7"/>
      <c r="L6" s="7"/>
      <c r="M6" s="7"/>
      <c r="N6" s="7"/>
      <c r="O6" s="7"/>
      <c r="P6" s="7"/>
      <c r="Q6" s="7"/>
      <c r="R6" s="7"/>
      <c r="S6" s="7"/>
      <c r="T6" s="7"/>
      <c r="U6" s="7"/>
      <c r="V6" s="7"/>
      <c r="W6" s="7"/>
      <c r="X6" s="7"/>
      <c r="Y6" s="7"/>
      <c r="Z6" s="7"/>
    </row>
    <row r="7" spans="1:26">
      <c r="A7" s="1" t="s">
        <v>595</v>
      </c>
      <c r="B7" s="5" t="s">
        <v>1193</v>
      </c>
      <c r="C7" s="7"/>
      <c r="D7" s="7"/>
      <c r="E7" s="7"/>
      <c r="F7" s="7"/>
      <c r="G7" s="7"/>
      <c r="H7" s="7"/>
      <c r="I7" s="7"/>
      <c r="J7" s="7"/>
      <c r="K7" s="7"/>
      <c r="L7" s="7"/>
      <c r="M7" s="7"/>
      <c r="N7" s="7"/>
      <c r="O7" s="7"/>
      <c r="P7" s="7"/>
      <c r="Q7" s="7"/>
      <c r="R7" s="7"/>
      <c r="S7" s="7"/>
      <c r="T7" s="7"/>
      <c r="U7" s="7"/>
      <c r="V7" s="7"/>
      <c r="W7" s="7"/>
      <c r="X7" s="7"/>
      <c r="Y7" s="7"/>
      <c r="Z7" s="7"/>
    </row>
    <row r="8" spans="1:26">
      <c r="A8" s="1" t="s">
        <v>5</v>
      </c>
      <c r="B8" s="5" t="s">
        <v>1194</v>
      </c>
      <c r="C8" s="7"/>
      <c r="D8" s="7"/>
      <c r="E8" s="7"/>
      <c r="F8" s="7"/>
      <c r="G8" s="7"/>
      <c r="H8" s="7"/>
      <c r="I8" s="7"/>
      <c r="J8" s="7"/>
      <c r="K8" s="7"/>
      <c r="L8" s="7"/>
      <c r="M8" s="7"/>
      <c r="N8" s="7"/>
      <c r="O8" s="7"/>
      <c r="P8" s="7"/>
      <c r="Q8" s="7"/>
      <c r="R8" s="7"/>
      <c r="S8" s="7"/>
      <c r="T8" s="7"/>
      <c r="U8" s="7"/>
      <c r="V8" s="7"/>
      <c r="W8" s="7"/>
      <c r="X8" s="7"/>
      <c r="Y8" s="7"/>
      <c r="Z8" s="7"/>
    </row>
    <row r="9" spans="1:26">
      <c r="A9" s="1" t="s">
        <v>596</v>
      </c>
      <c r="B9" s="5" t="s">
        <v>1195</v>
      </c>
      <c r="C9" s="7"/>
      <c r="D9" s="7"/>
      <c r="E9" s="7"/>
      <c r="F9" s="7"/>
      <c r="G9" s="7"/>
      <c r="H9" s="7"/>
      <c r="I9" s="7"/>
      <c r="J9" s="7"/>
      <c r="K9" s="7"/>
      <c r="L9" s="7"/>
      <c r="M9" s="7"/>
      <c r="N9" s="7"/>
      <c r="O9" s="7"/>
      <c r="P9" s="7"/>
      <c r="Q9" s="7"/>
      <c r="R9" s="7"/>
      <c r="S9" s="7"/>
      <c r="T9" s="7"/>
      <c r="U9" s="7"/>
      <c r="V9" s="7"/>
      <c r="W9" s="7"/>
      <c r="X9" s="7"/>
      <c r="Y9" s="7"/>
      <c r="Z9" s="7"/>
    </row>
    <row r="10" spans="1:26">
      <c r="A10" s="1" t="s">
        <v>1109</v>
      </c>
      <c r="B10" s="5" t="s">
        <v>1116</v>
      </c>
      <c r="C10" s="7"/>
      <c r="D10" s="7"/>
      <c r="E10" s="7"/>
      <c r="F10" s="7"/>
      <c r="G10" s="7"/>
      <c r="H10" s="7"/>
      <c r="I10" s="7"/>
      <c r="J10" s="7"/>
      <c r="K10" s="7"/>
      <c r="L10" s="7"/>
      <c r="M10" s="7"/>
      <c r="N10" s="7"/>
      <c r="O10" s="7"/>
      <c r="P10" s="7"/>
      <c r="Q10" s="7"/>
      <c r="R10" s="7"/>
      <c r="S10" s="7"/>
      <c r="T10" s="7"/>
      <c r="U10" s="7"/>
      <c r="V10" s="7"/>
      <c r="W10" s="7"/>
      <c r="X10" s="7"/>
      <c r="Y10" s="7"/>
      <c r="Z10" s="7"/>
    </row>
    <row r="11" spans="1:26">
      <c r="A11" s="1" t="s">
        <v>1196</v>
      </c>
      <c r="B11" s="5" t="s">
        <v>1197</v>
      </c>
      <c r="C11" s="7"/>
      <c r="D11" s="7"/>
      <c r="E11" s="7"/>
      <c r="F11" s="7"/>
      <c r="G11" s="7"/>
      <c r="H11" s="7"/>
      <c r="I11" s="7"/>
      <c r="J11" s="7"/>
      <c r="K11" s="7"/>
      <c r="L11" s="7"/>
      <c r="M11" s="7"/>
      <c r="N11" s="7"/>
      <c r="O11" s="7"/>
      <c r="P11" s="7"/>
      <c r="Q11" s="7"/>
      <c r="R11" s="7"/>
      <c r="S11" s="7"/>
      <c r="T11" s="7"/>
      <c r="U11" s="7"/>
      <c r="V11" s="7"/>
      <c r="W11" s="7"/>
      <c r="X11" s="7"/>
      <c r="Y11" s="7"/>
      <c r="Z11" s="7"/>
    </row>
    <row r="12" spans="1:26">
      <c r="A12" s="1" t="s">
        <v>6</v>
      </c>
      <c r="B12" s="5" t="s">
        <v>1198</v>
      </c>
      <c r="C12" s="7"/>
      <c r="D12" s="7"/>
      <c r="E12" s="7"/>
      <c r="F12" s="7"/>
      <c r="G12" s="7"/>
      <c r="H12" s="7"/>
      <c r="I12" s="7"/>
      <c r="J12" s="7"/>
      <c r="K12" s="7"/>
      <c r="L12" s="7"/>
      <c r="M12" s="7"/>
      <c r="N12" s="7"/>
      <c r="O12" s="7"/>
      <c r="P12" s="7"/>
      <c r="Q12" s="7"/>
      <c r="R12" s="7"/>
      <c r="S12" s="7"/>
      <c r="T12" s="7"/>
      <c r="U12" s="7"/>
      <c r="V12" s="7"/>
      <c r="W12" s="7"/>
      <c r="X12" s="7"/>
      <c r="Y12" s="7"/>
      <c r="Z12" s="7"/>
    </row>
    <row r="13" spans="1:26">
      <c r="A13" s="1" t="s">
        <v>7</v>
      </c>
      <c r="B13" s="5" t="s">
        <v>1199</v>
      </c>
      <c r="C13" s="7"/>
      <c r="D13" s="7"/>
      <c r="E13" s="7"/>
      <c r="F13" s="7"/>
      <c r="G13" s="7"/>
      <c r="H13" s="7"/>
      <c r="I13" s="7"/>
      <c r="J13" s="7"/>
      <c r="K13" s="7"/>
      <c r="L13" s="7"/>
      <c r="M13" s="7"/>
      <c r="N13" s="7"/>
      <c r="O13" s="7"/>
      <c r="P13" s="7"/>
      <c r="Q13" s="7"/>
      <c r="R13" s="7"/>
      <c r="S13" s="7"/>
      <c r="T13" s="7"/>
      <c r="U13" s="7"/>
      <c r="V13" s="7"/>
      <c r="W13" s="7"/>
      <c r="X13" s="7"/>
      <c r="Y13" s="7"/>
      <c r="Z13" s="7"/>
    </row>
    <row r="14" spans="1:26">
      <c r="A14" s="1" t="s">
        <v>8</v>
      </c>
      <c r="B14" s="5" t="s">
        <v>1200</v>
      </c>
      <c r="C14" s="7"/>
      <c r="D14" s="7"/>
      <c r="E14" s="7"/>
      <c r="F14" s="7"/>
      <c r="G14" s="7"/>
      <c r="H14" s="7"/>
      <c r="I14" s="7"/>
      <c r="J14" s="7"/>
      <c r="K14" s="7"/>
      <c r="L14" s="7"/>
      <c r="M14" s="7"/>
      <c r="N14" s="7"/>
      <c r="O14" s="7"/>
      <c r="P14" s="7"/>
      <c r="Q14" s="7"/>
      <c r="R14" s="7"/>
      <c r="S14" s="7"/>
      <c r="T14" s="7"/>
      <c r="U14" s="7"/>
      <c r="V14" s="7"/>
      <c r="W14" s="7"/>
      <c r="X14" s="7"/>
      <c r="Y14" s="7"/>
      <c r="Z14" s="7"/>
    </row>
    <row r="15" spans="1:26">
      <c r="A15" s="1" t="s">
        <v>9</v>
      </c>
      <c r="B15" s="5" t="s">
        <v>1201</v>
      </c>
      <c r="C15" s="7"/>
      <c r="D15" s="7"/>
      <c r="E15" s="7"/>
      <c r="F15" s="7"/>
      <c r="G15" s="7"/>
      <c r="H15" s="7"/>
      <c r="I15" s="7"/>
      <c r="J15" s="7"/>
      <c r="K15" s="7"/>
      <c r="L15" s="7"/>
      <c r="M15" s="7"/>
      <c r="N15" s="7"/>
      <c r="O15" s="7"/>
      <c r="P15" s="7"/>
      <c r="Q15" s="7"/>
      <c r="R15" s="7"/>
      <c r="S15" s="7"/>
      <c r="T15" s="7"/>
      <c r="U15" s="7"/>
      <c r="V15" s="7"/>
      <c r="W15" s="7"/>
      <c r="X15" s="7"/>
      <c r="Y15" s="7"/>
      <c r="Z15" s="7"/>
    </row>
    <row r="16" spans="1:26">
      <c r="A16" s="1" t="s">
        <v>592</v>
      </c>
      <c r="B16" s="5" t="s">
        <v>1202</v>
      </c>
      <c r="C16" s="7"/>
      <c r="D16" s="7"/>
      <c r="E16" s="7"/>
      <c r="F16" s="7"/>
      <c r="G16" s="7"/>
      <c r="H16" s="7"/>
      <c r="I16" s="7"/>
      <c r="J16" s="7"/>
      <c r="K16" s="7"/>
      <c r="L16" s="7"/>
      <c r="M16" s="7"/>
      <c r="N16" s="7"/>
      <c r="O16" s="7"/>
      <c r="P16" s="7"/>
      <c r="Q16" s="7"/>
      <c r="R16" s="7"/>
      <c r="S16" s="7"/>
      <c r="T16" s="7"/>
      <c r="U16" s="7"/>
      <c r="V16" s="7"/>
      <c r="W16" s="7"/>
      <c r="X16" s="7"/>
      <c r="Y16" s="7"/>
      <c r="Z16" s="7"/>
    </row>
    <row r="17" spans="1:26">
      <c r="A17" s="1" t="s">
        <v>10</v>
      </c>
      <c r="B17" s="5" t="s">
        <v>1203</v>
      </c>
      <c r="C17" s="7"/>
      <c r="D17" s="7"/>
      <c r="E17" s="7"/>
      <c r="F17" s="7"/>
      <c r="G17" s="7"/>
      <c r="H17" s="7"/>
      <c r="I17" s="7"/>
      <c r="J17" s="7"/>
      <c r="K17" s="7"/>
      <c r="L17" s="7"/>
      <c r="M17" s="7"/>
      <c r="N17" s="7"/>
      <c r="O17" s="7"/>
      <c r="P17" s="7"/>
      <c r="Q17" s="7"/>
      <c r="R17" s="7"/>
      <c r="S17" s="7"/>
      <c r="T17" s="7"/>
      <c r="U17" s="7"/>
      <c r="V17" s="7"/>
      <c r="W17" s="7"/>
      <c r="X17" s="7"/>
      <c r="Y17" s="7"/>
      <c r="Z17" s="7"/>
    </row>
    <row r="18" spans="1:26">
      <c r="A18" s="1" t="s">
        <v>11</v>
      </c>
      <c r="B18" s="5" t="s">
        <v>1118</v>
      </c>
      <c r="C18" s="7"/>
      <c r="D18" s="7"/>
      <c r="E18" s="7"/>
      <c r="F18" s="7"/>
      <c r="G18" s="7"/>
      <c r="H18" s="7"/>
      <c r="I18" s="7"/>
      <c r="J18" s="7"/>
      <c r="K18" s="7"/>
      <c r="L18" s="7"/>
      <c r="M18" s="7"/>
      <c r="N18" s="7"/>
      <c r="O18" s="7"/>
      <c r="P18" s="7"/>
      <c r="Q18" s="7"/>
      <c r="R18" s="7"/>
      <c r="S18" s="7"/>
      <c r="T18" s="7"/>
      <c r="U18" s="7"/>
      <c r="V18" s="7"/>
      <c r="W18" s="7"/>
      <c r="X18" s="7"/>
      <c r="Y18" s="7"/>
      <c r="Z18" s="7"/>
    </row>
    <row r="19" spans="1:26">
      <c r="A19" s="1" t="s">
        <v>1110</v>
      </c>
      <c r="B19" s="5" t="s">
        <v>1204</v>
      </c>
      <c r="C19" s="7"/>
      <c r="D19" s="7"/>
      <c r="E19" s="7"/>
      <c r="F19" s="7"/>
      <c r="G19" s="7"/>
      <c r="H19" s="7"/>
      <c r="I19" s="7"/>
      <c r="J19" s="7"/>
      <c r="K19" s="7"/>
      <c r="L19" s="7"/>
      <c r="M19" s="7"/>
      <c r="N19" s="7"/>
      <c r="O19" s="7"/>
      <c r="P19" s="7"/>
      <c r="Q19" s="7"/>
      <c r="R19" s="7"/>
      <c r="S19" s="7"/>
      <c r="T19" s="7"/>
      <c r="U19" s="7"/>
      <c r="V19" s="7"/>
      <c r="W19" s="7"/>
      <c r="X19" s="7"/>
      <c r="Y19" s="7"/>
      <c r="Z19" s="7"/>
    </row>
    <row r="20" spans="1:26">
      <c r="A20" s="1" t="s">
        <v>12</v>
      </c>
      <c r="B20" s="5" t="s">
        <v>1119</v>
      </c>
      <c r="C20" s="7"/>
      <c r="D20" s="7"/>
      <c r="E20" s="7"/>
      <c r="F20" s="7"/>
      <c r="G20" s="7"/>
      <c r="H20" s="7"/>
      <c r="I20" s="7"/>
      <c r="J20" s="7"/>
      <c r="K20" s="7"/>
      <c r="L20" s="7"/>
      <c r="M20" s="7"/>
      <c r="N20" s="7"/>
      <c r="O20" s="7"/>
      <c r="P20" s="7"/>
      <c r="Q20" s="7"/>
      <c r="R20" s="7"/>
      <c r="S20" s="7"/>
      <c r="T20" s="7"/>
      <c r="U20" s="7"/>
      <c r="V20" s="7"/>
      <c r="W20" s="7"/>
      <c r="X20" s="7"/>
      <c r="Y20" s="7"/>
      <c r="Z20" s="7"/>
    </row>
    <row r="21" spans="1:26">
      <c r="A21" s="1" t="s">
        <v>13</v>
      </c>
      <c r="B21" s="5" t="s">
        <v>1120</v>
      </c>
      <c r="C21" s="7"/>
      <c r="D21" s="7"/>
      <c r="E21" s="7"/>
      <c r="F21" s="7"/>
      <c r="G21" s="7"/>
      <c r="H21" s="7"/>
      <c r="I21" s="7"/>
      <c r="J21" s="7"/>
      <c r="K21" s="7"/>
      <c r="L21" s="7"/>
      <c r="M21" s="7"/>
      <c r="N21" s="7"/>
      <c r="O21" s="7"/>
      <c r="P21" s="7"/>
      <c r="Q21" s="7"/>
      <c r="R21" s="7"/>
      <c r="S21" s="7"/>
      <c r="T21" s="7"/>
      <c r="U21" s="7"/>
      <c r="V21" s="7"/>
      <c r="W21" s="7"/>
      <c r="X21" s="7"/>
      <c r="Y21" s="7"/>
      <c r="Z21" s="7"/>
    </row>
    <row r="22" spans="1:26">
      <c r="A22" s="1" t="s">
        <v>1143</v>
      </c>
      <c r="B22" s="5" t="s">
        <v>1122</v>
      </c>
      <c r="C22" s="7"/>
      <c r="D22" s="7"/>
      <c r="E22" s="7"/>
      <c r="F22" s="7"/>
      <c r="G22" s="7"/>
      <c r="H22" s="7"/>
      <c r="I22" s="7"/>
      <c r="J22" s="7"/>
      <c r="K22" s="7"/>
      <c r="L22" s="7"/>
      <c r="M22" s="7"/>
      <c r="N22" s="7"/>
      <c r="O22" s="7"/>
      <c r="P22" s="7"/>
      <c r="Q22" s="7"/>
      <c r="R22" s="7"/>
      <c r="S22" s="7"/>
      <c r="T22" s="7"/>
      <c r="U22" s="7"/>
      <c r="V22" s="7"/>
      <c r="W22" s="7"/>
      <c r="X22" s="7"/>
      <c r="Y22" s="7"/>
      <c r="Z22" s="7"/>
    </row>
    <row r="23" spans="1:26">
      <c r="A23" s="1" t="s">
        <v>14</v>
      </c>
      <c r="B23" s="5" t="s">
        <v>1121</v>
      </c>
      <c r="C23" s="7"/>
      <c r="D23" s="7"/>
      <c r="E23" s="7"/>
      <c r="F23" s="7"/>
      <c r="G23" s="7"/>
      <c r="H23" s="7"/>
      <c r="I23" s="7"/>
      <c r="J23" s="7"/>
      <c r="K23" s="7"/>
      <c r="L23" s="7"/>
      <c r="M23" s="7"/>
      <c r="N23" s="7"/>
      <c r="O23" s="7"/>
      <c r="P23" s="7"/>
      <c r="Q23" s="7"/>
      <c r="R23" s="7"/>
      <c r="S23" s="7"/>
      <c r="T23" s="7"/>
      <c r="U23" s="7"/>
      <c r="V23" s="7"/>
      <c r="W23" s="7"/>
      <c r="X23" s="7"/>
      <c r="Y23" s="7"/>
      <c r="Z23" s="7"/>
    </row>
    <row r="24" spans="1:26">
      <c r="A24" s="1" t="s">
        <v>1144</v>
      </c>
      <c r="B24" s="5" t="s">
        <v>1123</v>
      </c>
      <c r="C24" s="7"/>
      <c r="D24" s="7"/>
      <c r="E24" s="7"/>
      <c r="F24" s="7"/>
      <c r="G24" s="7"/>
      <c r="H24" s="7"/>
      <c r="I24" s="7"/>
      <c r="J24" s="7"/>
      <c r="K24" s="7"/>
      <c r="L24" s="7"/>
      <c r="M24" s="7"/>
      <c r="N24" s="7"/>
      <c r="O24" s="7"/>
      <c r="P24" s="7"/>
      <c r="Q24" s="7"/>
      <c r="R24" s="7"/>
      <c r="S24" s="7"/>
      <c r="T24" s="7"/>
      <c r="U24" s="7"/>
      <c r="V24" s="7"/>
      <c r="W24" s="7"/>
      <c r="X24" s="7"/>
      <c r="Y24" s="7"/>
      <c r="Z24" s="7"/>
    </row>
    <row r="25" spans="1:26">
      <c r="A25" s="1" t="s">
        <v>1149</v>
      </c>
      <c r="B25" s="5" t="s">
        <v>1148</v>
      </c>
      <c r="C25" s="7"/>
      <c r="D25" s="7"/>
      <c r="E25" s="7"/>
      <c r="F25" s="7"/>
      <c r="G25" s="7"/>
      <c r="H25" s="7"/>
      <c r="I25" s="7"/>
      <c r="J25" s="7"/>
      <c r="K25" s="7"/>
      <c r="L25" s="7"/>
      <c r="M25" s="7"/>
      <c r="N25" s="7"/>
      <c r="O25" s="7"/>
      <c r="P25" s="7"/>
      <c r="Q25" s="7"/>
      <c r="R25" s="7"/>
      <c r="S25" s="7"/>
      <c r="T25" s="7"/>
      <c r="U25" s="7"/>
      <c r="V25" s="7"/>
      <c r="W25" s="7"/>
      <c r="X25" s="7"/>
      <c r="Y25" s="7"/>
      <c r="Z25" s="7"/>
    </row>
    <row r="26" spans="1:26">
      <c r="A26" s="1" t="s">
        <v>15</v>
      </c>
      <c r="B26" s="5" t="s">
        <v>1125</v>
      </c>
      <c r="C26" s="7"/>
      <c r="D26" s="7"/>
      <c r="E26" s="7"/>
      <c r="F26" s="7"/>
      <c r="G26" s="7"/>
      <c r="H26" s="7"/>
      <c r="I26" s="7"/>
      <c r="J26" s="7"/>
      <c r="K26" s="7"/>
      <c r="L26" s="7"/>
      <c r="M26" s="7"/>
      <c r="N26" s="7"/>
      <c r="O26" s="7"/>
      <c r="P26" s="7"/>
      <c r="Q26" s="7"/>
      <c r="R26" s="7"/>
      <c r="S26" s="7"/>
      <c r="T26" s="7"/>
      <c r="U26" s="7"/>
      <c r="V26" s="7"/>
      <c r="W26" s="7"/>
      <c r="X26" s="7"/>
      <c r="Y26" s="7"/>
      <c r="Z26" s="7"/>
    </row>
    <row r="27" spans="1:26">
      <c r="A27" s="1" t="s">
        <v>16</v>
      </c>
      <c r="B27" s="5" t="s">
        <v>1126</v>
      </c>
      <c r="C27" s="7"/>
      <c r="D27" s="7"/>
      <c r="E27" s="7"/>
      <c r="F27" s="7"/>
      <c r="G27" s="7"/>
      <c r="H27" s="7"/>
      <c r="I27" s="7"/>
      <c r="J27" s="7"/>
      <c r="K27" s="7"/>
      <c r="L27" s="7"/>
      <c r="M27" s="7"/>
      <c r="N27" s="7"/>
      <c r="O27" s="7"/>
      <c r="P27" s="7"/>
      <c r="Q27" s="7"/>
      <c r="R27" s="7"/>
      <c r="S27" s="7"/>
      <c r="T27" s="7"/>
      <c r="U27" s="7"/>
      <c r="V27" s="7"/>
      <c r="W27" s="7"/>
      <c r="X27" s="7"/>
      <c r="Y27" s="7"/>
      <c r="Z27" s="7"/>
    </row>
    <row r="28" spans="1:26">
      <c r="A28" s="1" t="s">
        <v>1151</v>
      </c>
      <c r="B28" s="5" t="s">
        <v>1205</v>
      </c>
      <c r="C28" s="7"/>
      <c r="D28" s="7"/>
      <c r="E28" s="7"/>
      <c r="F28" s="7"/>
      <c r="G28" s="7"/>
      <c r="H28" s="7"/>
      <c r="I28" s="7"/>
      <c r="J28" s="7"/>
      <c r="K28" s="7"/>
      <c r="L28" s="7"/>
      <c r="M28" s="7"/>
      <c r="N28" s="7"/>
      <c r="O28" s="7"/>
      <c r="P28" s="7"/>
      <c r="Q28" s="7"/>
      <c r="R28" s="7"/>
      <c r="S28" s="7"/>
      <c r="T28" s="7"/>
      <c r="U28" s="7"/>
      <c r="V28" s="7"/>
      <c r="W28" s="7"/>
      <c r="X28" s="7"/>
      <c r="Y28" s="7"/>
      <c r="Z28" s="7"/>
    </row>
    <row r="29" spans="1:26">
      <c r="A29" s="1" t="s">
        <v>1150</v>
      </c>
      <c r="B29" s="5" t="s">
        <v>1206</v>
      </c>
      <c r="C29" s="7"/>
      <c r="D29" s="7"/>
      <c r="E29" s="7"/>
      <c r="F29" s="7"/>
      <c r="G29" s="7"/>
      <c r="H29" s="7"/>
      <c r="I29" s="7"/>
      <c r="J29" s="7"/>
      <c r="K29" s="7"/>
      <c r="L29" s="7"/>
      <c r="M29" s="7"/>
      <c r="N29" s="7"/>
      <c r="O29" s="7"/>
      <c r="P29" s="7"/>
      <c r="Q29" s="7"/>
      <c r="R29" s="7"/>
      <c r="S29" s="7"/>
      <c r="T29" s="7"/>
      <c r="U29" s="7"/>
      <c r="V29" s="7"/>
      <c r="W29" s="7"/>
      <c r="X29" s="7"/>
      <c r="Y29" s="7"/>
      <c r="Z29" s="7"/>
    </row>
    <row r="30" spans="1:26">
      <c r="A30" s="1" t="s">
        <v>17</v>
      </c>
      <c r="B30" s="5" t="s">
        <v>1207</v>
      </c>
      <c r="C30" s="7"/>
      <c r="D30" s="7"/>
      <c r="E30" s="7"/>
      <c r="F30" s="7"/>
      <c r="G30" s="7"/>
      <c r="H30" s="7"/>
      <c r="I30" s="7"/>
      <c r="J30" s="7"/>
      <c r="K30" s="7"/>
      <c r="L30" s="7"/>
      <c r="M30" s="7"/>
      <c r="N30" s="7"/>
      <c r="O30" s="7"/>
      <c r="P30" s="7"/>
      <c r="Q30" s="7"/>
      <c r="R30" s="7"/>
      <c r="S30" s="7"/>
      <c r="T30" s="7"/>
      <c r="U30" s="7"/>
      <c r="V30" s="7"/>
      <c r="W30" s="7"/>
      <c r="X30" s="7"/>
      <c r="Y30" s="7"/>
      <c r="Z30" s="7"/>
    </row>
    <row r="31" spans="1:26">
      <c r="A31" s="1" t="s">
        <v>18</v>
      </c>
      <c r="B31" s="5" t="s">
        <v>1208</v>
      </c>
      <c r="C31" s="7"/>
      <c r="D31" s="7"/>
      <c r="E31" s="7"/>
      <c r="F31" s="7"/>
      <c r="G31" s="7"/>
      <c r="H31" s="7"/>
      <c r="I31" s="7"/>
      <c r="J31" s="7"/>
      <c r="K31" s="7"/>
      <c r="L31" s="7"/>
      <c r="M31" s="7"/>
      <c r="N31" s="7"/>
      <c r="O31" s="7"/>
      <c r="P31" s="7"/>
      <c r="Q31" s="7"/>
      <c r="R31" s="7"/>
      <c r="S31" s="7"/>
      <c r="T31" s="7"/>
      <c r="U31" s="7"/>
      <c r="V31" s="7"/>
      <c r="W31" s="7"/>
      <c r="X31" s="7"/>
      <c r="Y31" s="7"/>
      <c r="Z31" s="7"/>
    </row>
    <row r="32" spans="1:26">
      <c r="A32" s="1" t="s">
        <v>1135</v>
      </c>
      <c r="B32" s="5" t="s">
        <v>1209</v>
      </c>
      <c r="C32" s="7"/>
      <c r="D32" s="7"/>
      <c r="E32" s="7"/>
      <c r="F32" s="7"/>
      <c r="G32" s="7"/>
      <c r="H32" s="7"/>
      <c r="I32" s="7"/>
      <c r="J32" s="7"/>
      <c r="K32" s="7"/>
      <c r="L32" s="7"/>
      <c r="M32" s="7"/>
      <c r="N32" s="7"/>
      <c r="O32" s="7"/>
      <c r="P32" s="7"/>
      <c r="Q32" s="7"/>
      <c r="R32" s="7"/>
      <c r="S32" s="7"/>
      <c r="T32" s="7"/>
      <c r="U32" s="7"/>
      <c r="V32" s="7"/>
      <c r="W32" s="7"/>
      <c r="X32" s="7"/>
      <c r="Y32" s="7"/>
      <c r="Z32" s="7"/>
    </row>
    <row r="33" spans="1:26">
      <c r="A33" s="1" t="s">
        <v>1210</v>
      </c>
      <c r="B33" s="5" t="s">
        <v>1211</v>
      </c>
      <c r="C33" s="7"/>
      <c r="D33" s="7"/>
      <c r="E33" s="7"/>
      <c r="F33" s="7"/>
      <c r="G33" s="7"/>
      <c r="H33" s="7"/>
      <c r="I33" s="7"/>
      <c r="J33" s="7"/>
      <c r="K33" s="7"/>
      <c r="L33" s="7"/>
      <c r="M33" s="7"/>
      <c r="N33" s="7"/>
      <c r="O33" s="7"/>
      <c r="P33" s="7"/>
      <c r="Q33" s="7"/>
      <c r="R33" s="7"/>
      <c r="S33" s="7"/>
      <c r="T33" s="7"/>
      <c r="U33" s="7"/>
      <c r="V33" s="7"/>
      <c r="W33" s="7"/>
      <c r="X33" s="7"/>
      <c r="Y33" s="7"/>
      <c r="Z33" s="7"/>
    </row>
    <row r="34" spans="1:26">
      <c r="A34" s="1" t="s">
        <v>1137</v>
      </c>
      <c r="B34" s="5" t="s">
        <v>1212</v>
      </c>
      <c r="C34" s="7"/>
      <c r="D34" s="7"/>
      <c r="E34" s="7"/>
      <c r="F34" s="7"/>
      <c r="G34" s="7"/>
      <c r="H34" s="7"/>
      <c r="I34" s="7"/>
      <c r="J34" s="7"/>
      <c r="K34" s="7"/>
      <c r="L34" s="7"/>
      <c r="M34" s="7"/>
      <c r="N34" s="7"/>
      <c r="O34" s="7"/>
      <c r="P34" s="7"/>
      <c r="Q34" s="7"/>
      <c r="R34" s="7"/>
      <c r="S34" s="7"/>
      <c r="T34" s="7"/>
      <c r="U34" s="7"/>
      <c r="V34" s="7"/>
      <c r="W34" s="7"/>
      <c r="X34" s="7"/>
      <c r="Y34" s="7"/>
      <c r="Z34" s="7"/>
    </row>
    <row r="35" spans="1:26">
      <c r="A35" s="1" t="s">
        <v>1138</v>
      </c>
      <c r="B35" s="5" t="s">
        <v>1213</v>
      </c>
      <c r="C35" s="7"/>
      <c r="D35" s="7"/>
      <c r="E35" s="7"/>
      <c r="F35" s="7"/>
      <c r="G35" s="7"/>
      <c r="H35" s="7"/>
      <c r="I35" s="7"/>
      <c r="J35" s="7"/>
      <c r="K35" s="7"/>
      <c r="L35" s="7"/>
      <c r="M35" s="7"/>
      <c r="N35" s="7"/>
      <c r="O35" s="7"/>
      <c r="P35" s="7"/>
      <c r="Q35" s="7"/>
      <c r="R35" s="7"/>
      <c r="S35" s="7"/>
      <c r="T35" s="7"/>
      <c r="U35" s="7"/>
      <c r="V35" s="7"/>
      <c r="W35" s="7"/>
      <c r="X35" s="7"/>
      <c r="Y35" s="7"/>
      <c r="Z35" s="7"/>
    </row>
    <row r="36" spans="1:26">
      <c r="A36" s="1" t="s">
        <v>1139</v>
      </c>
      <c r="B36" s="5" t="s">
        <v>1214</v>
      </c>
      <c r="C36" s="7"/>
      <c r="D36" s="7"/>
      <c r="E36" s="7"/>
      <c r="F36" s="7"/>
      <c r="G36" s="7"/>
      <c r="H36" s="7"/>
      <c r="I36" s="7"/>
      <c r="J36" s="7"/>
      <c r="K36" s="7"/>
      <c r="L36" s="7"/>
      <c r="M36" s="7"/>
      <c r="N36" s="7"/>
      <c r="O36" s="7"/>
      <c r="P36" s="7"/>
      <c r="Q36" s="7"/>
      <c r="R36" s="7"/>
      <c r="S36" s="7"/>
      <c r="T36" s="7"/>
      <c r="U36" s="7"/>
      <c r="V36" s="7"/>
      <c r="W36" s="7"/>
      <c r="X36" s="7"/>
      <c r="Y36" s="7"/>
      <c r="Z36" s="7"/>
    </row>
    <row r="37" spans="1:26">
      <c r="A37" s="1" t="s">
        <v>19</v>
      </c>
      <c r="B37" s="5" t="s">
        <v>1215</v>
      </c>
      <c r="C37" s="7"/>
      <c r="D37" s="7"/>
      <c r="E37" s="7"/>
      <c r="F37" s="7"/>
      <c r="G37" s="7"/>
      <c r="H37" s="7"/>
      <c r="I37" s="7"/>
      <c r="J37" s="7"/>
      <c r="K37" s="7"/>
      <c r="L37" s="7"/>
      <c r="M37" s="7"/>
      <c r="N37" s="7"/>
      <c r="O37" s="7"/>
      <c r="P37" s="7"/>
      <c r="Q37" s="7"/>
      <c r="R37" s="7"/>
      <c r="S37" s="7"/>
      <c r="T37" s="7"/>
      <c r="U37" s="7"/>
      <c r="V37" s="7"/>
      <c r="W37" s="7"/>
      <c r="X37" s="7"/>
      <c r="Y37" s="7"/>
      <c r="Z37" s="7"/>
    </row>
    <row r="38" spans="1:26">
      <c r="A38" s="1" t="s">
        <v>1140</v>
      </c>
      <c r="B38" s="5" t="s">
        <v>1216</v>
      </c>
      <c r="C38" s="7"/>
      <c r="D38" s="7"/>
      <c r="E38" s="7"/>
      <c r="F38" s="7"/>
      <c r="G38" s="7"/>
      <c r="H38" s="7"/>
      <c r="I38" s="7"/>
      <c r="J38" s="7"/>
      <c r="K38" s="7"/>
      <c r="L38" s="7"/>
      <c r="M38" s="7"/>
      <c r="N38" s="7"/>
      <c r="O38" s="7"/>
      <c r="P38" s="7"/>
      <c r="Q38" s="7"/>
      <c r="R38" s="7"/>
      <c r="S38" s="7"/>
      <c r="T38" s="7"/>
      <c r="U38" s="7"/>
      <c r="V38" s="7"/>
      <c r="W38" s="7"/>
      <c r="X38" s="7"/>
      <c r="Y38" s="7"/>
      <c r="Z38" s="7"/>
    </row>
    <row r="39" spans="1:26">
      <c r="A39" s="1" t="s">
        <v>1141</v>
      </c>
      <c r="B39" s="5" t="s">
        <v>1217</v>
      </c>
      <c r="C39" s="7"/>
      <c r="D39" s="7"/>
      <c r="E39" s="7"/>
      <c r="F39" s="7"/>
      <c r="G39" s="7"/>
      <c r="H39" s="7"/>
      <c r="I39" s="7"/>
      <c r="J39" s="7"/>
      <c r="K39" s="7"/>
      <c r="L39" s="7"/>
      <c r="M39" s="7"/>
      <c r="N39" s="7"/>
      <c r="O39" s="7"/>
      <c r="P39" s="7"/>
      <c r="Q39" s="7"/>
      <c r="R39" s="7"/>
      <c r="S39" s="7"/>
      <c r="T39" s="7"/>
      <c r="U39" s="7"/>
      <c r="V39" s="7"/>
      <c r="W39" s="7"/>
      <c r="X39" s="7"/>
      <c r="Y39" s="7"/>
      <c r="Z39" s="7"/>
    </row>
    <row r="40" spans="1:26">
      <c r="A40" s="1" t="s">
        <v>20</v>
      </c>
      <c r="B40" s="5" t="s">
        <v>1218</v>
      </c>
      <c r="C40" s="7"/>
      <c r="D40" s="7"/>
      <c r="E40" s="7"/>
      <c r="F40" s="7"/>
      <c r="G40" s="7"/>
      <c r="H40" s="7"/>
      <c r="I40" s="7"/>
      <c r="J40" s="7"/>
      <c r="K40" s="7"/>
      <c r="L40" s="7"/>
      <c r="M40" s="7"/>
      <c r="N40" s="7"/>
      <c r="O40" s="7"/>
      <c r="P40" s="7"/>
      <c r="Q40" s="7"/>
      <c r="R40" s="7"/>
      <c r="S40" s="7"/>
      <c r="T40" s="7"/>
      <c r="U40" s="7"/>
      <c r="V40" s="7"/>
      <c r="W40" s="7"/>
      <c r="X40" s="7"/>
      <c r="Y40" s="7"/>
      <c r="Z40" s="7"/>
    </row>
    <row r="41" spans="1:26">
      <c r="A41" s="1" t="s">
        <v>21</v>
      </c>
      <c r="B41" s="5" t="s">
        <v>1219</v>
      </c>
      <c r="C41" s="7"/>
      <c r="D41" s="7"/>
      <c r="E41" s="7"/>
      <c r="F41" s="7"/>
      <c r="G41" s="7"/>
      <c r="H41" s="7"/>
      <c r="I41" s="7"/>
      <c r="J41" s="7"/>
      <c r="K41" s="7"/>
      <c r="L41" s="7"/>
      <c r="M41" s="7"/>
      <c r="N41" s="7"/>
      <c r="O41" s="7"/>
      <c r="P41" s="7"/>
      <c r="Q41" s="7"/>
      <c r="R41" s="7"/>
      <c r="S41" s="7"/>
      <c r="T41" s="7"/>
      <c r="U41" s="7"/>
      <c r="V41" s="7"/>
      <c r="W41" s="7"/>
      <c r="X41" s="7"/>
      <c r="Y41" s="7"/>
      <c r="Z41" s="7"/>
    </row>
    <row r="42" spans="1:26">
      <c r="A42" s="1" t="s">
        <v>1142</v>
      </c>
      <c r="B42" s="5" t="s">
        <v>1220</v>
      </c>
      <c r="C42" s="7"/>
      <c r="D42" s="7"/>
      <c r="E42" s="7"/>
      <c r="F42" s="7"/>
      <c r="G42" s="7"/>
      <c r="H42" s="7"/>
      <c r="I42" s="7"/>
      <c r="J42" s="7"/>
      <c r="K42" s="7"/>
      <c r="L42" s="7"/>
      <c r="M42" s="7"/>
      <c r="N42" s="7"/>
      <c r="O42" s="7"/>
      <c r="P42" s="7"/>
      <c r="Q42" s="7"/>
      <c r="R42" s="7"/>
      <c r="S42" s="7"/>
      <c r="T42" s="7"/>
      <c r="U42" s="7"/>
      <c r="V42" s="7"/>
      <c r="W42" s="7"/>
      <c r="X42" s="7"/>
      <c r="Y42" s="7"/>
      <c r="Z42" s="7"/>
    </row>
    <row r="43" spans="1:26">
      <c r="A43" s="1" t="s">
        <v>22</v>
      </c>
      <c r="B43" s="5" t="s">
        <v>1221</v>
      </c>
      <c r="C43" s="7"/>
      <c r="D43" s="7"/>
      <c r="E43" s="7"/>
      <c r="F43" s="7"/>
      <c r="G43" s="7"/>
      <c r="H43" s="7"/>
      <c r="I43" s="7"/>
      <c r="J43" s="7"/>
      <c r="K43" s="7"/>
      <c r="L43" s="7"/>
      <c r="M43" s="7"/>
      <c r="N43" s="7"/>
      <c r="O43" s="7"/>
      <c r="P43" s="7"/>
      <c r="Q43" s="7"/>
      <c r="R43" s="7"/>
      <c r="S43" s="7"/>
      <c r="T43" s="7"/>
      <c r="U43" s="7"/>
      <c r="V43" s="7"/>
      <c r="W43" s="7"/>
      <c r="X43" s="7"/>
      <c r="Y43" s="7"/>
      <c r="Z43" s="7"/>
    </row>
    <row r="44" spans="1:26">
      <c r="A44" s="1" t="s">
        <v>23</v>
      </c>
      <c r="B44" s="5" t="s">
        <v>1145</v>
      </c>
      <c r="C44" s="7"/>
      <c r="D44" s="7"/>
      <c r="E44" s="7"/>
      <c r="F44" s="7"/>
      <c r="G44" s="7"/>
      <c r="H44" s="7"/>
      <c r="I44" s="7"/>
      <c r="J44" s="7"/>
      <c r="K44" s="7"/>
      <c r="L44" s="7"/>
      <c r="M44" s="7"/>
      <c r="N44" s="7"/>
      <c r="O44" s="7"/>
      <c r="P44" s="7"/>
      <c r="Q44" s="7"/>
      <c r="R44" s="7"/>
      <c r="S44" s="7"/>
      <c r="T44" s="7"/>
      <c r="U44" s="7"/>
      <c r="V44" s="7"/>
      <c r="W44" s="7"/>
      <c r="X44" s="7"/>
      <c r="Y44" s="7"/>
      <c r="Z44" s="7"/>
    </row>
    <row r="45" spans="1:26">
      <c r="A45" s="1" t="s">
        <v>24</v>
      </c>
      <c r="B45" s="5" t="s">
        <v>1222</v>
      </c>
      <c r="C45" s="7"/>
      <c r="D45" s="7"/>
      <c r="E45" s="7"/>
      <c r="F45" s="7"/>
      <c r="G45" s="7"/>
      <c r="H45" s="7"/>
      <c r="I45" s="7"/>
      <c r="J45" s="7"/>
      <c r="K45" s="7"/>
      <c r="L45" s="7"/>
      <c r="M45" s="7"/>
      <c r="N45" s="7"/>
      <c r="O45" s="7"/>
      <c r="P45" s="7"/>
      <c r="Q45" s="7"/>
      <c r="R45" s="7"/>
      <c r="S45" s="7"/>
      <c r="T45" s="7"/>
      <c r="U45" s="7"/>
      <c r="V45" s="7"/>
      <c r="W45" s="7"/>
      <c r="X45" s="7"/>
      <c r="Y45" s="7"/>
      <c r="Z45" s="7"/>
    </row>
    <row r="46" spans="1:26">
      <c r="A46" s="1" t="s">
        <v>1146</v>
      </c>
      <c r="B46" s="5" t="s">
        <v>1223</v>
      </c>
      <c r="C46" s="7"/>
      <c r="D46" s="7"/>
      <c r="E46" s="7"/>
      <c r="F46" s="7"/>
      <c r="G46" s="7"/>
      <c r="H46" s="7"/>
      <c r="I46" s="7"/>
      <c r="J46" s="7"/>
      <c r="K46" s="7"/>
      <c r="L46" s="7"/>
      <c r="M46" s="7"/>
      <c r="N46" s="7"/>
      <c r="O46" s="7"/>
      <c r="P46" s="7"/>
      <c r="Q46" s="7"/>
      <c r="R46" s="7"/>
      <c r="S46" s="7"/>
      <c r="T46" s="7"/>
      <c r="U46" s="7"/>
      <c r="V46" s="7"/>
      <c r="W46" s="7"/>
      <c r="X46" s="7"/>
      <c r="Y46" s="7"/>
      <c r="Z46" s="7"/>
    </row>
    <row r="47" spans="1:26">
      <c r="A47" s="1" t="s">
        <v>1147</v>
      </c>
      <c r="B47" s="5" t="s">
        <v>1224</v>
      </c>
      <c r="C47" s="7"/>
      <c r="D47" s="7"/>
      <c r="E47" s="7"/>
      <c r="F47" s="7"/>
      <c r="G47" s="7"/>
      <c r="H47" s="7"/>
      <c r="I47" s="7"/>
      <c r="J47" s="7"/>
      <c r="K47" s="7"/>
      <c r="L47" s="7"/>
      <c r="M47" s="7"/>
      <c r="N47" s="7"/>
      <c r="O47" s="7"/>
      <c r="P47" s="7"/>
      <c r="Q47" s="7"/>
      <c r="R47" s="7"/>
      <c r="S47" s="7"/>
      <c r="T47" s="7"/>
      <c r="U47" s="7"/>
      <c r="V47" s="7"/>
      <c r="W47" s="7"/>
      <c r="X47" s="7"/>
      <c r="Y47" s="7"/>
      <c r="Z47" s="7"/>
    </row>
    <row r="48" spans="1:26">
      <c r="A48" s="1" t="s">
        <v>25</v>
      </c>
      <c r="B48" s="5" t="s">
        <v>1225</v>
      </c>
      <c r="C48" s="7"/>
      <c r="D48" s="7"/>
      <c r="E48" s="7"/>
      <c r="F48" s="7"/>
      <c r="G48" s="7"/>
      <c r="H48" s="7"/>
      <c r="I48" s="7"/>
      <c r="J48" s="7"/>
      <c r="K48" s="7"/>
      <c r="L48" s="7"/>
      <c r="M48" s="7"/>
      <c r="N48" s="7"/>
      <c r="O48" s="7"/>
      <c r="P48" s="7"/>
      <c r="Q48" s="7"/>
      <c r="R48" s="7"/>
      <c r="S48" s="7"/>
      <c r="T48" s="7"/>
      <c r="U48" s="7"/>
      <c r="V48" s="7"/>
      <c r="W48" s="7"/>
      <c r="X48" s="7"/>
      <c r="Y48" s="7"/>
      <c r="Z48" s="7"/>
    </row>
    <row r="49" spans="1:26">
      <c r="A49" s="1" t="s">
        <v>26</v>
      </c>
      <c r="B49" s="5" t="s">
        <v>1226</v>
      </c>
      <c r="C49" s="7"/>
      <c r="D49" s="7"/>
      <c r="E49" s="7"/>
      <c r="F49" s="7"/>
      <c r="G49" s="7"/>
      <c r="H49" s="7"/>
      <c r="I49" s="7"/>
      <c r="J49" s="7"/>
      <c r="K49" s="7"/>
      <c r="L49" s="7"/>
      <c r="M49" s="7"/>
      <c r="N49" s="7"/>
      <c r="O49" s="7"/>
      <c r="P49" s="7"/>
      <c r="Q49" s="7"/>
      <c r="R49" s="7"/>
      <c r="S49" s="7"/>
      <c r="T49" s="7"/>
      <c r="U49" s="7"/>
      <c r="V49" s="7"/>
      <c r="W49" s="7"/>
      <c r="X49" s="7"/>
      <c r="Y49" s="7"/>
      <c r="Z49" s="7"/>
    </row>
    <row r="50" spans="1:26">
      <c r="A50" s="1" t="s">
        <v>27</v>
      </c>
      <c r="B50" s="5" t="s">
        <v>1227</v>
      </c>
      <c r="C50" s="7"/>
      <c r="D50" s="7"/>
      <c r="E50" s="7"/>
      <c r="F50" s="7"/>
      <c r="G50" s="7"/>
      <c r="H50" s="7"/>
      <c r="I50" s="7"/>
      <c r="J50" s="7"/>
      <c r="K50" s="7"/>
      <c r="L50" s="7"/>
      <c r="M50" s="7"/>
      <c r="N50" s="7"/>
      <c r="O50" s="7"/>
      <c r="P50" s="7"/>
      <c r="Q50" s="7"/>
      <c r="R50" s="7"/>
      <c r="S50" s="7"/>
      <c r="T50" s="7"/>
      <c r="U50" s="7"/>
      <c r="V50" s="7"/>
      <c r="W50" s="7"/>
      <c r="X50" s="7"/>
      <c r="Y50" s="7"/>
      <c r="Z50" s="7"/>
    </row>
    <row r="51" spans="1:26">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CA2C6-2F7F-6049-A919-5502617B829D}">
  <sheetPr>
    <outlinePr summaryBelow="0" summaryRight="0"/>
  </sheetPr>
  <dimension ref="A1:AI996"/>
  <sheetViews>
    <sheetView topLeftCell="A8" workbookViewId="0">
      <selection activeCell="K21" sqref="K21"/>
    </sheetView>
  </sheetViews>
  <sheetFormatPr baseColWidth="10" defaultColWidth="12.6640625" defaultRowHeight="15.75" customHeight="1"/>
  <cols>
    <col min="1" max="16384" width="12.6640625" style="24"/>
  </cols>
  <sheetData>
    <row r="1" spans="1:35" ht="15.75" customHeight="1">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row>
    <row r="2" spans="1:35" ht="15.75" customHeight="1">
      <c r="A2" s="120" t="s">
        <v>1071</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35" ht="15.75" customHeight="1">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35" ht="15.75" customHeight="1">
      <c r="A4" s="127" t="s">
        <v>1070</v>
      </c>
      <c r="B4" s="126" t="s">
        <v>1069</v>
      </c>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row>
    <row r="5" spans="1:35" ht="15.75" customHeight="1">
      <c r="A5" s="127" t="s">
        <v>1068</v>
      </c>
      <c r="B5" s="126" t="s">
        <v>1067</v>
      </c>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row>
    <row r="6" spans="1:35" ht="15.75" customHeight="1">
      <c r="A6" s="127" t="s">
        <v>1066</v>
      </c>
      <c r="B6" s="126" t="s">
        <v>1065</v>
      </c>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row>
    <row r="7" spans="1:35" ht="15.75" customHeight="1">
      <c r="A7" s="127" t="s">
        <v>1064</v>
      </c>
      <c r="B7" s="126" t="s">
        <v>1063</v>
      </c>
      <c r="C7" s="125"/>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row>
    <row r="8" spans="1:35" ht="15.75" customHeight="1">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row>
    <row r="9" spans="1:35" ht="15.75" customHeight="1">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row>
    <row r="10" spans="1:35" ht="15.75" customHeight="1">
      <c r="A10" s="120" t="s">
        <v>1062</v>
      </c>
      <c r="B10" s="120" t="s">
        <v>1061</v>
      </c>
      <c r="C10" s="120" t="s">
        <v>3</v>
      </c>
      <c r="D10" s="120" t="s">
        <v>1060</v>
      </c>
      <c r="E10" s="120" t="s">
        <v>1059</v>
      </c>
      <c r="F10" s="120" t="s">
        <v>1058</v>
      </c>
      <c r="G10" s="120" t="s">
        <v>1057</v>
      </c>
      <c r="H10" s="120" t="s">
        <v>1056</v>
      </c>
      <c r="I10" s="120" t="s">
        <v>1055</v>
      </c>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row>
    <row r="11" spans="1:35" ht="15.75" customHeight="1">
      <c r="A11" s="75">
        <v>1</v>
      </c>
      <c r="B11" s="66" t="s">
        <v>1054</v>
      </c>
      <c r="C11" s="123" t="s">
        <v>320</v>
      </c>
      <c r="D11" s="120" t="s">
        <v>1053</v>
      </c>
      <c r="E11" s="120" t="s">
        <v>978</v>
      </c>
      <c r="F11" s="121" t="s">
        <v>1052</v>
      </c>
      <c r="G11" s="120" t="s">
        <v>978</v>
      </c>
      <c r="H11" s="120" t="s">
        <v>978</v>
      </c>
      <c r="I11" s="120" t="s">
        <v>978</v>
      </c>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row>
    <row r="12" spans="1:35" ht="15.75" customHeight="1">
      <c r="A12" s="75">
        <f t="shared" ref="A12:A31" si="0">A11+1</f>
        <v>2</v>
      </c>
      <c r="B12" s="120" t="s">
        <v>1051</v>
      </c>
      <c r="C12" s="124" t="s">
        <v>1050</v>
      </c>
      <c r="D12" s="120" t="s">
        <v>1049</v>
      </c>
      <c r="E12" s="120" t="s">
        <v>978</v>
      </c>
      <c r="F12" s="121" t="s">
        <v>1048</v>
      </c>
      <c r="G12" s="120" t="s">
        <v>978</v>
      </c>
      <c r="H12" s="120" t="s">
        <v>978</v>
      </c>
      <c r="I12" s="120" t="s">
        <v>978</v>
      </c>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row>
    <row r="13" spans="1:35" ht="15.75" customHeight="1">
      <c r="A13" s="75">
        <f t="shared" si="0"/>
        <v>3</v>
      </c>
      <c r="B13" s="66" t="s">
        <v>1047</v>
      </c>
      <c r="C13" s="124" t="s">
        <v>1046</v>
      </c>
      <c r="D13" s="120" t="s">
        <v>1045</v>
      </c>
      <c r="E13" s="120" t="s">
        <v>978</v>
      </c>
      <c r="F13" s="121" t="s">
        <v>1044</v>
      </c>
      <c r="G13" s="120" t="s">
        <v>978</v>
      </c>
      <c r="H13" s="120" t="s">
        <v>978</v>
      </c>
      <c r="I13" s="120" t="s">
        <v>978</v>
      </c>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row>
    <row r="14" spans="1:35" ht="15.75" customHeight="1">
      <c r="A14" s="75">
        <f t="shared" si="0"/>
        <v>4</v>
      </c>
      <c r="B14" s="66" t="s">
        <v>1043</v>
      </c>
      <c r="C14" s="123" t="s">
        <v>49</v>
      </c>
      <c r="D14" s="120" t="s">
        <v>1042</v>
      </c>
      <c r="E14" s="120" t="s">
        <v>978</v>
      </c>
      <c r="F14" s="66" t="s">
        <v>1041</v>
      </c>
      <c r="G14" s="120" t="s">
        <v>978</v>
      </c>
      <c r="H14" s="120" t="s">
        <v>978</v>
      </c>
      <c r="I14" s="120" t="s">
        <v>978</v>
      </c>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row>
    <row r="15" spans="1:35" ht="15.75" customHeight="1">
      <c r="A15" s="75">
        <f t="shared" si="0"/>
        <v>5</v>
      </c>
      <c r="B15" s="66" t="s">
        <v>1040</v>
      </c>
      <c r="C15" s="123" t="s">
        <v>230</v>
      </c>
      <c r="D15" s="120" t="s">
        <v>1039</v>
      </c>
      <c r="E15" s="120" t="s">
        <v>978</v>
      </c>
      <c r="F15" s="121" t="s">
        <v>1038</v>
      </c>
      <c r="G15" s="120" t="s">
        <v>978</v>
      </c>
      <c r="H15" s="120" t="s">
        <v>978</v>
      </c>
      <c r="I15" s="120" t="s">
        <v>978</v>
      </c>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row>
    <row r="16" spans="1:35" ht="15.75" customHeight="1">
      <c r="A16" s="75">
        <f t="shared" si="0"/>
        <v>6</v>
      </c>
      <c r="B16" s="66" t="s">
        <v>1037</v>
      </c>
      <c r="C16" s="120" t="s">
        <v>98</v>
      </c>
      <c r="D16" s="120" t="s">
        <v>1036</v>
      </c>
      <c r="E16" s="120" t="s">
        <v>978</v>
      </c>
      <c r="F16" s="121" t="s">
        <v>1035</v>
      </c>
      <c r="G16" s="120" t="s">
        <v>978</v>
      </c>
      <c r="H16" s="120" t="s">
        <v>679</v>
      </c>
      <c r="I16" s="120" t="s">
        <v>978</v>
      </c>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row>
    <row r="17" spans="1:35" ht="15.75" customHeight="1">
      <c r="A17" s="75">
        <f t="shared" si="0"/>
        <v>7</v>
      </c>
      <c r="B17" s="139" t="s">
        <v>1034</v>
      </c>
      <c r="C17" s="123" t="s">
        <v>301</v>
      </c>
      <c r="D17" s="120" t="s">
        <v>1033</v>
      </c>
      <c r="E17" s="120" t="s">
        <v>978</v>
      </c>
      <c r="F17" s="121" t="s">
        <v>1032</v>
      </c>
      <c r="G17" s="120" t="s">
        <v>978</v>
      </c>
      <c r="H17" s="120" t="s">
        <v>978</v>
      </c>
      <c r="I17" s="120" t="s">
        <v>978</v>
      </c>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row>
    <row r="18" spans="1:35" ht="15.75" customHeight="1">
      <c r="A18" s="75">
        <f t="shared" si="0"/>
        <v>8</v>
      </c>
      <c r="B18" s="66" t="s">
        <v>1031</v>
      </c>
      <c r="C18" s="120" t="s">
        <v>1030</v>
      </c>
      <c r="D18" s="120" t="s">
        <v>1029</v>
      </c>
      <c r="E18" s="120" t="s">
        <v>978</v>
      </c>
      <c r="F18" s="121" t="s">
        <v>1028</v>
      </c>
      <c r="G18" s="120" t="s">
        <v>978</v>
      </c>
      <c r="H18" s="120" t="s">
        <v>978</v>
      </c>
      <c r="I18" s="120" t="s">
        <v>978</v>
      </c>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row>
    <row r="19" spans="1:35" ht="15.75" customHeight="1">
      <c r="A19" s="75">
        <f t="shared" si="0"/>
        <v>9</v>
      </c>
      <c r="B19" s="66" t="s">
        <v>1027</v>
      </c>
      <c r="C19" s="120" t="s">
        <v>1026</v>
      </c>
      <c r="D19" s="120" t="s">
        <v>1025</v>
      </c>
      <c r="E19" s="120" t="s">
        <v>978</v>
      </c>
      <c r="F19" s="121" t="s">
        <v>1024</v>
      </c>
      <c r="G19" s="120" t="s">
        <v>978</v>
      </c>
      <c r="H19" s="120" t="s">
        <v>978</v>
      </c>
      <c r="I19" s="120" t="s">
        <v>978</v>
      </c>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row>
    <row r="20" spans="1:35" ht="15.75" customHeight="1">
      <c r="A20" s="75">
        <f t="shared" si="0"/>
        <v>10</v>
      </c>
      <c r="B20" s="120" t="s">
        <v>1023</v>
      </c>
      <c r="C20" s="120" t="s">
        <v>63</v>
      </c>
      <c r="D20" s="120" t="s">
        <v>1022</v>
      </c>
      <c r="E20" s="120" t="s">
        <v>978</v>
      </c>
      <c r="F20" s="121" t="s">
        <v>1021</v>
      </c>
      <c r="G20" s="120" t="s">
        <v>978</v>
      </c>
      <c r="H20" s="120" t="s">
        <v>978</v>
      </c>
      <c r="I20" s="120" t="s">
        <v>978</v>
      </c>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row>
    <row r="21" spans="1:35" ht="15.75" customHeight="1">
      <c r="A21" s="75">
        <f t="shared" si="0"/>
        <v>11</v>
      </c>
      <c r="B21" s="120" t="s">
        <v>1020</v>
      </c>
      <c r="C21" s="120" t="s">
        <v>310</v>
      </c>
      <c r="D21" s="120" t="s">
        <v>1019</v>
      </c>
      <c r="E21" s="120" t="s">
        <v>978</v>
      </c>
      <c r="F21" s="121" t="s">
        <v>1018</v>
      </c>
      <c r="G21" s="120" t="s">
        <v>978</v>
      </c>
      <c r="H21" s="120" t="s">
        <v>679</v>
      </c>
      <c r="I21" s="120" t="s">
        <v>978</v>
      </c>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row>
    <row r="22" spans="1:35" ht="15.75" customHeight="1">
      <c r="A22" s="75">
        <f t="shared" si="0"/>
        <v>12</v>
      </c>
      <c r="B22" s="66" t="s">
        <v>1017</v>
      </c>
      <c r="C22" s="120" t="s">
        <v>87</v>
      </c>
      <c r="D22" s="120" t="s">
        <v>1016</v>
      </c>
      <c r="E22" s="120" t="s">
        <v>978</v>
      </c>
      <c r="F22" s="66" t="s">
        <v>1015</v>
      </c>
      <c r="G22" s="120" t="s">
        <v>978</v>
      </c>
      <c r="H22" s="120" t="s">
        <v>978</v>
      </c>
      <c r="I22" s="120" t="s">
        <v>978</v>
      </c>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row>
    <row r="23" spans="1:35" ht="15.75" customHeight="1">
      <c r="A23" s="75">
        <f t="shared" si="0"/>
        <v>13</v>
      </c>
      <c r="B23" s="120" t="s">
        <v>1014</v>
      </c>
      <c r="C23" s="138" t="s">
        <v>1013</v>
      </c>
      <c r="D23" s="120" t="s">
        <v>1012</v>
      </c>
      <c r="E23" s="120" t="s">
        <v>978</v>
      </c>
      <c r="F23" s="66" t="s">
        <v>1011</v>
      </c>
      <c r="G23" s="120" t="s">
        <v>978</v>
      </c>
      <c r="H23" s="120" t="s">
        <v>978</v>
      </c>
      <c r="I23" s="120" t="s">
        <v>978</v>
      </c>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row>
    <row r="24" spans="1:35" ht="15.75" customHeight="1">
      <c r="A24" s="75">
        <f t="shared" si="0"/>
        <v>14</v>
      </c>
      <c r="B24" s="120" t="s">
        <v>1010</v>
      </c>
      <c r="C24" s="120" t="s">
        <v>1009</v>
      </c>
      <c r="D24" s="122" t="s">
        <v>1008</v>
      </c>
      <c r="E24" s="120" t="s">
        <v>978</v>
      </c>
      <c r="F24" s="121" t="s">
        <v>1007</v>
      </c>
      <c r="G24" s="120" t="s">
        <v>679</v>
      </c>
      <c r="H24" s="120" t="s">
        <v>978</v>
      </c>
      <c r="I24" s="120" t="s">
        <v>978</v>
      </c>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row>
    <row r="25" spans="1:35" ht="15.75" customHeight="1">
      <c r="A25" s="75">
        <f t="shared" si="0"/>
        <v>15</v>
      </c>
      <c r="B25" s="120" t="s">
        <v>1006</v>
      </c>
      <c r="C25" s="120" t="s">
        <v>1005</v>
      </c>
      <c r="D25" s="120" t="s">
        <v>1004</v>
      </c>
      <c r="E25" s="120" t="s">
        <v>978</v>
      </c>
      <c r="F25" s="121" t="s">
        <v>1003</v>
      </c>
      <c r="G25" s="120" t="s">
        <v>978</v>
      </c>
      <c r="H25" s="120" t="s">
        <v>679</v>
      </c>
      <c r="I25" s="120" t="s">
        <v>978</v>
      </c>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row>
    <row r="26" spans="1:35" ht="15.75" customHeight="1">
      <c r="A26" s="75">
        <f t="shared" si="0"/>
        <v>16</v>
      </c>
      <c r="B26" s="120" t="s">
        <v>1002</v>
      </c>
      <c r="C26" s="120" t="s">
        <v>1001</v>
      </c>
      <c r="D26" s="120" t="s">
        <v>1000</v>
      </c>
      <c r="E26" s="120" t="s">
        <v>978</v>
      </c>
      <c r="F26" s="121" t="s">
        <v>999</v>
      </c>
      <c r="G26" s="120" t="s">
        <v>679</v>
      </c>
      <c r="H26" s="120" t="s">
        <v>978</v>
      </c>
      <c r="I26" s="120" t="s">
        <v>978</v>
      </c>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row>
    <row r="27" spans="1:35" ht="15.75" customHeight="1">
      <c r="A27" s="75">
        <f t="shared" si="0"/>
        <v>17</v>
      </c>
      <c r="B27" s="120" t="s">
        <v>998</v>
      </c>
      <c r="C27" s="120" t="s">
        <v>997</v>
      </c>
      <c r="D27" s="120" t="s">
        <v>996</v>
      </c>
      <c r="E27" s="120" t="s">
        <v>978</v>
      </c>
      <c r="F27" s="121" t="s">
        <v>995</v>
      </c>
      <c r="G27" s="120" t="s">
        <v>978</v>
      </c>
      <c r="H27" s="120" t="s">
        <v>978</v>
      </c>
      <c r="I27" s="138" t="s">
        <v>679</v>
      </c>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row>
    <row r="28" spans="1:35" ht="15.75" customHeight="1">
      <c r="A28" s="75">
        <f t="shared" si="0"/>
        <v>18</v>
      </c>
      <c r="B28" s="138" t="s">
        <v>994</v>
      </c>
      <c r="C28" s="120" t="s">
        <v>993</v>
      </c>
      <c r="D28" s="120" t="s">
        <v>992</v>
      </c>
      <c r="E28" s="120" t="s">
        <v>978</v>
      </c>
      <c r="F28" s="121" t="s">
        <v>991</v>
      </c>
      <c r="G28" s="120" t="s">
        <v>990</v>
      </c>
      <c r="H28" s="120" t="s">
        <v>679</v>
      </c>
      <c r="I28" s="120" t="s">
        <v>679</v>
      </c>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row>
    <row r="29" spans="1:35" ht="15.75" customHeight="1">
      <c r="A29" s="75">
        <f t="shared" si="0"/>
        <v>19</v>
      </c>
      <c r="B29" s="138" t="s">
        <v>989</v>
      </c>
      <c r="C29" s="120" t="s">
        <v>988</v>
      </c>
      <c r="D29" s="122" t="s">
        <v>987</v>
      </c>
      <c r="E29" s="120" t="s">
        <v>978</v>
      </c>
      <c r="F29" s="121" t="s">
        <v>986</v>
      </c>
      <c r="G29" s="120" t="s">
        <v>679</v>
      </c>
      <c r="H29" s="120" t="s">
        <v>679</v>
      </c>
      <c r="I29" s="120" t="s">
        <v>679</v>
      </c>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row>
    <row r="30" spans="1:35" ht="15.75" customHeight="1">
      <c r="A30" s="75">
        <f t="shared" si="0"/>
        <v>20</v>
      </c>
      <c r="B30" s="120" t="s">
        <v>985</v>
      </c>
      <c r="C30" s="120" t="s">
        <v>984</v>
      </c>
      <c r="D30" s="122" t="s">
        <v>983</v>
      </c>
      <c r="E30" s="120" t="s">
        <v>978</v>
      </c>
      <c r="F30" s="121" t="s">
        <v>982</v>
      </c>
      <c r="G30" s="120" t="s">
        <v>679</v>
      </c>
      <c r="H30" s="120" t="s">
        <v>679</v>
      </c>
      <c r="I30" s="120" t="s">
        <v>679</v>
      </c>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row>
    <row r="31" spans="1:35" ht="15.75" customHeight="1">
      <c r="A31" s="75">
        <f t="shared" si="0"/>
        <v>21</v>
      </c>
      <c r="B31" s="120" t="s">
        <v>981</v>
      </c>
      <c r="C31" s="120" t="s">
        <v>980</v>
      </c>
      <c r="D31" s="120" t="s">
        <v>979</v>
      </c>
      <c r="E31" s="120" t="s">
        <v>978</v>
      </c>
      <c r="F31" s="121" t="s">
        <v>977</v>
      </c>
      <c r="G31" s="120" t="s">
        <v>679</v>
      </c>
      <c r="H31" s="120" t="s">
        <v>679</v>
      </c>
      <c r="I31" s="120" t="s">
        <v>679</v>
      </c>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row>
    <row r="32" spans="1:35"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row>
    <row r="33" spans="1:35"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row>
    <row r="34" spans="1:35"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row>
    <row r="35" spans="1:35"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row>
    <row r="36" spans="1:35"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row>
    <row r="37" spans="1:35"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row>
    <row r="38" spans="1:35"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row>
    <row r="39" spans="1:35"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row>
    <row r="40" spans="1:35"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row>
    <row r="41" spans="1:35"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row>
    <row r="42" spans="1:35"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row>
    <row r="43" spans="1:35"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row>
    <row r="44" spans="1:35"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row>
    <row r="45" spans="1:35"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row>
    <row r="46" spans="1:35"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row>
    <row r="47" spans="1:35"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row>
    <row r="48" spans="1:35"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row>
    <row r="49" spans="1:35"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row>
    <row r="50" spans="1:35" ht="14">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row>
    <row r="51" spans="1:35" ht="14">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row>
    <row r="52" spans="1:35" ht="14">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row>
    <row r="53" spans="1:35" ht="14">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row>
    <row r="54" spans="1:35" ht="14">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row>
    <row r="55" spans="1:35" ht="14">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row>
    <row r="56" spans="1:35" ht="14">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row>
    <row r="57" spans="1:35" ht="14">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row>
    <row r="58" spans="1:35" ht="14">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row>
    <row r="59" spans="1:35" ht="14">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row>
    <row r="60" spans="1:35" ht="14">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row>
    <row r="61" spans="1:35" ht="14">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row>
    <row r="62" spans="1:35" ht="14">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row>
    <row r="63" spans="1:35" ht="14">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row>
    <row r="64" spans="1:35" ht="14">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row>
    <row r="65" spans="1:35" ht="14">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row>
    <row r="66" spans="1:35" ht="14">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row>
    <row r="67" spans="1:35" ht="14">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row>
    <row r="68" spans="1:35" ht="14">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row>
    <row r="69" spans="1:35" ht="14">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row>
    <row r="70" spans="1:35" ht="14">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row>
    <row r="71" spans="1:35" ht="14">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row>
    <row r="72" spans="1:35" ht="14">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row>
    <row r="73" spans="1:35" ht="14">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row>
    <row r="74" spans="1:35" ht="14">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row>
    <row r="75" spans="1:35" ht="14">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row>
    <row r="76" spans="1:35" ht="14">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row>
    <row r="77" spans="1:35" ht="14">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row>
    <row r="78" spans="1:35" ht="14">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row>
    <row r="79" spans="1:35" ht="14">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row>
    <row r="80" spans="1:35" ht="14">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row>
    <row r="81" spans="1:35" ht="14">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row>
    <row r="82" spans="1:35" ht="14">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row>
    <row r="83" spans="1:35" ht="14">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row>
    <row r="84" spans="1:35" ht="14">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row>
    <row r="85" spans="1:35" ht="14">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row>
    <row r="86" spans="1:35" ht="14">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row>
    <row r="87" spans="1:35" ht="14">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row>
    <row r="88" spans="1:35" ht="14">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row>
    <row r="89" spans="1:35" ht="14">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row>
    <row r="90" spans="1:35" ht="14">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row>
    <row r="91" spans="1:35" ht="14">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row>
    <row r="92" spans="1:35" ht="14">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row>
    <row r="93" spans="1:35" ht="14">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row>
    <row r="94" spans="1:35" ht="14">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row>
    <row r="95" spans="1:35" ht="14">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row>
    <row r="96" spans="1:35" ht="14">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row>
    <row r="97" spans="1:35" ht="14">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row>
    <row r="98" spans="1:35" ht="14">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row>
    <row r="99" spans="1:35" ht="14">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row>
    <row r="100" spans="1:35" ht="14">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row>
    <row r="101" spans="1:35" ht="14">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row>
    <row r="102" spans="1:35" ht="14">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row>
    <row r="103" spans="1:35" ht="14">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row>
    <row r="104" spans="1:35" ht="14">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row>
    <row r="105" spans="1:35" ht="14">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row>
    <row r="106" spans="1:35" ht="14">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row>
    <row r="107" spans="1:35" ht="14">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row>
    <row r="108" spans="1:35" ht="14">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row>
    <row r="109" spans="1:35" ht="14">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row>
    <row r="110" spans="1:35" ht="14">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row>
    <row r="111" spans="1:35" ht="14">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row>
    <row r="112" spans="1:35" ht="14">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row>
    <row r="113" spans="1:35" ht="14">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row>
    <row r="114" spans="1:35" ht="14">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row>
    <row r="115" spans="1:35" ht="14">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row>
    <row r="116" spans="1:35" ht="14">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row>
    <row r="117" spans="1:35" ht="14">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row>
    <row r="118" spans="1:35" ht="14">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row>
    <row r="119" spans="1:35" ht="14">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row>
    <row r="120" spans="1:35" ht="14">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row>
    <row r="121" spans="1:35" ht="14">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row>
    <row r="122" spans="1:35" ht="14">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row>
    <row r="123" spans="1:35" ht="14">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row>
    <row r="124" spans="1:35" ht="14">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row>
    <row r="125" spans="1:35" ht="14">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row>
    <row r="126" spans="1:35" ht="14">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row>
    <row r="127" spans="1:35" ht="14">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row>
    <row r="128" spans="1:35" ht="14">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row>
    <row r="129" spans="1:35" ht="14">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row>
    <row r="130" spans="1:35" ht="14">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row>
    <row r="131" spans="1:35" ht="14">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row>
    <row r="132" spans="1:35" ht="14">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row>
    <row r="133" spans="1:35" ht="14">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row>
    <row r="134" spans="1:35" ht="14">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row>
    <row r="135" spans="1:35" ht="14">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row>
    <row r="136" spans="1:35" ht="14">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row>
    <row r="137" spans="1:35" ht="14">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row>
    <row r="138" spans="1:35" ht="14">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row>
    <row r="139" spans="1:35" ht="14">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row>
    <row r="140" spans="1:35" ht="14">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row>
    <row r="141" spans="1:35" ht="14">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row>
    <row r="142" spans="1:35" ht="14">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row>
    <row r="143" spans="1:35" ht="14">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row>
    <row r="144" spans="1:35" ht="14">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row>
    <row r="145" spans="1:35" ht="14">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row>
    <row r="146" spans="1:35" ht="14">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row>
    <row r="147" spans="1:35" ht="14">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row>
    <row r="148" spans="1:35" ht="14">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row>
    <row r="149" spans="1:35" ht="14">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row>
    <row r="150" spans="1:35" ht="14">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row>
    <row r="151" spans="1:35" ht="14">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row>
    <row r="152" spans="1:35" ht="14">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row>
    <row r="153" spans="1:35" ht="14">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row>
    <row r="154" spans="1:35" ht="14">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row>
    <row r="155" spans="1:35" ht="14">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row>
    <row r="156" spans="1:35" ht="14">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row>
    <row r="157" spans="1:35" ht="14">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row>
    <row r="158" spans="1:35" ht="14">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row>
    <row r="159" spans="1:35" ht="14">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row>
    <row r="160" spans="1:35" ht="14">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row>
    <row r="161" spans="1:35" ht="14">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row>
    <row r="162" spans="1:35" ht="14">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row>
    <row r="163" spans="1:35" ht="14">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row>
    <row r="164" spans="1:35" ht="14">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row>
    <row r="165" spans="1:35" ht="14">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row>
    <row r="166" spans="1:35" ht="14">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row>
    <row r="167" spans="1:35" ht="14">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row>
    <row r="168" spans="1:35" ht="14">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row>
    <row r="169" spans="1:35" ht="14">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row>
    <row r="170" spans="1:35" ht="14">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row>
    <row r="171" spans="1:35" ht="14">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row>
    <row r="172" spans="1:35" ht="14">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row>
    <row r="173" spans="1:35" ht="14">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row>
    <row r="174" spans="1:35" ht="14">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row>
    <row r="175" spans="1:35" ht="14">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row>
    <row r="176" spans="1:35" ht="14">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row>
    <row r="177" spans="1:35" ht="14">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row>
    <row r="178" spans="1:35" ht="14">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row>
    <row r="179" spans="1:35" ht="14">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row>
    <row r="180" spans="1:35" ht="14">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row>
    <row r="181" spans="1:35" ht="14">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row>
    <row r="182" spans="1:35" ht="14">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row>
    <row r="183" spans="1:35" ht="14">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row>
    <row r="184" spans="1:35" ht="14">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row>
    <row r="185" spans="1:35" ht="14">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row>
    <row r="186" spans="1:35" ht="14">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row>
    <row r="187" spans="1:35" ht="14">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row>
    <row r="188" spans="1:35" ht="14">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row>
    <row r="189" spans="1:35" ht="14">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row>
    <row r="190" spans="1:35" ht="14">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row>
    <row r="191" spans="1:35" ht="14">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row>
    <row r="192" spans="1:35" ht="14">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row>
    <row r="193" spans="1:35" ht="14">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row>
    <row r="194" spans="1:35" ht="14">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row>
    <row r="195" spans="1:35" ht="14">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row>
    <row r="196" spans="1:35" ht="14">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row>
    <row r="197" spans="1:35" ht="14">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row>
    <row r="198" spans="1:35" ht="14">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row>
    <row r="199" spans="1:35" ht="14">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row>
    <row r="200" spans="1:35" ht="14">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row>
    <row r="201" spans="1:35" ht="14">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row>
    <row r="202" spans="1:35" ht="14">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row>
    <row r="203" spans="1:35" ht="14">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row>
    <row r="204" spans="1:35" ht="14">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row>
    <row r="205" spans="1:35" ht="14">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row>
    <row r="206" spans="1:35" ht="14">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row>
    <row r="207" spans="1:35" ht="14">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row>
    <row r="208" spans="1:35" ht="14">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row>
    <row r="209" spans="1:35" ht="14">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row>
    <row r="210" spans="1:35" ht="14">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row>
    <row r="211" spans="1:35" ht="14">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row>
    <row r="212" spans="1:35" ht="14">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row>
    <row r="213" spans="1:35" ht="14">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row>
    <row r="214" spans="1:35" ht="14">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row>
    <row r="215" spans="1:35" ht="14">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row>
    <row r="216" spans="1:35" ht="14">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row>
    <row r="217" spans="1:35" ht="14">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row>
    <row r="218" spans="1:35" ht="14">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row>
    <row r="219" spans="1:35" ht="14">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row>
    <row r="220" spans="1:35" ht="14">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row>
    <row r="221" spans="1:35" ht="14">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row>
    <row r="222" spans="1:35" ht="14">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row>
    <row r="223" spans="1:35" ht="14">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row>
    <row r="224" spans="1:35" ht="14">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row>
    <row r="225" spans="1:35" ht="14">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row>
    <row r="226" spans="1:35" ht="14">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row>
    <row r="227" spans="1:35" ht="14">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row>
    <row r="228" spans="1:35" ht="14">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row>
    <row r="229" spans="1:35" ht="14">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row>
    <row r="230" spans="1:35" ht="14">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row>
    <row r="231" spans="1:35" ht="14">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row>
    <row r="232" spans="1:35" ht="14">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row>
    <row r="233" spans="1:35" ht="14">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row>
    <row r="234" spans="1:35" ht="14">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row>
    <row r="235" spans="1:35" ht="14">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row>
    <row r="236" spans="1:35" ht="14">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row>
    <row r="237" spans="1:35" ht="14">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row>
    <row r="238" spans="1:35" ht="14">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row>
    <row r="239" spans="1:35" ht="14">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row>
    <row r="240" spans="1:35" ht="14">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row>
    <row r="241" spans="1:35" ht="14">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row>
    <row r="242" spans="1:35" ht="14">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row>
    <row r="243" spans="1:35" ht="14">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row>
    <row r="244" spans="1:35" ht="14">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row>
    <row r="245" spans="1:35" ht="14">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row>
    <row r="246" spans="1:35" ht="14">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row>
    <row r="247" spans="1:35" ht="14">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row>
    <row r="248" spans="1:35" ht="14">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row>
    <row r="249" spans="1:35" ht="14">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row>
    <row r="250" spans="1:35" ht="14">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row>
    <row r="251" spans="1:35" ht="14">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row>
    <row r="252" spans="1:35" ht="14">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row>
    <row r="253" spans="1:35" ht="14">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row>
    <row r="254" spans="1:35" ht="14">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row>
    <row r="255" spans="1:35" ht="14">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row>
    <row r="256" spans="1:35" ht="14">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row>
    <row r="257" spans="1:35" ht="14">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row>
    <row r="258" spans="1:35" ht="14">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row>
    <row r="259" spans="1:35" ht="14">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row>
    <row r="260" spans="1:35" ht="14">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row>
    <row r="261" spans="1:35" ht="14">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row>
    <row r="262" spans="1:35" ht="14">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row>
    <row r="263" spans="1:35" ht="14">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row>
    <row r="264" spans="1:35" ht="14">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row>
    <row r="265" spans="1:35" ht="14">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row>
    <row r="266" spans="1:35" ht="14">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row>
    <row r="267" spans="1:35" ht="14">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row>
    <row r="268" spans="1:35" ht="14">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row>
    <row r="269" spans="1:35" ht="14">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row>
    <row r="270" spans="1:35" ht="14">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row>
    <row r="271" spans="1:35" ht="14">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row>
    <row r="272" spans="1:35" ht="14">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row>
    <row r="273" spans="1:35" ht="14">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row>
    <row r="274" spans="1:35" ht="14">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row>
    <row r="275" spans="1:35" ht="14">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row>
    <row r="276" spans="1:35" ht="14">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row>
    <row r="277" spans="1:35" ht="14">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row>
    <row r="278" spans="1:35" ht="14">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row>
    <row r="279" spans="1:35" ht="14">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row>
    <row r="280" spans="1:35" ht="14">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row>
    <row r="281" spans="1:35" ht="14">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row>
    <row r="282" spans="1:35" ht="14">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row>
    <row r="283" spans="1:35" ht="14">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row>
    <row r="284" spans="1:35" ht="14">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row>
    <row r="285" spans="1:35" ht="14">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row>
    <row r="286" spans="1:35" ht="14">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row>
    <row r="287" spans="1:35" ht="14">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row>
    <row r="288" spans="1:35" ht="14">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row>
    <row r="289" spans="1:35" ht="14">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row>
    <row r="290" spans="1:35" ht="14">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row>
    <row r="291" spans="1:35" ht="14">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row>
    <row r="292" spans="1:35" ht="14">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row>
    <row r="293" spans="1:35" ht="14">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row>
    <row r="294" spans="1:35" ht="14">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row>
    <row r="295" spans="1:35" ht="14">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row>
    <row r="296" spans="1:35" ht="14">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row>
    <row r="297" spans="1:35" ht="14">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row>
    <row r="298" spans="1:35" ht="14">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row>
    <row r="299" spans="1:35" ht="14">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row>
    <row r="300" spans="1:35" ht="14">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row>
    <row r="301" spans="1:35" ht="14">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row>
    <row r="302" spans="1:35" ht="14">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row>
    <row r="303" spans="1:35" ht="14">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row>
    <row r="304" spans="1:35" ht="14">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row>
    <row r="305" spans="1:35" ht="14">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row>
    <row r="306" spans="1:35" ht="14">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row>
    <row r="307" spans="1:35" ht="14">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row>
    <row r="308" spans="1:35" ht="14">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row>
    <row r="309" spans="1:35" ht="14">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row>
    <row r="310" spans="1:35" ht="14">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row>
    <row r="311" spans="1:35" ht="14">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row>
    <row r="312" spans="1:35" ht="14">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row>
    <row r="313" spans="1:35" ht="14">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row>
    <row r="314" spans="1:35" ht="14">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row>
    <row r="315" spans="1:35" ht="14">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row>
    <row r="316" spans="1:35" ht="14">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row>
    <row r="317" spans="1:35" ht="14">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row>
    <row r="318" spans="1:35" ht="14">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row>
    <row r="319" spans="1:35" ht="14">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row>
    <row r="320" spans="1:35" ht="14">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row>
    <row r="321" spans="1:35" ht="14">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row>
    <row r="322" spans="1:35" ht="14">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row>
    <row r="323" spans="1:35" ht="14">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row>
    <row r="324" spans="1:35" ht="14">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row>
    <row r="325" spans="1:35" ht="14">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row>
    <row r="326" spans="1:35" ht="14">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row>
    <row r="327" spans="1:35" ht="14">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row>
    <row r="328" spans="1:35" ht="14">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row>
    <row r="329" spans="1:35" ht="14">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row>
    <row r="330" spans="1:35" ht="14">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row>
    <row r="331" spans="1:35" ht="14">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row>
    <row r="332" spans="1:35" ht="14">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row>
    <row r="333" spans="1:35" ht="14">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row>
    <row r="334" spans="1:35" ht="14">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row>
    <row r="335" spans="1:35" ht="14">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row>
    <row r="336" spans="1:35" ht="14">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row>
    <row r="337" spans="1:35" ht="14">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row>
    <row r="338" spans="1:35" ht="14">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row>
    <row r="339" spans="1:35" ht="14">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row>
    <row r="340" spans="1:35" ht="14">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row>
    <row r="341" spans="1:35" ht="14">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row>
    <row r="342" spans="1:35" ht="14">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row>
    <row r="343" spans="1:35" ht="14">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row>
    <row r="344" spans="1:35" ht="14">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row>
    <row r="345" spans="1:35" ht="14">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row>
    <row r="346" spans="1:35" ht="14">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row>
    <row r="347" spans="1:35" ht="14">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row>
    <row r="348" spans="1:35" ht="14">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row>
    <row r="349" spans="1:35" ht="14">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row>
    <row r="350" spans="1:35" ht="14">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row>
    <row r="351" spans="1:35" ht="14">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row>
    <row r="352" spans="1:35" ht="14">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row>
    <row r="353" spans="1:35" ht="14">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row>
    <row r="354" spans="1:35" ht="14">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row>
    <row r="355" spans="1:35" ht="14">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row>
    <row r="356" spans="1:35" ht="14">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row>
    <row r="357" spans="1:35" ht="14">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row>
    <row r="358" spans="1:35" ht="14">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row>
    <row r="359" spans="1:35" ht="14">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row>
    <row r="360" spans="1:35" ht="14">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row>
    <row r="361" spans="1:35" ht="14">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row>
    <row r="362" spans="1:35" ht="14">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row>
    <row r="363" spans="1:35" ht="14">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row>
    <row r="364" spans="1:35" ht="14">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row>
    <row r="365" spans="1:35" ht="14">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row>
    <row r="366" spans="1:35" ht="14">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row>
    <row r="367" spans="1:35" ht="14">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row>
    <row r="368" spans="1:35" ht="14">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row>
    <row r="369" spans="1:35" ht="14">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row>
    <row r="370" spans="1:35" ht="14">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row>
    <row r="371" spans="1:35" ht="14">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row>
    <row r="372" spans="1:35" ht="14">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row>
    <row r="373" spans="1:35" ht="14">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row>
    <row r="374" spans="1:35" ht="14">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row>
    <row r="375" spans="1:35" ht="14">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row>
    <row r="376" spans="1:35" ht="14">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row>
    <row r="377" spans="1:35" ht="14">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row>
    <row r="378" spans="1:35" ht="14">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row>
    <row r="379" spans="1:35" ht="14">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row>
    <row r="380" spans="1:35" ht="14">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row>
    <row r="381" spans="1:35" ht="14">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row>
    <row r="382" spans="1:35" ht="14">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row>
    <row r="383" spans="1:35" ht="14">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row>
    <row r="384" spans="1:35" ht="14">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row>
    <row r="385" spans="1:35" ht="14">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row>
    <row r="386" spans="1:35" ht="14">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row>
    <row r="387" spans="1:35" ht="14">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row>
    <row r="388" spans="1:35" ht="14">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row>
    <row r="389" spans="1:35" ht="14">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row>
    <row r="390" spans="1:35" ht="14">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row>
    <row r="391" spans="1:35" ht="14">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row>
    <row r="392" spans="1:35" ht="14">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row>
    <row r="393" spans="1:35" ht="14">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row>
    <row r="394" spans="1:35" ht="14">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row>
    <row r="395" spans="1:35" ht="14">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row>
    <row r="396" spans="1:35" ht="14">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row>
    <row r="397" spans="1:35" ht="14">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row>
    <row r="398" spans="1:35" ht="14">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row>
    <row r="399" spans="1:35" ht="14">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row>
    <row r="400" spans="1:35" ht="14">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row>
    <row r="401" spans="1:35" ht="14">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row>
    <row r="402" spans="1:35" ht="14">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row>
    <row r="403" spans="1:35" ht="14">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row>
    <row r="404" spans="1:35" ht="14">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row>
    <row r="405" spans="1:35" ht="14">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row>
    <row r="406" spans="1:35" ht="14">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row>
    <row r="407" spans="1:35" ht="14">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row>
    <row r="408" spans="1:35" ht="14">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row>
    <row r="409" spans="1:35" ht="14">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row>
    <row r="410" spans="1:35" ht="14">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row>
    <row r="411" spans="1:35" ht="14">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row>
    <row r="412" spans="1:35" ht="14">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row>
    <row r="413" spans="1:35" ht="14">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row>
    <row r="414" spans="1:35" ht="14">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row>
    <row r="415" spans="1:35" ht="14">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row>
    <row r="416" spans="1:35" ht="14">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row>
    <row r="417" spans="1:35" ht="14">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row>
    <row r="418" spans="1:35" ht="14">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row>
    <row r="419" spans="1:35" ht="14">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row>
    <row r="420" spans="1:35" ht="14">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row>
    <row r="421" spans="1:35" ht="14">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row>
    <row r="422" spans="1:35" ht="14">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row>
    <row r="423" spans="1:35" ht="14">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row>
    <row r="424" spans="1:35" ht="14">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row>
    <row r="425" spans="1:35" ht="14">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row>
    <row r="426" spans="1:35" ht="14">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row>
    <row r="427" spans="1:35" ht="14">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row>
    <row r="428" spans="1:35" ht="14">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row>
    <row r="429" spans="1:35" ht="14">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row>
    <row r="430" spans="1:35" ht="14">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row>
    <row r="431" spans="1:35" ht="14">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row>
    <row r="432" spans="1:35" ht="14">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row>
    <row r="433" spans="1:35" ht="14">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row>
    <row r="434" spans="1:35" ht="14">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row>
    <row r="435" spans="1:35" ht="14">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row>
    <row r="436" spans="1:35" ht="14">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row>
    <row r="437" spans="1:35" ht="14">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row>
    <row r="438" spans="1:35" ht="14">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row>
    <row r="439" spans="1:35" ht="14">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row>
    <row r="440" spans="1:35" ht="14">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row>
    <row r="441" spans="1:35" ht="14">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row>
    <row r="442" spans="1:35" ht="14">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row>
    <row r="443" spans="1:35" ht="14">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row>
    <row r="444" spans="1:35" ht="14">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row>
    <row r="445" spans="1:35" ht="14">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row>
    <row r="446" spans="1:35" ht="14">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row>
    <row r="447" spans="1:35" ht="14">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row>
    <row r="448" spans="1:35" ht="14">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row>
    <row r="449" spans="1:35" ht="14">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row>
    <row r="450" spans="1:35" ht="14">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row>
    <row r="451" spans="1:35" ht="14">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row>
    <row r="452" spans="1:35" ht="14">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row>
    <row r="453" spans="1:35" ht="14">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row>
    <row r="454" spans="1:35" ht="14">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row>
    <row r="455" spans="1:35" ht="14">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row>
    <row r="456" spans="1:35" ht="14">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row>
    <row r="457" spans="1:35" ht="14">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row>
    <row r="458" spans="1:35" ht="14">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row>
    <row r="459" spans="1:35" ht="14">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row>
    <row r="460" spans="1:35" ht="14">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row>
    <row r="461" spans="1:35" ht="14">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row>
    <row r="462" spans="1:35" ht="14">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row>
    <row r="463" spans="1:35" ht="14">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row>
    <row r="464" spans="1:35" ht="14">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row>
    <row r="465" spans="1:35" ht="14">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row>
    <row r="466" spans="1:35" ht="14">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row>
    <row r="467" spans="1:35" ht="14">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row>
    <row r="468" spans="1:35" ht="14">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row>
    <row r="469" spans="1:35" ht="14">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row>
    <row r="470" spans="1:35" ht="14">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row>
    <row r="471" spans="1:35" ht="14">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row>
    <row r="472" spans="1:35" ht="14">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row>
    <row r="473" spans="1:35" ht="14">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row>
    <row r="474" spans="1:35" ht="14">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row>
    <row r="475" spans="1:35" ht="14">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row>
    <row r="476" spans="1:35" ht="14">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row>
    <row r="477" spans="1:35" ht="14">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row>
    <row r="478" spans="1:35" ht="14">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row>
    <row r="479" spans="1:35" ht="14">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row>
    <row r="480" spans="1:35" ht="14">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row>
    <row r="481" spans="1:35" ht="14">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row>
    <row r="482" spans="1:35" ht="14">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row>
    <row r="483" spans="1:35" ht="14">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row>
    <row r="484" spans="1:35" ht="14">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row>
    <row r="485" spans="1:35" ht="14">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row>
    <row r="486" spans="1:35" ht="14">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row>
    <row r="487" spans="1:35" ht="14">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row>
    <row r="488" spans="1:35" ht="14">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row>
    <row r="489" spans="1:35" ht="14">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row>
    <row r="490" spans="1:35" ht="14">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row>
    <row r="491" spans="1:35" ht="14">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row>
    <row r="492" spans="1:35" ht="14">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row>
    <row r="493" spans="1:35" ht="14">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row>
    <row r="494" spans="1:35" ht="14">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row>
    <row r="495" spans="1:35" ht="14">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row>
    <row r="496" spans="1:35" ht="14">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row>
    <row r="497" spans="1:35" ht="14">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row>
    <row r="498" spans="1:35" ht="14">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row>
    <row r="499" spans="1:35" ht="14">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row>
    <row r="500" spans="1:35" ht="14">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row>
    <row r="501" spans="1:35" ht="14">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row>
    <row r="502" spans="1:35" ht="14">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row>
    <row r="503" spans="1:35" ht="14">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row>
    <row r="504" spans="1:35" ht="14">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row>
    <row r="505" spans="1:35" ht="14">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row>
    <row r="506" spans="1:35" ht="14">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row>
    <row r="507" spans="1:35" ht="14">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row>
    <row r="508" spans="1:35" ht="14">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row>
    <row r="509" spans="1:35" ht="14">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row>
    <row r="510" spans="1:35" ht="14">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row>
    <row r="511" spans="1:35" ht="14">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row>
    <row r="512" spans="1:35" ht="14">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row>
    <row r="513" spans="1:35" ht="14">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row>
    <row r="514" spans="1:35" ht="14">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row>
    <row r="515" spans="1:35" ht="14">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row>
    <row r="516" spans="1:35" ht="14">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row>
    <row r="517" spans="1:35" ht="14">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row>
    <row r="518" spans="1:35" ht="14">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row>
    <row r="519" spans="1:35" ht="14">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row>
    <row r="520" spans="1:35" ht="14">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row>
    <row r="521" spans="1:35" ht="14">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row>
    <row r="522" spans="1:35" ht="14">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row>
    <row r="523" spans="1:35" ht="14">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row>
    <row r="524" spans="1:35" ht="14">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row>
    <row r="525" spans="1:35" ht="14">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row>
    <row r="526" spans="1:35" ht="14">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row>
    <row r="527" spans="1:35" ht="14">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row>
    <row r="528" spans="1:35" ht="14">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row>
    <row r="529" spans="1:35" ht="14">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row>
    <row r="530" spans="1:35" ht="14">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row>
    <row r="531" spans="1:35" ht="14">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row>
    <row r="532" spans="1:35" ht="14">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row>
    <row r="533" spans="1:35" ht="14">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row>
    <row r="534" spans="1:35" ht="14">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row>
    <row r="535" spans="1:35" ht="14">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row>
    <row r="536" spans="1:35" ht="14">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row>
    <row r="537" spans="1:35" ht="14">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row>
    <row r="538" spans="1:35" ht="14">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row>
    <row r="539" spans="1:35" ht="14">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row>
    <row r="540" spans="1:35" ht="14">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row>
    <row r="541" spans="1:35" ht="14">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row>
    <row r="542" spans="1:35" ht="14">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row>
    <row r="543" spans="1:35" ht="14">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row>
    <row r="544" spans="1:35" ht="14">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row>
    <row r="545" spans="1:35" ht="14">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row>
    <row r="546" spans="1:35" ht="14">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row>
    <row r="547" spans="1:35" ht="14">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row>
    <row r="548" spans="1:35" ht="14">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row>
    <row r="549" spans="1:35" ht="14">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row>
    <row r="550" spans="1:35" ht="14">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row>
    <row r="551" spans="1:35" ht="14">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row>
    <row r="552" spans="1:35" ht="14">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row>
    <row r="553" spans="1:35" ht="14">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row>
    <row r="554" spans="1:35" ht="14">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row>
    <row r="555" spans="1:35" ht="14">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row>
    <row r="556" spans="1:35" ht="14">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row>
    <row r="557" spans="1:35" ht="14">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row>
    <row r="558" spans="1:35" ht="14">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row>
    <row r="559" spans="1:35" ht="14">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row>
    <row r="560" spans="1:35" ht="14">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row>
    <row r="561" spans="1:35" ht="14">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row>
    <row r="562" spans="1:35" ht="14">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row>
    <row r="563" spans="1:35" ht="14">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row>
    <row r="564" spans="1:35" ht="14">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row>
    <row r="565" spans="1:35" ht="14">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row>
    <row r="566" spans="1:35" ht="14">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row>
    <row r="567" spans="1:35" ht="14">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row>
    <row r="568" spans="1:35" ht="14">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row>
    <row r="569" spans="1:35" ht="14">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row>
    <row r="570" spans="1:35" ht="14">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row>
    <row r="571" spans="1:35" ht="14">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row>
    <row r="572" spans="1:35" ht="14">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row>
    <row r="573" spans="1:35" ht="14">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row>
    <row r="574" spans="1:35" ht="14">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row>
    <row r="575" spans="1:35" ht="14">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row>
    <row r="576" spans="1:35" ht="14">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row>
    <row r="577" spans="1:35" ht="14">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row>
    <row r="578" spans="1:35" ht="14">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row>
    <row r="579" spans="1:35" ht="14">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row>
    <row r="580" spans="1:35" ht="14">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row>
    <row r="581" spans="1:35" ht="14">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row>
    <row r="582" spans="1:35" ht="14">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row>
    <row r="583" spans="1:35" ht="14">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row>
    <row r="584" spans="1:35" ht="14">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row>
    <row r="585" spans="1:35" ht="14">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row>
    <row r="586" spans="1:35" ht="14">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row>
    <row r="587" spans="1:35" ht="14">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row>
    <row r="588" spans="1:35" ht="14">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row>
    <row r="589" spans="1:35" ht="14">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row>
    <row r="590" spans="1:35" ht="14">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row>
    <row r="591" spans="1:35" ht="14">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row>
    <row r="592" spans="1:35" ht="14">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row>
    <row r="593" spans="1:35" ht="14">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row>
    <row r="594" spans="1:35" ht="14">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row>
    <row r="595" spans="1:35" ht="14">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row>
    <row r="596" spans="1:35" ht="14">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row>
    <row r="597" spans="1:35" ht="14">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row>
    <row r="598" spans="1:35" ht="14">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row>
    <row r="599" spans="1:35" ht="14">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row>
    <row r="600" spans="1:35" ht="14">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row>
    <row r="601" spans="1:35" ht="14">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row>
    <row r="602" spans="1:35" ht="14">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row>
    <row r="603" spans="1:35" ht="14">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row>
    <row r="604" spans="1:35" ht="14">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row>
    <row r="605" spans="1:35" ht="14">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row>
    <row r="606" spans="1:35" ht="14">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row>
    <row r="607" spans="1:35" ht="14">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row>
    <row r="608" spans="1:35" ht="14">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row>
    <row r="609" spans="1:35" ht="14">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row>
    <row r="610" spans="1:35" ht="14">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row>
    <row r="611" spans="1:35" ht="14">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row>
    <row r="612" spans="1:35" ht="14">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row>
    <row r="613" spans="1:35" ht="14">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row>
    <row r="614" spans="1:35" ht="14">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row>
    <row r="615" spans="1:35" ht="14">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row>
    <row r="616" spans="1:35" ht="14">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row>
    <row r="617" spans="1:35" ht="14">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row>
    <row r="618" spans="1:35" ht="14">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row>
    <row r="619" spans="1:35" ht="14">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row>
    <row r="620" spans="1:35" ht="14">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row>
    <row r="621" spans="1:35" ht="14">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row>
    <row r="622" spans="1:35" ht="14">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row>
    <row r="623" spans="1:35" ht="14">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row>
    <row r="624" spans="1:35" ht="14">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row>
    <row r="625" spans="1:35" ht="14">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row>
    <row r="626" spans="1:35" ht="14">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row>
    <row r="627" spans="1:35" ht="14">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row>
    <row r="628" spans="1:35" ht="14">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row>
    <row r="629" spans="1:35" ht="14">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row>
    <row r="630" spans="1:35" ht="14">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row>
    <row r="631" spans="1:35" ht="14">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row>
    <row r="632" spans="1:35" ht="14">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row>
    <row r="633" spans="1:35" ht="14">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row>
    <row r="634" spans="1:35" ht="14">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row>
    <row r="635" spans="1:35" ht="14">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row>
    <row r="636" spans="1:35" ht="14">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row>
    <row r="637" spans="1:35" ht="14">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row>
    <row r="638" spans="1:35" ht="14">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row>
    <row r="639" spans="1:35" ht="14">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row>
    <row r="640" spans="1:35" ht="14">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row>
    <row r="641" spans="1:35" ht="14">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row>
    <row r="642" spans="1:35" ht="14">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row>
    <row r="643" spans="1:35" ht="14">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row>
    <row r="644" spans="1:35" ht="14">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row>
    <row r="645" spans="1:35" ht="14">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row>
    <row r="646" spans="1:35" ht="14">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row>
    <row r="647" spans="1:35" ht="14">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row>
    <row r="648" spans="1:35" ht="14">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row>
    <row r="649" spans="1:35" ht="14">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row>
    <row r="650" spans="1:35" ht="14">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row>
    <row r="651" spans="1:35" ht="14">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row>
    <row r="652" spans="1:35" ht="14">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row>
    <row r="653" spans="1:35" ht="14">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row>
    <row r="654" spans="1:35" ht="14">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row>
    <row r="655" spans="1:35" ht="14">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row>
    <row r="656" spans="1:35" ht="14">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row>
    <row r="657" spans="1:35" ht="14">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row>
    <row r="658" spans="1:35" ht="14">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row>
    <row r="659" spans="1:35" ht="14">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row>
    <row r="660" spans="1:35" ht="14">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row>
    <row r="661" spans="1:35" ht="14">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row>
    <row r="662" spans="1:35" ht="14">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row>
    <row r="663" spans="1:35" ht="14">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row>
    <row r="664" spans="1:35" ht="14">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row>
    <row r="665" spans="1:35" ht="14">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row>
    <row r="666" spans="1:35" ht="14">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row>
    <row r="667" spans="1:35" ht="14">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row>
    <row r="668" spans="1:35" ht="14">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row>
    <row r="669" spans="1:35" ht="14">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row>
    <row r="670" spans="1:35" ht="14">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row>
    <row r="671" spans="1:35" ht="14">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row>
    <row r="672" spans="1:35" ht="14">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row>
    <row r="673" spans="1:35" ht="14">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row>
    <row r="674" spans="1:35" ht="14">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row>
    <row r="675" spans="1:35" ht="14">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row>
    <row r="676" spans="1:35" ht="14">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row>
    <row r="677" spans="1:35" ht="14">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row>
    <row r="678" spans="1:35" ht="14">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row>
    <row r="679" spans="1:35" ht="14">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row>
    <row r="680" spans="1:35" ht="14">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row>
    <row r="681" spans="1:35" ht="14">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row>
    <row r="682" spans="1:35" ht="14">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row>
    <row r="683" spans="1:35" ht="14">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row>
    <row r="684" spans="1:35" ht="14">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row>
    <row r="685" spans="1:35" ht="14">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row>
    <row r="686" spans="1:35" ht="14">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row>
    <row r="687" spans="1:35" ht="14">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row>
    <row r="688" spans="1:35" ht="14">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row>
    <row r="689" spans="1:35" ht="14">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row>
    <row r="690" spans="1:35" ht="14">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row>
    <row r="691" spans="1:35" ht="14">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row>
    <row r="692" spans="1:35" ht="14">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row>
    <row r="693" spans="1:35" ht="14">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row>
    <row r="694" spans="1:35" ht="14">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row>
    <row r="695" spans="1:35" ht="14">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row>
    <row r="696" spans="1:35" ht="14">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row>
    <row r="697" spans="1:35" ht="14">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row>
    <row r="698" spans="1:35" ht="14">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row>
    <row r="699" spans="1:35" ht="14">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row>
    <row r="700" spans="1:35" ht="14">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row>
    <row r="701" spans="1:35" ht="14">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row>
    <row r="702" spans="1:35" ht="14">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row>
    <row r="703" spans="1:35" ht="14">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row>
    <row r="704" spans="1:35" ht="14">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row>
    <row r="705" spans="1:35" ht="14">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row>
    <row r="706" spans="1:35" ht="14">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row>
    <row r="707" spans="1:35" ht="14">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row>
    <row r="708" spans="1:35" ht="14">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row>
    <row r="709" spans="1:35" ht="14">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row>
    <row r="710" spans="1:35" ht="14">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row>
    <row r="711" spans="1:35" ht="14">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row>
    <row r="712" spans="1:35" ht="14">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row>
    <row r="713" spans="1:35" ht="14">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row>
    <row r="714" spans="1:35" ht="14">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row>
    <row r="715" spans="1:35" ht="14">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row>
    <row r="716" spans="1:35" ht="14">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row>
    <row r="717" spans="1:35" ht="14">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row>
    <row r="718" spans="1:35" ht="14">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row>
    <row r="719" spans="1:35" ht="14">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row>
    <row r="720" spans="1:35" ht="14">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row>
    <row r="721" spans="1:35" ht="14">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row>
    <row r="722" spans="1:35" ht="14">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row>
    <row r="723" spans="1:35" ht="14">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row>
    <row r="724" spans="1:35" ht="14">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row>
    <row r="725" spans="1:35" ht="14">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row>
    <row r="726" spans="1:35" ht="14">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row>
    <row r="727" spans="1:35" ht="14">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row>
    <row r="728" spans="1:35" ht="14">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row>
    <row r="729" spans="1:35" ht="14">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row>
    <row r="730" spans="1:35" ht="14">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row>
    <row r="731" spans="1:35" ht="14">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row>
    <row r="732" spans="1:35" ht="14">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row>
    <row r="733" spans="1:35" ht="14">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row>
    <row r="734" spans="1:35" ht="14">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row>
    <row r="735" spans="1:35" ht="14">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row>
    <row r="736" spans="1:35" ht="14">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row>
    <row r="737" spans="1:35" ht="14">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row>
    <row r="738" spans="1:35" ht="14">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row>
    <row r="739" spans="1:35" ht="14">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row>
    <row r="740" spans="1:35" ht="14">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row>
    <row r="741" spans="1:35" ht="14">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row>
    <row r="742" spans="1:35" ht="14">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row>
    <row r="743" spans="1:35" ht="14">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row>
    <row r="744" spans="1:35" ht="14">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row>
    <row r="745" spans="1:35" ht="14">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row>
    <row r="746" spans="1:35" ht="14">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row>
    <row r="747" spans="1:35" ht="14">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row>
    <row r="748" spans="1:35" ht="14">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row>
    <row r="749" spans="1:35" ht="14">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row>
    <row r="750" spans="1:35" ht="14">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row>
    <row r="751" spans="1:35" ht="14">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row>
    <row r="752" spans="1:35" ht="14">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row>
    <row r="753" spans="1:35" ht="14">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row>
    <row r="754" spans="1:35" ht="14">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row>
    <row r="755" spans="1:35" ht="14">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row>
    <row r="756" spans="1:35" ht="14">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row>
    <row r="757" spans="1:35" ht="14">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row>
    <row r="758" spans="1:35" ht="14">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row>
    <row r="759" spans="1:35" ht="14">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row>
    <row r="760" spans="1:35" ht="14">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row>
    <row r="761" spans="1:35" ht="14">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row>
    <row r="762" spans="1:35" ht="14">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row>
    <row r="763" spans="1:35" ht="14">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row>
    <row r="764" spans="1:35" ht="14">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row>
    <row r="765" spans="1:35" ht="14">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row>
    <row r="766" spans="1:35" ht="14">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row>
    <row r="767" spans="1:35" ht="14">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row>
    <row r="768" spans="1:35" ht="14">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row>
    <row r="769" spans="1:35" ht="14">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row>
    <row r="770" spans="1:35" ht="14">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row>
    <row r="771" spans="1:35" ht="14">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row>
    <row r="772" spans="1:35" ht="14">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row>
    <row r="773" spans="1:35" ht="14">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row>
    <row r="774" spans="1:35" ht="14">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row>
    <row r="775" spans="1:35" ht="14">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row>
    <row r="776" spans="1:35" ht="14">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row>
    <row r="777" spans="1:35" ht="14">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row>
    <row r="778" spans="1:35" ht="14">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row>
    <row r="779" spans="1:35" ht="14">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row>
    <row r="780" spans="1:35" ht="14">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row>
    <row r="781" spans="1:35" ht="14">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row>
    <row r="782" spans="1:35" ht="14">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row>
    <row r="783" spans="1:35" ht="14">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row>
    <row r="784" spans="1:35" ht="14">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row>
    <row r="785" spans="1:35" ht="14">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row>
    <row r="786" spans="1:35" ht="14">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row>
    <row r="787" spans="1:35" ht="14">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row>
    <row r="788" spans="1:35" ht="14">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row>
    <row r="789" spans="1:35" ht="14">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row>
    <row r="790" spans="1:35" ht="14">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row>
    <row r="791" spans="1:35" ht="14">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row>
    <row r="792" spans="1:35" ht="14">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row>
    <row r="793" spans="1:35" ht="14">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row>
    <row r="794" spans="1:35" ht="14">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row>
    <row r="795" spans="1:35" ht="14">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row>
    <row r="796" spans="1:35" ht="14">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row>
    <row r="797" spans="1:35" ht="14">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row>
    <row r="798" spans="1:35" ht="14">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row>
    <row r="799" spans="1:35" ht="14">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row>
    <row r="800" spans="1:35" ht="14">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row>
    <row r="801" spans="1:35" ht="14">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row>
    <row r="802" spans="1:35" ht="14">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row>
    <row r="803" spans="1:35" ht="14">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row>
    <row r="804" spans="1:35" ht="14">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row>
    <row r="805" spans="1:35" ht="14">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row>
    <row r="806" spans="1:35" ht="14">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row>
    <row r="807" spans="1:35" ht="14">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row>
    <row r="808" spans="1:35" ht="14">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row>
    <row r="809" spans="1:35" ht="14">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row>
    <row r="810" spans="1:35" ht="14">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row>
    <row r="811" spans="1:35" ht="14">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row>
    <row r="812" spans="1:35" ht="14">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row>
    <row r="813" spans="1:35" ht="14">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row>
    <row r="814" spans="1:35" ht="14">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row>
    <row r="815" spans="1:35" ht="14">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row>
    <row r="816" spans="1:35" ht="14">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row>
    <row r="817" spans="1:35" ht="14">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row>
    <row r="818" spans="1:35" ht="14">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row>
    <row r="819" spans="1:35" ht="14">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row>
    <row r="820" spans="1:35" ht="14">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row>
    <row r="821" spans="1:35" ht="14">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row>
    <row r="822" spans="1:35" ht="14">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row>
    <row r="823" spans="1:35" ht="14">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row>
    <row r="824" spans="1:35" ht="14">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row>
    <row r="825" spans="1:35" ht="14">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row>
    <row r="826" spans="1:35" ht="14">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row>
    <row r="827" spans="1:35" ht="14">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row>
    <row r="828" spans="1:35" ht="14">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row>
    <row r="829" spans="1:35" ht="14">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row>
    <row r="830" spans="1:35" ht="14">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row>
    <row r="831" spans="1:35" ht="14">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row>
    <row r="832" spans="1:35" ht="14">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row>
    <row r="833" spans="1:35" ht="14">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row>
    <row r="834" spans="1:35" ht="14">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row>
    <row r="835" spans="1:35" ht="14">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row>
    <row r="836" spans="1:35" ht="14">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row>
    <row r="837" spans="1:35" ht="14">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row>
    <row r="838" spans="1:35" ht="14">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row>
    <row r="839" spans="1:35" ht="14">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row>
    <row r="840" spans="1:35" ht="14">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row>
    <row r="841" spans="1:35" ht="14">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row>
    <row r="842" spans="1:35" ht="14">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row>
    <row r="843" spans="1:35" ht="14">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row>
    <row r="844" spans="1:35" ht="14">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row>
    <row r="845" spans="1:35" ht="14">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row>
    <row r="846" spans="1:35" ht="14">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row>
    <row r="847" spans="1:35" ht="14">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row>
    <row r="848" spans="1:35" ht="14">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row>
    <row r="849" spans="1:35" ht="14">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row>
    <row r="850" spans="1:35" ht="14">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row>
    <row r="851" spans="1:35" ht="14">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row>
    <row r="852" spans="1:35" ht="14">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row>
    <row r="853" spans="1:35" ht="14">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row>
    <row r="854" spans="1:35" ht="14">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row>
    <row r="855" spans="1:35" ht="14">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row>
    <row r="856" spans="1:35" ht="14">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row>
    <row r="857" spans="1:35" ht="14">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row>
    <row r="858" spans="1:35" ht="14">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row>
    <row r="859" spans="1:35" ht="14">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row>
    <row r="860" spans="1:35" ht="14">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row>
    <row r="861" spans="1:35" ht="14">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row>
    <row r="862" spans="1:35" ht="14">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row>
    <row r="863" spans="1:35" ht="14">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row>
    <row r="864" spans="1:35" ht="14">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row>
    <row r="865" spans="1:35" ht="14">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row>
    <row r="866" spans="1:35" ht="14">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row>
    <row r="867" spans="1:35" ht="14">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row>
    <row r="868" spans="1:35" ht="14">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row>
    <row r="869" spans="1:35" ht="14">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row>
    <row r="870" spans="1:35" ht="14">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row>
    <row r="871" spans="1:35" ht="14">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row>
    <row r="872" spans="1:35" ht="14">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row>
    <row r="873" spans="1:35" ht="14">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row>
    <row r="874" spans="1:35" ht="14">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row>
    <row r="875" spans="1:35" ht="14">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row>
    <row r="876" spans="1:35" ht="14">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row>
    <row r="877" spans="1:35" ht="14">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row>
    <row r="878" spans="1:35" ht="14">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row>
    <row r="879" spans="1:35" ht="14">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row>
    <row r="880" spans="1:35" ht="14">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row>
    <row r="881" spans="1:35" ht="14">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row>
    <row r="882" spans="1:35" ht="14">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row>
    <row r="883" spans="1:35" ht="14">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row>
    <row r="884" spans="1:35" ht="14">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row>
    <row r="885" spans="1:35" ht="14">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row>
    <row r="886" spans="1:35" ht="14">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row>
    <row r="887" spans="1:35" ht="14">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row>
    <row r="888" spans="1:35" ht="14">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row>
    <row r="889" spans="1:35" ht="14">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row>
    <row r="890" spans="1:35" ht="14">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row>
    <row r="891" spans="1:35" ht="14">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row>
    <row r="892" spans="1:35" ht="14">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row>
    <row r="893" spans="1:35" ht="14">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row>
    <row r="894" spans="1:35" ht="14">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row>
    <row r="895" spans="1:35" ht="14">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row>
    <row r="896" spans="1:35" ht="14">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row>
    <row r="897" spans="1:35" ht="14">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row>
    <row r="898" spans="1:35" ht="14">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row>
    <row r="899" spans="1:35" ht="14">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row>
    <row r="900" spans="1:35" ht="14">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row>
    <row r="901" spans="1:35" ht="14">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row>
    <row r="902" spans="1:35" ht="14">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row>
    <row r="903" spans="1:35" ht="14">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row>
    <row r="904" spans="1:35" ht="14">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row>
    <row r="905" spans="1:35" ht="14">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row>
    <row r="906" spans="1:35" ht="14">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row>
    <row r="907" spans="1:35" ht="14">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row>
    <row r="908" spans="1:35" ht="14">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row>
    <row r="909" spans="1:35" ht="14">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row>
    <row r="910" spans="1:35" ht="14">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row>
    <row r="911" spans="1:35" ht="14">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row>
    <row r="912" spans="1:35" ht="14">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row>
    <row r="913" spans="1:35" ht="14">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row>
    <row r="914" spans="1:35" ht="14">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row>
    <row r="915" spans="1:35" ht="14">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row>
    <row r="916" spans="1:35" ht="14">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row>
    <row r="917" spans="1:35" ht="14">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row>
    <row r="918" spans="1:35" ht="14">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row>
    <row r="919" spans="1:35" ht="14">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row>
    <row r="920" spans="1:35" ht="14">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row>
    <row r="921" spans="1:35" ht="14">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row>
    <row r="922" spans="1:35" ht="14">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row>
    <row r="923" spans="1:35" ht="14">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row>
    <row r="924" spans="1:35" ht="14">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row>
    <row r="925" spans="1:35" ht="14">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row>
    <row r="926" spans="1:35" ht="14">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row>
    <row r="927" spans="1:35" ht="14">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row>
    <row r="928" spans="1:35" ht="14">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row>
    <row r="929" spans="1:35" ht="14">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row>
    <row r="930" spans="1:35" ht="14">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row>
    <row r="931" spans="1:35" ht="14">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row>
    <row r="932" spans="1:35" ht="14">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row>
    <row r="933" spans="1:35" ht="14">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row>
    <row r="934" spans="1:35" ht="14">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row>
    <row r="935" spans="1:35" ht="14">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row>
    <row r="936" spans="1:35" ht="14">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row>
    <row r="937" spans="1:35" ht="14">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row>
    <row r="938" spans="1:35" ht="14">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row>
    <row r="939" spans="1:35" ht="14">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row>
    <row r="940" spans="1:35" ht="14">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row>
    <row r="941" spans="1:35" ht="14">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row>
    <row r="942" spans="1:35" ht="14">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row>
    <row r="943" spans="1:35" ht="14">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row>
    <row r="944" spans="1:35" ht="14">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row>
    <row r="945" spans="1:35" ht="14">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row>
    <row r="946" spans="1:35" ht="14">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row>
    <row r="947" spans="1:35" ht="14">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row>
    <row r="948" spans="1:35" ht="14">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row>
    <row r="949" spans="1:35" ht="14">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row>
    <row r="950" spans="1:35" ht="14">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row>
    <row r="951" spans="1:35" ht="14">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row>
    <row r="952" spans="1:35" ht="14">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row>
    <row r="953" spans="1:35" ht="14">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row>
    <row r="954" spans="1:35" ht="14">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row>
    <row r="955" spans="1:35" ht="14">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row>
    <row r="956" spans="1:35" ht="14">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row>
    <row r="957" spans="1:35" ht="14">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row>
    <row r="958" spans="1:35" ht="14">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row>
    <row r="959" spans="1:35" ht="14">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row>
    <row r="960" spans="1:35" ht="14">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row>
    <row r="961" spans="1:35" ht="14">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row>
    <row r="962" spans="1:35" ht="14">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row>
    <row r="963" spans="1:35" ht="14">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row>
    <row r="964" spans="1:35" ht="14">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row>
    <row r="965" spans="1:35" ht="14">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row>
    <row r="966" spans="1:35" ht="14">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row>
    <row r="967" spans="1:35" ht="14">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row>
    <row r="968" spans="1:35" ht="14">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row>
    <row r="969" spans="1:35" ht="14">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row>
    <row r="970" spans="1:35" ht="14">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row>
    <row r="971" spans="1:35" ht="14">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row>
    <row r="972" spans="1:35" ht="14">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row>
    <row r="973" spans="1:35" ht="14">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row>
    <row r="974" spans="1:35" ht="14">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row>
    <row r="975" spans="1:35" ht="14">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row>
    <row r="976" spans="1:35" ht="14">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row>
    <row r="977" spans="1:35" ht="14">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row>
    <row r="978" spans="1:35" ht="14">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row>
    <row r="979" spans="1:35" ht="14">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row>
    <row r="980" spans="1:35" ht="14">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row>
    <row r="981" spans="1:35" ht="14">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row>
    <row r="982" spans="1:35" ht="14">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row>
    <row r="983" spans="1:35" ht="14">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row>
    <row r="984" spans="1:35" ht="14">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row>
    <row r="985" spans="1:35" ht="14">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row>
    <row r="986" spans="1:35" ht="14">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row>
    <row r="987" spans="1:35" ht="14">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row>
    <row r="988" spans="1:35" ht="14">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row>
    <row r="989" spans="1:35" ht="14">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row>
    <row r="990" spans="1:35" ht="14">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row>
    <row r="991" spans="1:35" ht="14">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row>
    <row r="992" spans="1:35" ht="14">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row>
    <row r="993" spans="1:35" ht="14">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row>
    <row r="994" spans="1:35" ht="14">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row>
    <row r="995" spans="1:35" ht="14">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row>
    <row r="996" spans="1:35" ht="14">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row>
  </sheetData>
  <hyperlinks>
    <hyperlink ref="B11" r:id="rId1" xr:uid="{E0CCC77D-A25D-4040-873A-920D58961BEA}"/>
    <hyperlink ref="F11" r:id="rId2" xr:uid="{8FD0D55A-BA72-494B-A3B4-1716A6ECF778}"/>
    <hyperlink ref="F12" r:id="rId3" xr:uid="{D5849BA7-1E88-8045-A18E-4417D9E518E8}"/>
    <hyperlink ref="B13" r:id="rId4" xr:uid="{C41032CE-5234-C04E-A7A5-949AE5E2DC82}"/>
    <hyperlink ref="F13" r:id="rId5" xr:uid="{CD3CE84E-84A7-7E45-AACF-E3B204AD2087}"/>
    <hyperlink ref="B14" r:id="rId6" xr:uid="{1BA48F6E-C746-F348-BC7A-1C7640985C7E}"/>
    <hyperlink ref="F14" r:id="rId7" xr:uid="{05A4732D-668D-1648-943A-87A53419CCA7}"/>
    <hyperlink ref="B15" r:id="rId8" xr:uid="{C857E9A3-CF4F-F74A-A584-62352E755C81}"/>
    <hyperlink ref="F15" r:id="rId9" xr:uid="{9AFF4623-C586-2F4B-AF20-0EA236797758}"/>
    <hyperlink ref="B16" r:id="rId10" xr:uid="{EB7F9C49-14DB-D24A-A093-0AECCA7F7BAA}"/>
    <hyperlink ref="F16" r:id="rId11" xr:uid="{B2404C9E-4EF1-DE48-9CAE-3D4432E01438}"/>
    <hyperlink ref="B17" r:id="rId12" xr:uid="{5A946DA5-01AC-6247-B45F-24EAA1B987AF}"/>
    <hyperlink ref="F17" r:id="rId13" xr:uid="{AD2C88BD-A767-9D41-8902-70B7CCEACCB7}"/>
    <hyperlink ref="B18" r:id="rId14" xr:uid="{633E0F27-3353-DD4B-A32D-FB87B7F79D65}"/>
    <hyperlink ref="F18" r:id="rId15" xr:uid="{0785CC6B-3E7D-0748-99A0-6EB0972A7C1F}"/>
    <hyperlink ref="B19" r:id="rId16" xr:uid="{5C1CDEBB-0007-1B4C-9662-97E9CEAA35D5}"/>
    <hyperlink ref="F19" r:id="rId17" xr:uid="{0213ABFC-7792-194E-AE24-319B874474F7}"/>
    <hyperlink ref="F20" r:id="rId18" xr:uid="{3F204DBB-8AB3-DC45-920F-1515163C444D}"/>
    <hyperlink ref="F21" r:id="rId19" xr:uid="{41AE1E6E-CD46-E345-93E1-336CB3369D6A}"/>
    <hyperlink ref="B22" r:id="rId20" xr:uid="{60EA067E-54CA-0641-B55C-70C2F98A2FFD}"/>
    <hyperlink ref="F22" r:id="rId21" xr:uid="{EBC33E48-559A-384E-A73C-2EE8E22B0003}"/>
    <hyperlink ref="F23" r:id="rId22" xr:uid="{8FB85F09-B42D-774B-B240-D4321F2B0D6E}"/>
    <hyperlink ref="F24" r:id="rId23" xr:uid="{70CCC453-2F9D-6849-B553-6782BA90A880}"/>
    <hyperlink ref="F25" r:id="rId24" xr:uid="{D0E4707F-5628-644C-9A0C-DD85E030429D}"/>
    <hyperlink ref="F26" r:id="rId25" xr:uid="{A0597042-F54B-A94B-BC7D-28E32A7CEBCA}"/>
    <hyperlink ref="F27" r:id="rId26" xr:uid="{296596C1-CC2A-114A-A4B8-B5B96BCA31BC}"/>
    <hyperlink ref="F28" r:id="rId27" xr:uid="{FF7BFF3E-DA6D-C346-BD92-E78E68ADA583}"/>
    <hyperlink ref="F29" r:id="rId28" xr:uid="{B08E4352-A4EB-864B-B329-62DB29047FD8}"/>
    <hyperlink ref="F30" r:id="rId29" xr:uid="{9CD97703-F65F-E64E-B8EB-6DAFD0993B51}"/>
    <hyperlink ref="F31" r:id="rId30" xr:uid="{7E70E9E6-627A-DF49-8493-37F3709EE30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7DFB-4716-9941-96D5-E053C268A051}">
  <sheetPr>
    <outlinePr summaryBelow="0" summaryRight="0"/>
  </sheetPr>
  <dimension ref="A1:Z553"/>
  <sheetViews>
    <sheetView topLeftCell="A543" workbookViewId="0">
      <selection activeCell="K10" sqref="K10"/>
    </sheetView>
  </sheetViews>
  <sheetFormatPr baseColWidth="10" defaultColWidth="12.6640625" defaultRowHeight="15.75" customHeight="1"/>
  <cols>
    <col min="1" max="16384" width="12.6640625" style="24"/>
  </cols>
  <sheetData>
    <row r="1" spans="1:17" ht="15.75" customHeight="1">
      <c r="A1" s="27" t="s">
        <v>976</v>
      </c>
    </row>
    <row r="2" spans="1:17" ht="15.75" customHeight="1">
      <c r="D2" s="27" t="s">
        <v>975</v>
      </c>
      <c r="I2" s="27" t="s">
        <v>975</v>
      </c>
    </row>
    <row r="3" spans="1:17" ht="15">
      <c r="C3" s="119"/>
      <c r="D3" s="147" t="s">
        <v>974</v>
      </c>
      <c r="E3" s="144"/>
      <c r="F3" s="144"/>
      <c r="G3" s="144"/>
      <c r="H3" s="148"/>
      <c r="I3" s="147" t="s">
        <v>973</v>
      </c>
      <c r="J3" s="144"/>
      <c r="K3" s="144"/>
      <c r="L3" s="144"/>
      <c r="M3" s="148"/>
    </row>
    <row r="4" spans="1:17" ht="15">
      <c r="C4" s="119"/>
      <c r="D4" s="149" t="s">
        <v>972</v>
      </c>
      <c r="E4" s="148"/>
      <c r="F4" s="149" t="s">
        <v>971</v>
      </c>
      <c r="G4" s="148"/>
      <c r="H4" s="150" t="s">
        <v>970</v>
      </c>
      <c r="I4" s="149" t="s">
        <v>972</v>
      </c>
      <c r="J4" s="148"/>
      <c r="K4" s="149" t="s">
        <v>971</v>
      </c>
      <c r="L4" s="148"/>
      <c r="M4" s="150" t="s">
        <v>970</v>
      </c>
    </row>
    <row r="5" spans="1:17" ht="15">
      <c r="C5" s="118" t="s">
        <v>969</v>
      </c>
      <c r="D5" s="117" t="s">
        <v>618</v>
      </c>
      <c r="E5" s="116" t="s">
        <v>619</v>
      </c>
      <c r="F5" s="117" t="s">
        <v>618</v>
      </c>
      <c r="G5" s="116" t="s">
        <v>619</v>
      </c>
      <c r="H5" s="151"/>
      <c r="I5" s="117" t="s">
        <v>618</v>
      </c>
      <c r="J5" s="116" t="s">
        <v>619</v>
      </c>
      <c r="K5" s="117" t="s">
        <v>618</v>
      </c>
      <c r="L5" s="116" t="s">
        <v>619</v>
      </c>
      <c r="M5" s="151"/>
    </row>
    <row r="6" spans="1:17" ht="15">
      <c r="C6" s="115" t="s">
        <v>968</v>
      </c>
      <c r="D6" s="114">
        <v>2</v>
      </c>
      <c r="E6" s="113">
        <v>3</v>
      </c>
      <c r="F6" s="114">
        <v>1</v>
      </c>
      <c r="G6" s="113">
        <v>0</v>
      </c>
      <c r="H6" s="113">
        <v>1</v>
      </c>
      <c r="I6" s="114">
        <v>3</v>
      </c>
      <c r="J6" s="113">
        <v>1</v>
      </c>
      <c r="K6" s="114">
        <v>1</v>
      </c>
      <c r="L6" s="113">
        <v>1</v>
      </c>
      <c r="M6" s="113">
        <v>0</v>
      </c>
    </row>
    <row r="7" spans="1:17" ht="15">
      <c r="C7" s="115" t="s">
        <v>967</v>
      </c>
      <c r="D7" s="114">
        <v>17</v>
      </c>
      <c r="E7" s="113">
        <v>17</v>
      </c>
      <c r="F7" s="114">
        <v>11</v>
      </c>
      <c r="G7" s="113">
        <v>6</v>
      </c>
      <c r="H7" s="113">
        <v>4</v>
      </c>
      <c r="I7" s="114">
        <v>72</v>
      </c>
      <c r="J7" s="113">
        <v>32</v>
      </c>
      <c r="K7" s="114">
        <v>95</v>
      </c>
      <c r="L7" s="113">
        <v>45</v>
      </c>
      <c r="M7" s="113">
        <v>17</v>
      </c>
    </row>
    <row r="8" spans="1:17" ht="15">
      <c r="C8" s="115" t="s">
        <v>966</v>
      </c>
      <c r="D8" s="114">
        <v>8</v>
      </c>
      <c r="E8" s="113">
        <v>4</v>
      </c>
      <c r="F8" s="114">
        <v>0</v>
      </c>
      <c r="G8" s="113">
        <v>0</v>
      </c>
      <c r="H8" s="113">
        <v>2</v>
      </c>
      <c r="I8" s="114">
        <v>4</v>
      </c>
      <c r="J8" s="113">
        <v>6</v>
      </c>
      <c r="K8" s="114">
        <v>3</v>
      </c>
      <c r="L8" s="113">
        <v>3</v>
      </c>
      <c r="M8" s="113">
        <v>0</v>
      </c>
    </row>
    <row r="9" spans="1:17" ht="15">
      <c r="C9" s="115" t="s">
        <v>965</v>
      </c>
      <c r="D9" s="114">
        <v>13</v>
      </c>
      <c r="E9" s="113">
        <v>11</v>
      </c>
      <c r="F9" s="114">
        <v>3</v>
      </c>
      <c r="G9" s="113">
        <v>1</v>
      </c>
      <c r="H9" s="113">
        <v>0</v>
      </c>
      <c r="I9" s="114">
        <v>45</v>
      </c>
      <c r="J9" s="113">
        <v>19</v>
      </c>
      <c r="K9" s="114">
        <v>4</v>
      </c>
      <c r="L9" s="113">
        <v>6</v>
      </c>
      <c r="M9" s="113">
        <v>0</v>
      </c>
    </row>
    <row r="10" spans="1:17" ht="15">
      <c r="C10" s="115" t="s">
        <v>490</v>
      </c>
      <c r="D10" s="114">
        <v>181</v>
      </c>
      <c r="E10" s="113">
        <v>220</v>
      </c>
      <c r="F10" s="114">
        <v>25</v>
      </c>
      <c r="G10" s="113">
        <v>46</v>
      </c>
      <c r="H10" s="113">
        <v>8</v>
      </c>
      <c r="I10" s="114">
        <v>313</v>
      </c>
      <c r="J10" s="113">
        <v>343</v>
      </c>
      <c r="K10" s="114">
        <v>52</v>
      </c>
      <c r="L10" s="113">
        <v>79</v>
      </c>
      <c r="M10" s="113">
        <v>8</v>
      </c>
    </row>
    <row r="11" spans="1:17" ht="15">
      <c r="C11" s="112" t="s">
        <v>964</v>
      </c>
      <c r="D11" s="111">
        <v>5</v>
      </c>
      <c r="E11" s="110">
        <v>12</v>
      </c>
      <c r="F11" s="111">
        <v>1</v>
      </c>
      <c r="G11" s="110">
        <v>0</v>
      </c>
      <c r="H11" s="110">
        <v>0</v>
      </c>
      <c r="I11" s="111">
        <v>4</v>
      </c>
      <c r="J11" s="110">
        <v>6</v>
      </c>
      <c r="K11" s="111">
        <v>0</v>
      </c>
      <c r="L11" s="110">
        <v>2</v>
      </c>
      <c r="M11" s="110">
        <v>1</v>
      </c>
    </row>
    <row r="12" spans="1:17" ht="15.75" customHeight="1">
      <c r="C12" s="109"/>
      <c r="D12" s="26">
        <f>SUM(D5:D11)</f>
        <v>226</v>
      </c>
      <c r="E12" s="26">
        <f>SUM(E5:E11)</f>
        <v>267</v>
      </c>
      <c r="I12" s="26">
        <f>SUM(I5:I11)</f>
        <v>441</v>
      </c>
      <c r="J12" s="26">
        <f>SUM(J5:J11)</f>
        <v>407</v>
      </c>
      <c r="N12" s="27">
        <f>SUM(D12:J12)</f>
        <v>1341</v>
      </c>
    </row>
    <row r="14" spans="1:17" ht="15.75" customHeight="1">
      <c r="D14" s="95"/>
    </row>
    <row r="15" spans="1:17" ht="15.75" customHeight="1">
      <c r="A15" s="27" t="s">
        <v>963</v>
      </c>
      <c r="C15" s="27" t="s">
        <v>962</v>
      </c>
      <c r="D15" s="143" t="s">
        <v>822</v>
      </c>
      <c r="E15" s="144"/>
      <c r="F15" s="144"/>
      <c r="G15" s="144"/>
      <c r="H15" s="143" t="s">
        <v>831</v>
      </c>
      <c r="I15" s="144"/>
      <c r="J15" s="144"/>
      <c r="K15" s="144"/>
      <c r="L15" s="143" t="s">
        <v>959</v>
      </c>
      <c r="M15" s="144"/>
      <c r="N15" s="144"/>
      <c r="O15" s="144"/>
    </row>
    <row r="16" spans="1:17" ht="15.75" customHeight="1">
      <c r="D16" s="143" t="s">
        <v>614</v>
      </c>
      <c r="E16" s="144"/>
      <c r="F16" s="143" t="s">
        <v>613</v>
      </c>
      <c r="G16" s="144"/>
      <c r="H16" s="143" t="s">
        <v>614</v>
      </c>
      <c r="I16" s="144"/>
      <c r="J16" s="143" t="s">
        <v>613</v>
      </c>
      <c r="K16" s="144"/>
      <c r="L16" s="143" t="s">
        <v>614</v>
      </c>
      <c r="M16" s="144"/>
      <c r="N16" s="143" t="s">
        <v>613</v>
      </c>
      <c r="O16" s="144"/>
      <c r="Q16" s="27" t="s">
        <v>961</v>
      </c>
    </row>
    <row r="17" spans="1:18" ht="15.75" customHeight="1">
      <c r="D17" s="27" t="s">
        <v>958</v>
      </c>
      <c r="E17" s="27" t="s">
        <v>957</v>
      </c>
      <c r="F17" s="27" t="s">
        <v>958</v>
      </c>
      <c r="G17" s="27" t="s">
        <v>957</v>
      </c>
      <c r="H17" s="27" t="s">
        <v>958</v>
      </c>
      <c r="I17" s="27" t="s">
        <v>957</v>
      </c>
      <c r="J17" s="27" t="s">
        <v>958</v>
      </c>
      <c r="K17" s="27" t="s">
        <v>957</v>
      </c>
      <c r="L17" s="27" t="s">
        <v>958</v>
      </c>
      <c r="M17" s="27" t="s">
        <v>957</v>
      </c>
      <c r="N17" s="27" t="s">
        <v>958</v>
      </c>
      <c r="O17" s="27" t="s">
        <v>957</v>
      </c>
    </row>
    <row r="18" spans="1:18" ht="15.75" customHeight="1">
      <c r="C18" s="27" t="s">
        <v>615</v>
      </c>
      <c r="D18" s="25">
        <v>0.8</v>
      </c>
      <c r="E18" s="25">
        <v>1.1000000000000001</v>
      </c>
      <c r="F18" s="25">
        <v>0.9</v>
      </c>
      <c r="G18" s="25">
        <v>1.3</v>
      </c>
      <c r="H18" s="25">
        <v>0.7</v>
      </c>
      <c r="I18" s="25">
        <v>1</v>
      </c>
      <c r="J18" s="25">
        <v>0.8</v>
      </c>
      <c r="K18" s="25">
        <v>1.2</v>
      </c>
      <c r="L18" s="25">
        <v>1</v>
      </c>
      <c r="M18" s="25">
        <v>1.1000000000000001</v>
      </c>
      <c r="N18" s="25">
        <v>0.9</v>
      </c>
      <c r="O18" s="27">
        <v>1.4</v>
      </c>
      <c r="Q18" s="27">
        <v>88</v>
      </c>
    </row>
    <row r="19" spans="1:18" ht="15.75" customHeight="1">
      <c r="C19" s="27" t="s">
        <v>616</v>
      </c>
      <c r="D19" s="25">
        <v>0.6</v>
      </c>
      <c r="E19" s="25">
        <v>0.8</v>
      </c>
      <c r="F19" s="25">
        <v>0.5</v>
      </c>
      <c r="G19" s="25">
        <v>0.8</v>
      </c>
      <c r="H19" s="25">
        <v>0.5</v>
      </c>
      <c r="I19" s="25">
        <v>0.9</v>
      </c>
      <c r="J19" s="25">
        <v>0.4</v>
      </c>
      <c r="K19" s="25">
        <v>0.8</v>
      </c>
      <c r="L19" s="25">
        <v>0.9</v>
      </c>
      <c r="M19" s="25">
        <v>1.2</v>
      </c>
      <c r="N19" s="25">
        <v>0.6</v>
      </c>
      <c r="O19" s="27">
        <v>0.9</v>
      </c>
      <c r="Q19" s="27">
        <v>192</v>
      </c>
    </row>
    <row r="21" spans="1:18" ht="15.75" customHeight="1">
      <c r="C21" s="27" t="s">
        <v>960</v>
      </c>
      <c r="D21" s="143" t="s">
        <v>822</v>
      </c>
      <c r="E21" s="144"/>
      <c r="F21" s="144"/>
      <c r="G21" s="144"/>
      <c r="H21" s="143" t="s">
        <v>831</v>
      </c>
      <c r="I21" s="144"/>
      <c r="J21" s="144"/>
      <c r="K21" s="144"/>
      <c r="L21" s="143" t="s">
        <v>959</v>
      </c>
      <c r="M21" s="144"/>
      <c r="N21" s="144"/>
      <c r="O21" s="144"/>
    </row>
    <row r="22" spans="1:18" ht="15.75" customHeight="1">
      <c r="D22" s="143" t="s">
        <v>614</v>
      </c>
      <c r="E22" s="144"/>
      <c r="F22" s="143" t="s">
        <v>613</v>
      </c>
      <c r="G22" s="144"/>
      <c r="H22" s="143" t="s">
        <v>614</v>
      </c>
      <c r="I22" s="144"/>
      <c r="J22" s="143" t="s">
        <v>613</v>
      </c>
      <c r="K22" s="144"/>
      <c r="L22" s="143" t="s">
        <v>614</v>
      </c>
      <c r="M22" s="144"/>
      <c r="N22" s="143" t="s">
        <v>613</v>
      </c>
      <c r="O22" s="144"/>
    </row>
    <row r="23" spans="1:18" ht="15.75" customHeight="1">
      <c r="D23" s="27" t="s">
        <v>958</v>
      </c>
      <c r="E23" s="27" t="s">
        <v>957</v>
      </c>
      <c r="F23" s="27" t="s">
        <v>958</v>
      </c>
      <c r="G23" s="27" t="s">
        <v>957</v>
      </c>
      <c r="H23" s="27" t="s">
        <v>958</v>
      </c>
      <c r="I23" s="27" t="s">
        <v>957</v>
      </c>
      <c r="J23" s="27" t="s">
        <v>958</v>
      </c>
      <c r="K23" s="27" t="s">
        <v>957</v>
      </c>
      <c r="L23" s="27" t="s">
        <v>958</v>
      </c>
      <c r="M23" s="27" t="s">
        <v>957</v>
      </c>
      <c r="N23" s="27" t="s">
        <v>958</v>
      </c>
      <c r="O23" s="27" t="s">
        <v>957</v>
      </c>
    </row>
    <row r="24" spans="1:18" ht="15.75" customHeight="1">
      <c r="C24" s="27" t="s">
        <v>615</v>
      </c>
      <c r="D24" s="26">
        <f t="shared" ref="D24:O24" si="0">D18*$Q$18</f>
        <v>70.400000000000006</v>
      </c>
      <c r="E24" s="27">
        <f t="shared" si="0"/>
        <v>96.800000000000011</v>
      </c>
      <c r="F24" s="26">
        <f t="shared" si="0"/>
        <v>79.2</v>
      </c>
      <c r="G24" s="27">
        <f t="shared" si="0"/>
        <v>114.4</v>
      </c>
      <c r="H24" s="26">
        <f t="shared" si="0"/>
        <v>61.599999999999994</v>
      </c>
      <c r="I24" s="27">
        <f t="shared" si="0"/>
        <v>88</v>
      </c>
      <c r="J24" s="26">
        <f t="shared" si="0"/>
        <v>70.400000000000006</v>
      </c>
      <c r="K24" s="27">
        <f t="shared" si="0"/>
        <v>105.6</v>
      </c>
      <c r="L24" s="26">
        <f t="shared" si="0"/>
        <v>88</v>
      </c>
      <c r="M24" s="27">
        <f t="shared" si="0"/>
        <v>96.800000000000011</v>
      </c>
      <c r="N24" s="26">
        <f t="shared" si="0"/>
        <v>79.2</v>
      </c>
      <c r="O24" s="27">
        <f t="shared" si="0"/>
        <v>123.19999999999999</v>
      </c>
    </row>
    <row r="25" spans="1:18" ht="15.75" customHeight="1">
      <c r="C25" s="27" t="s">
        <v>616</v>
      </c>
      <c r="D25" s="26">
        <f t="shared" ref="D25:O25" si="1">D19*$Q$19</f>
        <v>115.19999999999999</v>
      </c>
      <c r="E25" s="27">
        <f t="shared" si="1"/>
        <v>153.60000000000002</v>
      </c>
      <c r="F25" s="26">
        <f t="shared" si="1"/>
        <v>96</v>
      </c>
      <c r="G25" s="27">
        <f t="shared" si="1"/>
        <v>153.60000000000002</v>
      </c>
      <c r="H25" s="26">
        <f t="shared" si="1"/>
        <v>96</v>
      </c>
      <c r="I25" s="27">
        <f t="shared" si="1"/>
        <v>172.8</v>
      </c>
      <c r="J25" s="26">
        <f t="shared" si="1"/>
        <v>76.800000000000011</v>
      </c>
      <c r="K25" s="27">
        <f t="shared" si="1"/>
        <v>153.60000000000002</v>
      </c>
      <c r="L25" s="26">
        <f t="shared" si="1"/>
        <v>172.8</v>
      </c>
      <c r="M25" s="27">
        <f t="shared" si="1"/>
        <v>230.39999999999998</v>
      </c>
      <c r="N25" s="26">
        <f t="shared" si="1"/>
        <v>115.19999999999999</v>
      </c>
      <c r="O25" s="27">
        <f t="shared" si="1"/>
        <v>172.8</v>
      </c>
    </row>
    <row r="26" spans="1:18" ht="15.75" customHeight="1">
      <c r="C26" s="95"/>
    </row>
    <row r="27" spans="1:18" ht="15.75" customHeight="1">
      <c r="C27" s="95"/>
    </row>
    <row r="28" spans="1:18" ht="15.75" customHeight="1">
      <c r="A28" s="27" t="s">
        <v>956</v>
      </c>
      <c r="C28" s="95"/>
      <c r="D28" s="27" t="s">
        <v>955</v>
      </c>
      <c r="E28" s="27" t="s">
        <v>954</v>
      </c>
      <c r="F28" s="27" t="s">
        <v>953</v>
      </c>
      <c r="G28" s="27" t="s">
        <v>952</v>
      </c>
      <c r="H28" s="27" t="s">
        <v>951</v>
      </c>
      <c r="I28" s="27" t="s">
        <v>950</v>
      </c>
      <c r="J28" s="27" t="s">
        <v>22</v>
      </c>
      <c r="K28" s="25"/>
      <c r="L28" s="27" t="s">
        <v>955</v>
      </c>
      <c r="M28" s="27" t="s">
        <v>954</v>
      </c>
      <c r="N28" s="27" t="s">
        <v>953</v>
      </c>
      <c r="O28" s="27" t="s">
        <v>952</v>
      </c>
      <c r="P28" s="27" t="s">
        <v>951</v>
      </c>
      <c r="Q28" s="27" t="s">
        <v>950</v>
      </c>
      <c r="R28" s="27" t="s">
        <v>22</v>
      </c>
    </row>
    <row r="29" spans="1:18" ht="15">
      <c r="C29" s="95"/>
      <c r="D29" s="108">
        <f>(189/0.027)</f>
        <v>7000</v>
      </c>
      <c r="E29" s="25">
        <f t="shared" ref="E29:E38" si="2">F29-D29</f>
        <v>25750</v>
      </c>
      <c r="F29" s="108">
        <f>1648/0.064+(189/0.027)</f>
        <v>32750</v>
      </c>
      <c r="G29" s="108">
        <f>((189/0.027)+189)</f>
        <v>7189</v>
      </c>
      <c r="H29" s="25">
        <f t="shared" ref="H29:H38" si="3">I29-G29</f>
        <v>27398</v>
      </c>
      <c r="I29" s="102">
        <f>F29+1648+189</f>
        <v>34587</v>
      </c>
      <c r="J29" s="102">
        <f t="shared" ref="J29:J38" si="4">F29+I29</f>
        <v>67337</v>
      </c>
      <c r="K29" s="107"/>
      <c r="L29" s="106">
        <f>(189/0.027)</f>
        <v>7000</v>
      </c>
      <c r="M29" s="105">
        <f t="shared" ref="M29:M38" si="5">N29-L29</f>
        <v>25750</v>
      </c>
      <c r="N29" s="104">
        <f>1648/0.064+(189/0.027)</f>
        <v>32750</v>
      </c>
      <c r="O29" s="106">
        <f>((189/0.027)+189)</f>
        <v>7189</v>
      </c>
      <c r="P29" s="105">
        <f t="shared" ref="P29:P38" si="6">Q29-O29</f>
        <v>27398</v>
      </c>
      <c r="Q29" s="104">
        <f>N29+1648+189</f>
        <v>34587</v>
      </c>
      <c r="R29" s="104">
        <f t="shared" ref="R29:R38" si="7">N29+Q29</f>
        <v>67337</v>
      </c>
    </row>
    <row r="30" spans="1:18" ht="15">
      <c r="C30" s="95"/>
      <c r="D30" s="108">
        <f>(7/0.037)</f>
        <v>189.18918918918919</v>
      </c>
      <c r="E30" s="25">
        <f t="shared" si="2"/>
        <v>1166.6666666666667</v>
      </c>
      <c r="F30" s="108">
        <f>(112/0.096)+(7/0.037)</f>
        <v>1355.8558558558559</v>
      </c>
      <c r="G30" s="108">
        <f>(7+(7/0.037))</f>
        <v>196.18918918918919</v>
      </c>
      <c r="H30" s="25">
        <f t="shared" si="3"/>
        <v>1278.6666666666667</v>
      </c>
      <c r="I30" s="102">
        <f>112+7+F30</f>
        <v>1474.8558558558559</v>
      </c>
      <c r="J30" s="102">
        <f t="shared" si="4"/>
        <v>2830.7117117117118</v>
      </c>
      <c r="K30" s="107"/>
      <c r="L30" s="106">
        <f>(7/0.037)</f>
        <v>189.18918918918919</v>
      </c>
      <c r="M30" s="105">
        <f t="shared" si="5"/>
        <v>1166.6666666666667</v>
      </c>
      <c r="N30" s="104">
        <f>(112/0.096)+(7/0.037)</f>
        <v>1355.8558558558559</v>
      </c>
      <c r="O30" s="106">
        <f>(7+(7/0.037))</f>
        <v>196.18918918918919</v>
      </c>
      <c r="P30" s="105">
        <f t="shared" si="6"/>
        <v>1278.6666666666667</v>
      </c>
      <c r="Q30" s="104">
        <f>112+7+N30</f>
        <v>1474.8558558558559</v>
      </c>
      <c r="R30" s="104">
        <f t="shared" si="7"/>
        <v>2830.7117117117118</v>
      </c>
    </row>
    <row r="31" spans="1:18" ht="15">
      <c r="C31" s="95"/>
      <c r="D31" s="108">
        <f>(145/0.098)</f>
        <v>1479.5918367346937</v>
      </c>
      <c r="E31" s="25">
        <f t="shared" si="2"/>
        <v>5586.9565217391309</v>
      </c>
      <c r="F31" s="108">
        <f>(514/0.092)+(145/0.098)</f>
        <v>7066.5483584738249</v>
      </c>
      <c r="G31" s="108">
        <f>(145+(145/0.092))</f>
        <v>1721.0869565217392</v>
      </c>
      <c r="H31" s="25">
        <f t="shared" si="3"/>
        <v>6004.4614019520859</v>
      </c>
      <c r="I31" s="102">
        <f>F31+514+145</f>
        <v>7725.5483584738249</v>
      </c>
      <c r="J31" s="102">
        <f t="shared" si="4"/>
        <v>14792.09671694765</v>
      </c>
      <c r="K31" s="107"/>
      <c r="L31" s="106">
        <f>(145/0.098)</f>
        <v>1479.5918367346937</v>
      </c>
      <c r="M31" s="105">
        <f t="shared" si="5"/>
        <v>5586.9565217391309</v>
      </c>
      <c r="N31" s="104">
        <f>(514/0.092)+(145/0.098)</f>
        <v>7066.5483584738249</v>
      </c>
      <c r="O31" s="106">
        <f>(145+(145/0.092))</f>
        <v>1721.0869565217392</v>
      </c>
      <c r="P31" s="105">
        <f t="shared" si="6"/>
        <v>6004.4614019520859</v>
      </c>
      <c r="Q31" s="104">
        <f>N31+514+145</f>
        <v>7725.5483584738249</v>
      </c>
      <c r="R31" s="104">
        <f t="shared" si="7"/>
        <v>14792.09671694765</v>
      </c>
    </row>
    <row r="32" spans="1:18" ht="15">
      <c r="C32" s="95"/>
      <c r="D32" s="108">
        <f>(29/0.007)</f>
        <v>4142.8571428571431</v>
      </c>
      <c r="E32" s="25">
        <f t="shared" si="2"/>
        <v>13166.666666666666</v>
      </c>
      <c r="F32" s="108">
        <f>(29/0.007)+(395/0.03)</f>
        <v>17309.523809523809</v>
      </c>
      <c r="G32" s="108">
        <f>(29+(29/0.007))</f>
        <v>4171.8571428571431</v>
      </c>
      <c r="H32" s="25">
        <f t="shared" si="3"/>
        <v>13561.666666666666</v>
      </c>
      <c r="I32" s="102">
        <f>29+395+F32</f>
        <v>17733.523809523809</v>
      </c>
      <c r="J32" s="102">
        <f t="shared" si="4"/>
        <v>35043.047619047618</v>
      </c>
      <c r="K32" s="107"/>
      <c r="L32" s="106">
        <f>(29/0.007)</f>
        <v>4142.8571428571431</v>
      </c>
      <c r="M32" s="105">
        <f t="shared" si="5"/>
        <v>13166.666666666666</v>
      </c>
      <c r="N32" s="104">
        <f>(29/0.007)+(395/0.03)</f>
        <v>17309.523809523809</v>
      </c>
      <c r="O32" s="106">
        <f>(29+(29/0.007))</f>
        <v>4171.8571428571431</v>
      </c>
      <c r="P32" s="105">
        <f t="shared" si="6"/>
        <v>13561.666666666666</v>
      </c>
      <c r="Q32" s="104">
        <f>29+395+N32</f>
        <v>17733.523809523809</v>
      </c>
      <c r="R32" s="104">
        <f t="shared" si="7"/>
        <v>35043.047619047618</v>
      </c>
    </row>
    <row r="33" spans="1:18" ht="15">
      <c r="C33" s="95"/>
      <c r="D33" s="108">
        <f>(8/0.006)</f>
        <v>1333.3333333333333</v>
      </c>
      <c r="E33" s="25">
        <f t="shared" si="2"/>
        <v>5915.0943396226421</v>
      </c>
      <c r="F33" s="108">
        <f>(627/0.106)+(8/0.006)</f>
        <v>7248.4276729559751</v>
      </c>
      <c r="G33" s="108">
        <f>(8+(8/0.006))</f>
        <v>1341.3333333333333</v>
      </c>
      <c r="H33" s="25">
        <f t="shared" si="3"/>
        <v>6542.0943396226421</v>
      </c>
      <c r="I33" s="102">
        <f>627+8+F33</f>
        <v>7883.4276729559751</v>
      </c>
      <c r="J33" s="102">
        <f t="shared" si="4"/>
        <v>15131.85534591195</v>
      </c>
      <c r="K33" s="107"/>
      <c r="L33" s="106">
        <f>(8/0.006)</f>
        <v>1333.3333333333333</v>
      </c>
      <c r="M33" s="105">
        <f t="shared" si="5"/>
        <v>5915.0943396226421</v>
      </c>
      <c r="N33" s="104">
        <f>(627/0.106)+(8/0.006)</f>
        <v>7248.4276729559751</v>
      </c>
      <c r="O33" s="106">
        <f>(8+(8/0.006))</f>
        <v>1341.3333333333333</v>
      </c>
      <c r="P33" s="105">
        <f t="shared" si="6"/>
        <v>6542.0943396226421</v>
      </c>
      <c r="Q33" s="104">
        <f>627+8+N33</f>
        <v>7883.4276729559751</v>
      </c>
      <c r="R33" s="104">
        <f t="shared" si="7"/>
        <v>15131.85534591195</v>
      </c>
    </row>
    <row r="34" spans="1:18" ht="15">
      <c r="C34" s="95"/>
      <c r="D34" s="108">
        <f>(189/0.027)</f>
        <v>7000</v>
      </c>
      <c r="E34" s="25">
        <f t="shared" si="2"/>
        <v>11138.982697519281</v>
      </c>
      <c r="F34" s="108">
        <f>2669/0.39+(4168/0.369)</f>
        <v>18138.982697519281</v>
      </c>
      <c r="G34" s="108">
        <f>((2669/0.39)+2669)</f>
        <v>9512.5897435897423</v>
      </c>
      <c r="H34" s="25">
        <f t="shared" si="3"/>
        <v>15464.392953929539</v>
      </c>
      <c r="I34" s="102">
        <f>F34+2669+4169</f>
        <v>24976.982697519281</v>
      </c>
      <c r="J34" s="102">
        <f t="shared" si="4"/>
        <v>43115.965395038562</v>
      </c>
      <c r="K34" s="107"/>
      <c r="L34" s="106">
        <f>(189/0.027)</f>
        <v>7000</v>
      </c>
      <c r="M34" s="105">
        <f t="shared" si="5"/>
        <v>11138.982697519281</v>
      </c>
      <c r="N34" s="104">
        <f>2669/0.39+(4168/0.369)</f>
        <v>18138.982697519281</v>
      </c>
      <c r="O34" s="106">
        <f>((2669/0.39)+2669)</f>
        <v>9512.5897435897423</v>
      </c>
      <c r="P34" s="105">
        <f t="shared" si="6"/>
        <v>15464.392953929539</v>
      </c>
      <c r="Q34" s="104">
        <f>N34+2669+4169</f>
        <v>24976.982697519281</v>
      </c>
      <c r="R34" s="104">
        <f t="shared" si="7"/>
        <v>43115.965395038562</v>
      </c>
    </row>
    <row r="35" spans="1:18" ht="15">
      <c r="C35" s="95"/>
      <c r="D35" s="108">
        <f>(6/0.353)</f>
        <v>16.997167138810198</v>
      </c>
      <c r="E35" s="25">
        <f t="shared" si="2"/>
        <v>61.994609164420496</v>
      </c>
      <c r="F35" s="108">
        <f>(6/0.353)+(23/0.371)</f>
        <v>78.991776303230694</v>
      </c>
      <c r="G35" s="108">
        <f>(6+(6/0.353))</f>
        <v>22.997167138810198</v>
      </c>
      <c r="H35" s="25">
        <f t="shared" si="3"/>
        <v>84.994609164420496</v>
      </c>
      <c r="I35" s="102">
        <f>F35+6+23</f>
        <v>107.99177630323069</v>
      </c>
      <c r="J35" s="102">
        <f t="shared" si="4"/>
        <v>186.98355260646139</v>
      </c>
      <c r="K35" s="107"/>
      <c r="L35" s="106">
        <f>(6/0.353)</f>
        <v>16.997167138810198</v>
      </c>
      <c r="M35" s="105">
        <f t="shared" si="5"/>
        <v>61.994609164420496</v>
      </c>
      <c r="N35" s="104">
        <f>(6/0.353)+(23/0.371)</f>
        <v>78.991776303230694</v>
      </c>
      <c r="O35" s="106">
        <f>(6+(6/0.353))</f>
        <v>22.997167138810198</v>
      </c>
      <c r="P35" s="105">
        <f t="shared" si="6"/>
        <v>84.994609164420496</v>
      </c>
      <c r="Q35" s="104">
        <f>N35+6+23</f>
        <v>107.99177630323069</v>
      </c>
      <c r="R35" s="104">
        <f t="shared" si="7"/>
        <v>186.98355260646139</v>
      </c>
    </row>
    <row r="36" spans="1:18" ht="15">
      <c r="C36" s="95"/>
      <c r="D36" s="108">
        <f>(354/0.371)</f>
        <v>954.17789757412402</v>
      </c>
      <c r="E36" s="25">
        <f t="shared" si="2"/>
        <v>1500</v>
      </c>
      <c r="F36" s="108">
        <f>(354/0.371)+(291/0.194)</f>
        <v>2454.177897574124</v>
      </c>
      <c r="G36" s="108">
        <f>(354+(354/0.371))</f>
        <v>1308.177897574124</v>
      </c>
      <c r="H36" s="25">
        <f t="shared" si="3"/>
        <v>1791</v>
      </c>
      <c r="I36" s="102">
        <f>F36+354+291</f>
        <v>3099.177897574124</v>
      </c>
      <c r="J36" s="102">
        <f t="shared" si="4"/>
        <v>5553.355795148248</v>
      </c>
      <c r="K36" s="107"/>
      <c r="L36" s="106">
        <f>(354/0.371)</f>
        <v>954.17789757412402</v>
      </c>
      <c r="M36" s="105">
        <f t="shared" si="5"/>
        <v>1500</v>
      </c>
      <c r="N36" s="104">
        <f>(354/0.371)+(291/0.194)</f>
        <v>2454.177897574124</v>
      </c>
      <c r="O36" s="106">
        <f>(354+(354/0.371))</f>
        <v>1308.177897574124</v>
      </c>
      <c r="P36" s="105">
        <f t="shared" si="6"/>
        <v>1791</v>
      </c>
      <c r="Q36" s="104">
        <f>N36+354+291</f>
        <v>3099.177897574124</v>
      </c>
      <c r="R36" s="104">
        <f t="shared" si="7"/>
        <v>5553.355795148248</v>
      </c>
    </row>
    <row r="37" spans="1:18" ht="15">
      <c r="C37" s="95"/>
      <c r="D37" s="108">
        <f>(2183/0.419)</f>
        <v>5210.0238663484488</v>
      </c>
      <c r="E37" s="25">
        <f t="shared" si="2"/>
        <v>7881.7966903073284</v>
      </c>
      <c r="F37" s="108">
        <f>(2183/0.419)+(3334/0.423)</f>
        <v>13091.820556655777</v>
      </c>
      <c r="G37" s="108">
        <f>(2183+(2183/0.419))</f>
        <v>7393.0238663484488</v>
      </c>
      <c r="H37" s="25">
        <f t="shared" si="3"/>
        <v>11215.796690307328</v>
      </c>
      <c r="I37" s="102">
        <f>F37+2183+3334</f>
        <v>18608.820556655777</v>
      </c>
      <c r="J37" s="102">
        <f t="shared" si="4"/>
        <v>31700.641113311554</v>
      </c>
      <c r="K37" s="107"/>
      <c r="L37" s="106">
        <f>(2183/0.419)</f>
        <v>5210.0238663484488</v>
      </c>
      <c r="M37" s="105">
        <f t="shared" si="5"/>
        <v>7881.7966903073284</v>
      </c>
      <c r="N37" s="104">
        <f>(2183/0.419)+(3334/0.423)</f>
        <v>13091.820556655777</v>
      </c>
      <c r="O37" s="106">
        <f>(2183+(2183/0.419))</f>
        <v>7393.0238663484488</v>
      </c>
      <c r="P37" s="105">
        <f t="shared" si="6"/>
        <v>11215.796690307328</v>
      </c>
      <c r="Q37" s="104">
        <f>N37+2183+3334</f>
        <v>18608.820556655777</v>
      </c>
      <c r="R37" s="104">
        <f t="shared" si="7"/>
        <v>31700.641113311554</v>
      </c>
    </row>
    <row r="38" spans="1:18" ht="15">
      <c r="C38" s="95"/>
      <c r="D38" s="108">
        <f>(126/0.186)</f>
        <v>677.41935483870964</v>
      </c>
      <c r="E38" s="25">
        <f t="shared" si="2"/>
        <v>1843.9716312056739</v>
      </c>
      <c r="F38" s="108">
        <f>(520/0.282)+(126/0.186)</f>
        <v>2521.3909860443837</v>
      </c>
      <c r="G38" s="108">
        <f>(126+(126/0.186))</f>
        <v>803.41935483870964</v>
      </c>
      <c r="H38" s="25">
        <f t="shared" si="3"/>
        <v>2363.9716312056739</v>
      </c>
      <c r="I38" s="102">
        <f>520+126+F38</f>
        <v>3167.3909860443837</v>
      </c>
      <c r="J38" s="102">
        <f t="shared" si="4"/>
        <v>5688.7819720887674</v>
      </c>
      <c r="K38" s="107"/>
      <c r="L38" s="106">
        <f>(126/0.186)</f>
        <v>677.41935483870964</v>
      </c>
      <c r="M38" s="105">
        <f t="shared" si="5"/>
        <v>1843.9716312056739</v>
      </c>
      <c r="N38" s="104">
        <f>(520/0.282)+(126/0.186)</f>
        <v>2521.3909860443837</v>
      </c>
      <c r="O38" s="106">
        <f>(126+(126/0.186))</f>
        <v>803.41935483870964</v>
      </c>
      <c r="P38" s="105">
        <f t="shared" si="6"/>
        <v>2363.9716312056739</v>
      </c>
      <c r="Q38" s="104">
        <f>520+126+N38</f>
        <v>3167.3909860443837</v>
      </c>
      <c r="R38" s="104">
        <f t="shared" si="7"/>
        <v>5688.7819720887674</v>
      </c>
    </row>
    <row r="39" spans="1:18" ht="15">
      <c r="A39" s="78"/>
      <c r="B39" s="78"/>
      <c r="C39" s="78"/>
      <c r="D39" s="102"/>
      <c r="F39" s="78"/>
      <c r="G39" s="78"/>
      <c r="I39" s="78"/>
    </row>
    <row r="40" spans="1:18" ht="15">
      <c r="A40" s="78" t="s">
        <v>949</v>
      </c>
      <c r="B40" s="78"/>
      <c r="C40" s="78"/>
      <c r="D40" s="102" t="s">
        <v>608</v>
      </c>
      <c r="E40" s="27" t="s">
        <v>948</v>
      </c>
    </row>
    <row r="41" spans="1:18" ht="15">
      <c r="A41" s="78"/>
      <c r="B41" s="78"/>
      <c r="D41" s="103">
        <v>0.3</v>
      </c>
      <c r="E41" s="102">
        <v>18.100000000000001</v>
      </c>
    </row>
    <row r="42" spans="1:18" ht="15">
      <c r="A42" s="78"/>
      <c r="B42" s="78"/>
      <c r="C42" s="78"/>
      <c r="D42" s="78" t="s">
        <v>945</v>
      </c>
      <c r="E42" s="78" t="s">
        <v>947</v>
      </c>
      <c r="F42" s="78"/>
      <c r="G42" s="78"/>
      <c r="I42" s="78"/>
    </row>
    <row r="43" spans="1:18" ht="15.75" customHeight="1">
      <c r="A43" s="27"/>
      <c r="D43" s="26">
        <f>E43*D41/E41</f>
        <v>5.3038674033149165E-2</v>
      </c>
      <c r="E43" s="27">
        <v>3.2</v>
      </c>
      <c r="F43" s="27"/>
      <c r="G43" s="27"/>
      <c r="H43" s="27"/>
      <c r="I43" s="27"/>
      <c r="J43" s="27"/>
      <c r="K43" s="27"/>
    </row>
    <row r="44" spans="1:18" ht="15.75" customHeight="1">
      <c r="A44" s="27"/>
      <c r="D44" s="27" t="s">
        <v>945</v>
      </c>
      <c r="E44" s="27" t="s">
        <v>946</v>
      </c>
      <c r="F44" s="27"/>
      <c r="G44" s="27"/>
      <c r="H44" s="27"/>
      <c r="I44" s="27"/>
      <c r="J44" s="27"/>
      <c r="K44" s="27"/>
    </row>
    <row r="45" spans="1:18" ht="15">
      <c r="A45" s="27"/>
      <c r="D45" s="101">
        <f>E45*D41/E41</f>
        <v>8.1215469613259664E-2</v>
      </c>
      <c r="E45" s="78">
        <v>4.9000000000000004</v>
      </c>
      <c r="F45" s="27"/>
      <c r="G45" s="27"/>
      <c r="H45" s="27"/>
      <c r="I45" s="27"/>
      <c r="J45" s="27"/>
      <c r="K45" s="27"/>
    </row>
    <row r="46" spans="1:18" ht="15.75" customHeight="1">
      <c r="A46" s="27"/>
      <c r="D46" s="27" t="s">
        <v>945</v>
      </c>
      <c r="E46" s="27" t="s">
        <v>944</v>
      </c>
      <c r="F46" s="27"/>
      <c r="G46" s="27"/>
      <c r="H46" s="27"/>
      <c r="I46" s="27"/>
      <c r="J46" s="27"/>
      <c r="K46" s="27"/>
    </row>
    <row r="47" spans="1:18" ht="15.75" customHeight="1">
      <c r="A47" s="27"/>
      <c r="D47" s="26">
        <f>E47*D41/E41</f>
        <v>2.486187845303867E-2</v>
      </c>
      <c r="E47" s="27">
        <v>1.5</v>
      </c>
      <c r="F47" s="27"/>
      <c r="G47" s="27"/>
      <c r="H47" s="27"/>
      <c r="I47" s="27"/>
      <c r="J47" s="27"/>
      <c r="K47" s="27"/>
    </row>
    <row r="48" spans="1:18" ht="15.75" customHeight="1">
      <c r="A48" s="27"/>
      <c r="D48" s="27"/>
      <c r="E48" s="27"/>
      <c r="F48" s="27"/>
      <c r="G48" s="27"/>
      <c r="H48" s="27"/>
      <c r="I48" s="27"/>
      <c r="J48" s="27"/>
      <c r="K48" s="27"/>
    </row>
    <row r="49" spans="1:11" ht="15.75" customHeight="1">
      <c r="A49" s="27"/>
      <c r="D49" s="27"/>
      <c r="E49" s="27"/>
      <c r="F49" s="27"/>
      <c r="G49" s="27"/>
      <c r="H49" s="27"/>
      <c r="I49" s="27"/>
      <c r="J49" s="27"/>
      <c r="K49" s="27"/>
    </row>
    <row r="50" spans="1:11" ht="14">
      <c r="A50" s="27"/>
      <c r="D50" s="27"/>
      <c r="E50" s="27"/>
      <c r="F50" s="27"/>
      <c r="G50" s="27"/>
      <c r="H50" s="27"/>
      <c r="I50" s="27"/>
      <c r="J50" s="27"/>
      <c r="K50" s="27"/>
    </row>
    <row r="51" spans="1:11" ht="14">
      <c r="A51" s="27"/>
      <c r="D51" s="27"/>
      <c r="E51" s="27"/>
      <c r="F51" s="27"/>
      <c r="G51" s="27"/>
      <c r="H51" s="27"/>
      <c r="I51" s="27"/>
      <c r="J51" s="27"/>
      <c r="K51" s="27"/>
    </row>
    <row r="52" spans="1:11" ht="14">
      <c r="A52" s="27"/>
      <c r="D52" s="27"/>
      <c r="E52" s="27"/>
      <c r="F52" s="27"/>
      <c r="G52" s="27"/>
      <c r="H52" s="27"/>
      <c r="I52" s="27"/>
      <c r="J52" s="27"/>
      <c r="K52" s="27"/>
    </row>
    <row r="53" spans="1:11" ht="14">
      <c r="A53" s="27"/>
      <c r="D53" s="27"/>
      <c r="E53" s="27"/>
      <c r="F53" s="27"/>
      <c r="G53" s="27"/>
      <c r="H53" s="27"/>
      <c r="I53" s="27"/>
      <c r="J53" s="27"/>
      <c r="K53" s="27"/>
    </row>
    <row r="54" spans="1:11" ht="14">
      <c r="A54" s="27"/>
      <c r="D54" s="27"/>
      <c r="E54" s="27"/>
      <c r="F54" s="27"/>
      <c r="G54" s="27"/>
      <c r="H54" s="27"/>
      <c r="I54" s="27"/>
      <c r="J54" s="27"/>
      <c r="K54" s="27"/>
    </row>
    <row r="55" spans="1:11" ht="14">
      <c r="A55" s="27"/>
      <c r="D55" s="27"/>
      <c r="E55" s="27"/>
      <c r="F55" s="27"/>
      <c r="G55" s="27"/>
      <c r="H55" s="27"/>
      <c r="I55" s="27"/>
      <c r="J55" s="27"/>
      <c r="K55" s="27"/>
    </row>
    <row r="56" spans="1:11" ht="14">
      <c r="A56" s="27"/>
      <c r="D56" s="27"/>
      <c r="E56" s="27"/>
      <c r="F56" s="27"/>
      <c r="G56" s="27"/>
      <c r="H56" s="27"/>
      <c r="I56" s="27"/>
      <c r="J56" s="27"/>
      <c r="K56" s="27"/>
    </row>
    <row r="57" spans="1:11" ht="14">
      <c r="A57" s="27"/>
      <c r="D57" s="27"/>
      <c r="E57" s="27"/>
      <c r="F57" s="27"/>
      <c r="G57" s="27"/>
      <c r="H57" s="27"/>
      <c r="I57" s="27"/>
      <c r="J57" s="27"/>
      <c r="K57" s="27"/>
    </row>
    <row r="58" spans="1:11" ht="14">
      <c r="A58" s="27"/>
      <c r="D58" s="27"/>
      <c r="E58" s="27"/>
      <c r="F58" s="27"/>
      <c r="G58" s="27"/>
      <c r="H58" s="27"/>
      <c r="I58" s="27"/>
      <c r="J58" s="27"/>
      <c r="K58" s="27"/>
    </row>
    <row r="59" spans="1:11" ht="14">
      <c r="A59" s="27"/>
      <c r="D59" s="27"/>
      <c r="E59" s="27"/>
      <c r="F59" s="27"/>
      <c r="G59" s="27"/>
      <c r="H59" s="27"/>
      <c r="I59" s="27"/>
      <c r="J59" s="27"/>
      <c r="K59" s="27"/>
    </row>
    <row r="60" spans="1:11" ht="14">
      <c r="A60" s="27"/>
      <c r="D60" s="27"/>
      <c r="E60" s="27"/>
      <c r="F60" s="27"/>
      <c r="G60" s="27"/>
      <c r="H60" s="27"/>
      <c r="I60" s="27"/>
      <c r="J60" s="27"/>
      <c r="K60" s="27"/>
    </row>
    <row r="61" spans="1:11" ht="14">
      <c r="A61" s="27"/>
      <c r="D61" s="27"/>
      <c r="E61" s="27"/>
      <c r="F61" s="27"/>
      <c r="G61" s="27"/>
      <c r="H61" s="27"/>
      <c r="I61" s="27"/>
      <c r="J61" s="27"/>
      <c r="K61" s="27"/>
    </row>
    <row r="62" spans="1:11" ht="14">
      <c r="A62" s="27"/>
      <c r="D62" s="27"/>
      <c r="E62" s="27"/>
      <c r="F62" s="27"/>
      <c r="G62" s="27"/>
      <c r="H62" s="27"/>
      <c r="I62" s="27"/>
      <c r="J62" s="27"/>
      <c r="K62" s="27"/>
    </row>
    <row r="63" spans="1:11" ht="14">
      <c r="A63" s="27"/>
      <c r="D63" s="27"/>
      <c r="E63" s="27"/>
      <c r="F63" s="27"/>
      <c r="G63" s="27"/>
      <c r="H63" s="27"/>
      <c r="I63" s="27"/>
      <c r="J63" s="27"/>
      <c r="K63" s="27"/>
    </row>
    <row r="64" spans="1:11" ht="14">
      <c r="A64" s="27"/>
      <c r="D64" s="27"/>
      <c r="E64" s="27"/>
      <c r="F64" s="27"/>
      <c r="G64" s="27"/>
      <c r="H64" s="27"/>
      <c r="I64" s="27"/>
      <c r="J64" s="27"/>
      <c r="K64" s="27"/>
    </row>
    <row r="65" spans="1:24" ht="14">
      <c r="A65" s="27"/>
      <c r="D65" s="27"/>
      <c r="E65" s="27"/>
      <c r="F65" s="27"/>
      <c r="G65" s="27"/>
      <c r="H65" s="27"/>
      <c r="I65" s="27"/>
      <c r="J65" s="27"/>
      <c r="K65" s="27"/>
    </row>
    <row r="66" spans="1:24" ht="14">
      <c r="A66" s="27"/>
      <c r="D66" s="27"/>
      <c r="E66" s="27"/>
      <c r="F66" s="27"/>
      <c r="G66" s="27"/>
      <c r="H66" s="27"/>
      <c r="I66" s="27"/>
      <c r="J66" s="27"/>
      <c r="K66" s="27"/>
    </row>
    <row r="67" spans="1:24" ht="14">
      <c r="A67" s="27"/>
      <c r="D67" s="27"/>
      <c r="E67" s="27"/>
      <c r="F67" s="27"/>
      <c r="G67" s="27"/>
      <c r="H67" s="27"/>
      <c r="I67" s="27"/>
      <c r="J67" s="27"/>
      <c r="K67" s="27"/>
    </row>
    <row r="68" spans="1:24" ht="14">
      <c r="A68" s="27"/>
      <c r="N68" s="27"/>
      <c r="V68" s="100">
        <v>0.17399999999999999</v>
      </c>
      <c r="W68" s="98">
        <v>4</v>
      </c>
      <c r="X68" s="140"/>
    </row>
    <row r="69" spans="1:24" ht="14">
      <c r="A69" s="27" t="s">
        <v>943</v>
      </c>
      <c r="C69" s="27" t="s">
        <v>942</v>
      </c>
      <c r="E69" s="27" t="s">
        <v>941</v>
      </c>
      <c r="F69" s="27" t="s">
        <v>940</v>
      </c>
      <c r="G69" s="27" t="s">
        <v>939</v>
      </c>
      <c r="H69" s="27" t="s">
        <v>938</v>
      </c>
      <c r="K69" s="27" t="s">
        <v>937</v>
      </c>
      <c r="L69" s="27" t="s">
        <v>936</v>
      </c>
      <c r="M69" s="27" t="s">
        <v>935</v>
      </c>
      <c r="N69" s="27"/>
      <c r="V69" s="100">
        <v>0</v>
      </c>
      <c r="W69" s="98">
        <v>1</v>
      </c>
      <c r="X69" s="141"/>
    </row>
    <row r="70" spans="1:24" ht="14">
      <c r="A70" s="27"/>
      <c r="D70" s="27" t="s">
        <v>664</v>
      </c>
      <c r="E70" s="27">
        <v>0.38900000000000001</v>
      </c>
      <c r="F70" s="27">
        <v>7.0000000000000001E-3</v>
      </c>
      <c r="G70" s="27">
        <v>0.35299999999999998</v>
      </c>
      <c r="H70" s="27">
        <v>4.0000000000000001E-3</v>
      </c>
      <c r="K70" s="25">
        <v>19706.087</v>
      </c>
      <c r="L70" s="25">
        <v>658.846</v>
      </c>
      <c r="M70" s="27">
        <f>K70+L70</f>
        <v>20364.933000000001</v>
      </c>
      <c r="N70" s="27"/>
      <c r="V70" s="100">
        <v>0.82599999999999996</v>
      </c>
      <c r="W70" s="98">
        <v>25</v>
      </c>
      <c r="X70" s="141"/>
    </row>
    <row r="71" spans="1:24" ht="14">
      <c r="A71" s="27"/>
      <c r="D71" s="27" t="s">
        <v>663</v>
      </c>
      <c r="E71" s="27">
        <v>0.25700000000000001</v>
      </c>
      <c r="F71" s="27">
        <v>5.0000000000000001E-3</v>
      </c>
      <c r="G71" s="27">
        <v>0.23599999999999999</v>
      </c>
      <c r="H71" s="27">
        <v>3.0000000000000001E-3</v>
      </c>
      <c r="K71" s="27"/>
      <c r="L71" s="27"/>
      <c r="N71" s="27"/>
      <c r="V71" s="99">
        <v>23</v>
      </c>
      <c r="W71" s="98">
        <v>30</v>
      </c>
      <c r="X71" s="142"/>
    </row>
    <row r="72" spans="1:24" ht="14">
      <c r="A72" s="27"/>
      <c r="D72" s="27" t="s">
        <v>932</v>
      </c>
      <c r="E72" s="27">
        <v>0.35399999999999998</v>
      </c>
      <c r="F72" s="27">
        <v>3.0000000000000001E-3</v>
      </c>
      <c r="G72" s="27">
        <v>0.34799999999999998</v>
      </c>
      <c r="H72" s="27">
        <v>2E-3</v>
      </c>
      <c r="K72" s="27"/>
      <c r="L72" s="27"/>
      <c r="N72" s="27"/>
      <c r="O72" s="27"/>
      <c r="P72" s="27"/>
      <c r="Q72" s="27"/>
      <c r="R72" s="27"/>
      <c r="S72" s="27"/>
      <c r="T72" s="27"/>
      <c r="U72" s="27"/>
    </row>
    <row r="73" spans="1:24" ht="14">
      <c r="A73" s="27"/>
      <c r="D73" s="27" t="s">
        <v>931</v>
      </c>
      <c r="E73" s="27">
        <v>0.21</v>
      </c>
      <c r="F73" s="27">
        <v>0.03</v>
      </c>
      <c r="G73" s="27">
        <v>0.13700000000000001</v>
      </c>
      <c r="H73" s="27">
        <v>8.0000000000000002E-3</v>
      </c>
      <c r="K73" s="27"/>
      <c r="L73" s="27"/>
      <c r="N73" s="27"/>
      <c r="O73" s="27"/>
      <c r="P73" s="27"/>
      <c r="Q73" s="27"/>
      <c r="R73" s="27"/>
      <c r="S73" s="27"/>
      <c r="T73" s="27"/>
      <c r="U73" s="27"/>
    </row>
    <row r="74" spans="1:24" ht="14">
      <c r="A74" s="27"/>
      <c r="D74" s="27"/>
      <c r="E74" s="27"/>
      <c r="F74" s="27"/>
      <c r="G74" s="27"/>
      <c r="H74" s="27"/>
      <c r="J74" s="27"/>
      <c r="K74" s="27"/>
      <c r="N74" s="27"/>
      <c r="O74" s="27"/>
      <c r="P74" s="27"/>
      <c r="Q74" s="27"/>
      <c r="R74" s="27"/>
      <c r="S74" s="27"/>
      <c r="T74" s="27"/>
      <c r="U74" s="27"/>
    </row>
    <row r="75" spans="1:24" ht="14">
      <c r="A75" s="27"/>
      <c r="C75" s="27" t="s">
        <v>213</v>
      </c>
      <c r="D75" s="27" t="s">
        <v>664</v>
      </c>
      <c r="E75" s="26">
        <v>0.36699999999999999</v>
      </c>
      <c r="F75" s="26">
        <v>8.0000000000000002E-3</v>
      </c>
      <c r="G75" s="26">
        <v>0.37</v>
      </c>
      <c r="H75" s="26">
        <v>4.0000000000000001E-3</v>
      </c>
      <c r="K75" s="26">
        <v>13156.66</v>
      </c>
      <c r="L75" s="26">
        <v>495.62599999999998</v>
      </c>
      <c r="M75" s="27">
        <f>K75+L75</f>
        <v>13652.286</v>
      </c>
      <c r="N75" s="27"/>
      <c r="O75" s="27"/>
      <c r="P75" s="27"/>
      <c r="Q75" s="27"/>
      <c r="R75" s="27"/>
      <c r="S75" s="27"/>
      <c r="T75" s="27"/>
      <c r="U75" s="27"/>
    </row>
    <row r="76" spans="1:24" ht="14">
      <c r="A76" s="27"/>
      <c r="D76" s="27" t="s">
        <v>663</v>
      </c>
      <c r="E76" s="26">
        <v>0.23499999999999999</v>
      </c>
      <c r="F76" s="26">
        <v>7.0000000000000001E-3</v>
      </c>
      <c r="G76" s="26">
        <v>0.23300000000000001</v>
      </c>
      <c r="H76" s="26">
        <v>4.0000000000000001E-3</v>
      </c>
      <c r="K76" s="27"/>
      <c r="L76" s="27"/>
      <c r="N76" s="27"/>
      <c r="O76" s="27"/>
      <c r="P76" s="27"/>
      <c r="Q76" s="27"/>
      <c r="R76" s="27"/>
      <c r="S76" s="27"/>
      <c r="T76" s="27"/>
      <c r="U76" s="27"/>
    </row>
    <row r="77" spans="1:24" ht="14">
      <c r="A77" s="27"/>
      <c r="D77" s="27" t="s">
        <v>932</v>
      </c>
      <c r="E77" s="26">
        <v>0.34200000000000003</v>
      </c>
      <c r="F77" s="26">
        <v>3.0000000000000001E-3</v>
      </c>
      <c r="G77" s="26">
        <v>0.34399999999999997</v>
      </c>
      <c r="H77" s="26">
        <v>2E-3</v>
      </c>
      <c r="K77" s="27"/>
      <c r="L77" s="27"/>
      <c r="N77" s="27"/>
      <c r="O77" s="27"/>
      <c r="P77" s="27"/>
      <c r="Q77" s="27"/>
      <c r="R77" s="27"/>
      <c r="S77" s="27"/>
      <c r="T77" s="27"/>
      <c r="U77" s="27"/>
    </row>
    <row r="78" spans="1:24" ht="14">
      <c r="A78" s="27"/>
      <c r="D78" s="27" t="s">
        <v>931</v>
      </c>
      <c r="E78" s="26">
        <v>0.20899999999999999</v>
      </c>
      <c r="F78" s="26">
        <v>3.5000000000000003E-2</v>
      </c>
      <c r="G78" s="26">
        <v>0.16500000000000001</v>
      </c>
      <c r="H78" s="26">
        <v>1.6E-2</v>
      </c>
      <c r="K78" s="27"/>
      <c r="L78" s="27"/>
      <c r="N78" s="27"/>
      <c r="O78" s="27"/>
      <c r="P78" s="27"/>
      <c r="Q78" s="27"/>
      <c r="R78" s="27"/>
      <c r="S78" s="27"/>
      <c r="T78" s="27"/>
      <c r="U78" s="27"/>
    </row>
    <row r="79" spans="1:24" ht="14">
      <c r="A79" s="27"/>
      <c r="C79" s="27"/>
      <c r="D79" s="27"/>
      <c r="E79" s="27"/>
      <c r="F79" s="27"/>
      <c r="G79" s="27"/>
      <c r="H79" s="27"/>
      <c r="K79" s="27"/>
      <c r="L79" s="27"/>
      <c r="N79" s="27"/>
      <c r="O79" s="27"/>
      <c r="P79" s="27"/>
      <c r="Q79" s="27"/>
      <c r="R79" s="27"/>
      <c r="S79" s="27"/>
      <c r="T79" s="27"/>
      <c r="U79" s="27"/>
    </row>
    <row r="80" spans="1:24" ht="14">
      <c r="A80" s="27"/>
      <c r="C80" s="27" t="s">
        <v>934</v>
      </c>
      <c r="D80" s="27" t="s">
        <v>664</v>
      </c>
      <c r="E80" s="26">
        <v>0.33500000000000002</v>
      </c>
      <c r="F80" s="26">
        <v>5.5E-2</v>
      </c>
      <c r="G80" s="26">
        <v>0.3</v>
      </c>
      <c r="H80" s="26">
        <v>8.9999999999999993E-3</v>
      </c>
      <c r="K80" s="26">
        <v>2165.893</v>
      </c>
      <c r="L80" s="26">
        <v>198.779</v>
      </c>
      <c r="M80" s="27">
        <f>K80+L80</f>
        <v>2364.672</v>
      </c>
      <c r="N80" s="27"/>
      <c r="O80" s="27"/>
      <c r="P80" s="27"/>
      <c r="Q80" s="27"/>
      <c r="R80" s="27"/>
      <c r="S80" s="27"/>
      <c r="T80" s="27"/>
      <c r="U80" s="27"/>
    </row>
    <row r="81" spans="1:21" ht="14">
      <c r="A81" s="27"/>
      <c r="C81" s="27"/>
      <c r="D81" s="27" t="s">
        <v>663</v>
      </c>
      <c r="E81" s="26">
        <v>0.309</v>
      </c>
      <c r="F81" s="26">
        <v>3.7999999999999999E-2</v>
      </c>
      <c r="G81" s="26">
        <v>0.23</v>
      </c>
      <c r="H81" s="26">
        <v>5.0000000000000001E-3</v>
      </c>
      <c r="K81" s="27"/>
      <c r="L81" s="27"/>
      <c r="N81" s="27"/>
      <c r="O81" s="27"/>
      <c r="P81" s="27"/>
      <c r="Q81" s="27"/>
      <c r="R81" s="27"/>
      <c r="S81" s="27"/>
      <c r="T81" s="27"/>
      <c r="U81" s="27"/>
    </row>
    <row r="82" spans="1:21" ht="14">
      <c r="A82" s="27"/>
      <c r="C82" s="27"/>
      <c r="D82" s="27" t="s">
        <v>932</v>
      </c>
      <c r="E82" s="26">
        <v>0.376</v>
      </c>
      <c r="F82" s="26">
        <v>1.6E-2</v>
      </c>
      <c r="G82" s="26">
        <v>0.34799999999999998</v>
      </c>
      <c r="H82" s="26">
        <v>5.0000000000000001E-3</v>
      </c>
      <c r="K82" s="27"/>
      <c r="L82" s="27"/>
      <c r="N82" s="27"/>
      <c r="O82" s="27"/>
      <c r="P82" s="27"/>
      <c r="Q82" s="27"/>
      <c r="R82" s="27"/>
      <c r="S82" s="27"/>
      <c r="T82" s="27"/>
      <c r="U82" s="27"/>
    </row>
    <row r="83" spans="1:21" ht="14">
      <c r="A83" s="27"/>
      <c r="C83" s="27"/>
      <c r="D83" s="27" t="s">
        <v>931</v>
      </c>
      <c r="E83" s="27" t="s">
        <v>933</v>
      </c>
      <c r="F83" s="27" t="s">
        <v>933</v>
      </c>
      <c r="G83" s="27">
        <v>0.14499999999999999</v>
      </c>
      <c r="H83" s="27">
        <v>2.5000000000000001E-2</v>
      </c>
      <c r="K83" s="27"/>
      <c r="L83" s="27"/>
      <c r="N83" s="27"/>
      <c r="O83" s="27"/>
      <c r="P83" s="27"/>
      <c r="Q83" s="27"/>
      <c r="R83" s="27"/>
      <c r="S83" s="27"/>
      <c r="T83" s="27"/>
      <c r="U83" s="27"/>
    </row>
    <row r="84" spans="1:21" ht="14">
      <c r="A84" s="27"/>
      <c r="S84" s="27"/>
      <c r="T84" s="27"/>
      <c r="U84" s="27"/>
    </row>
    <row r="85" spans="1:21" ht="14">
      <c r="A85" s="27"/>
      <c r="C85" s="27" t="s">
        <v>171</v>
      </c>
      <c r="D85" s="27" t="s">
        <v>664</v>
      </c>
      <c r="E85" s="26">
        <v>0.45800000000000002</v>
      </c>
      <c r="F85" s="26">
        <v>1.0999999999999999E-2</v>
      </c>
      <c r="G85" s="26">
        <v>0.438</v>
      </c>
      <c r="H85" s="26">
        <v>1.4E-2</v>
      </c>
      <c r="K85" s="26">
        <v>4770.8829999999998</v>
      </c>
      <c r="L85" s="26">
        <v>195.95</v>
      </c>
      <c r="M85" s="27">
        <f>K85+L85</f>
        <v>4966.8329999999996</v>
      </c>
      <c r="S85" s="27"/>
      <c r="T85" s="27"/>
      <c r="U85" s="27"/>
    </row>
    <row r="86" spans="1:21" ht="14">
      <c r="A86" s="27"/>
      <c r="D86" s="27" t="s">
        <v>663</v>
      </c>
      <c r="E86" s="26">
        <v>0.315</v>
      </c>
      <c r="F86" s="26">
        <v>8.0000000000000002E-3</v>
      </c>
      <c r="G86" s="26">
        <v>0.27500000000000002</v>
      </c>
      <c r="H86" s="26">
        <v>1.0999999999999999E-2</v>
      </c>
      <c r="J86" s="27"/>
      <c r="S86" s="27"/>
      <c r="T86" s="27"/>
      <c r="U86" s="27"/>
    </row>
    <row r="87" spans="1:21" ht="14">
      <c r="A87" s="27"/>
      <c r="D87" s="27" t="s">
        <v>932</v>
      </c>
      <c r="E87" s="26">
        <v>0.39</v>
      </c>
      <c r="F87" s="26">
        <v>6.0000000000000001E-3</v>
      </c>
      <c r="G87" s="26">
        <v>0.38200000000000001</v>
      </c>
      <c r="H87" s="26">
        <v>7.0000000000000001E-3</v>
      </c>
      <c r="J87" s="27"/>
      <c r="S87" s="27"/>
      <c r="T87" s="27"/>
      <c r="U87" s="27"/>
    </row>
    <row r="88" spans="1:21" ht="14">
      <c r="A88" s="27"/>
      <c r="D88" s="27" t="s">
        <v>931</v>
      </c>
      <c r="E88" s="26">
        <v>0.28399999999999997</v>
      </c>
      <c r="F88" s="26">
        <v>0.04</v>
      </c>
      <c r="G88" s="26">
        <v>0.29899999999999999</v>
      </c>
      <c r="H88" s="26">
        <v>2.9000000000000001E-2</v>
      </c>
      <c r="J88" s="27"/>
      <c r="S88" s="27"/>
      <c r="T88" s="27"/>
      <c r="U88" s="27"/>
    </row>
    <row r="89" spans="1:21" ht="14">
      <c r="A89" s="27"/>
      <c r="J89" s="27"/>
      <c r="S89" s="27"/>
      <c r="T89" s="27"/>
      <c r="U89" s="27"/>
    </row>
    <row r="90" spans="1:21" ht="14">
      <c r="A90" s="27"/>
      <c r="D90" s="27"/>
      <c r="E90" s="27"/>
      <c r="F90" s="27"/>
      <c r="G90" s="27"/>
      <c r="H90" s="27"/>
      <c r="I90" s="27"/>
      <c r="J90" s="27"/>
      <c r="S90" s="27"/>
      <c r="T90" s="27"/>
      <c r="U90" s="27"/>
    </row>
    <row r="91" spans="1:21" ht="14">
      <c r="A91" s="27" t="s">
        <v>930</v>
      </c>
      <c r="D91" s="27" t="s">
        <v>929</v>
      </c>
      <c r="E91" s="27" t="s">
        <v>928</v>
      </c>
      <c r="F91" s="27" t="s">
        <v>927</v>
      </c>
      <c r="G91" s="27" t="s">
        <v>612</v>
      </c>
      <c r="M91" s="27" t="s">
        <v>928</v>
      </c>
      <c r="N91" s="27" t="s">
        <v>927</v>
      </c>
      <c r="S91" s="27"/>
      <c r="T91" s="27"/>
      <c r="U91" s="27"/>
    </row>
    <row r="92" spans="1:21" ht="14">
      <c r="A92" s="27"/>
      <c r="D92" s="27" t="s">
        <v>926</v>
      </c>
      <c r="E92" s="27">
        <v>0.21199999999999999</v>
      </c>
      <c r="F92" s="27">
        <v>0.21199999999999999</v>
      </c>
      <c r="G92" s="27">
        <v>181</v>
      </c>
      <c r="I92" s="27">
        <f>E92*$E$95</f>
        <v>61.903999999999996</v>
      </c>
      <c r="J92" s="27">
        <f>F92*$F$95</f>
        <v>118.72</v>
      </c>
      <c r="S92" s="27"/>
      <c r="T92" s="27"/>
      <c r="U92" s="27"/>
    </row>
    <row r="93" spans="1:21" ht="14">
      <c r="A93" s="27"/>
      <c r="D93" s="27" t="s">
        <v>925</v>
      </c>
      <c r="E93" s="27">
        <v>0.113</v>
      </c>
      <c r="F93" s="27">
        <v>0.111</v>
      </c>
      <c r="G93" s="27">
        <v>95</v>
      </c>
      <c r="I93" s="27">
        <f>E93*$E$95</f>
        <v>32.996000000000002</v>
      </c>
      <c r="J93" s="27">
        <f>F93*$F$95</f>
        <v>62.160000000000004</v>
      </c>
      <c r="L93" s="27" t="s">
        <v>924</v>
      </c>
      <c r="M93" s="26">
        <f>I93+I92</f>
        <v>94.9</v>
      </c>
      <c r="N93" s="26">
        <f>J93+J92</f>
        <v>180.88</v>
      </c>
      <c r="S93" s="27"/>
      <c r="T93" s="27"/>
      <c r="U93" s="27"/>
    </row>
    <row r="94" spans="1:21" ht="14">
      <c r="A94" s="27"/>
      <c r="D94" s="27" t="s">
        <v>923</v>
      </c>
      <c r="E94" s="27">
        <v>0.67500000000000004</v>
      </c>
      <c r="F94" s="27">
        <v>0.67700000000000005</v>
      </c>
      <c r="G94" s="27">
        <v>576</v>
      </c>
      <c r="I94" s="27">
        <f>E94*$E$95</f>
        <v>197.10000000000002</v>
      </c>
      <c r="J94" s="27">
        <f>F94*$F$95</f>
        <v>379.12</v>
      </c>
      <c r="L94" s="27" t="s">
        <v>922</v>
      </c>
      <c r="M94" s="26">
        <f>I94+I93</f>
        <v>230.09600000000003</v>
      </c>
      <c r="N94" s="26">
        <f>J94+J93</f>
        <v>441.28000000000003</v>
      </c>
      <c r="S94" s="27"/>
      <c r="T94" s="27"/>
      <c r="U94" s="27"/>
    </row>
    <row r="95" spans="1:21" ht="14">
      <c r="A95" s="27"/>
      <c r="D95" s="27" t="s">
        <v>679</v>
      </c>
      <c r="E95" s="27">
        <v>292</v>
      </c>
      <c r="F95" s="27">
        <v>560</v>
      </c>
      <c r="G95" s="27">
        <v>852</v>
      </c>
      <c r="I95" s="27">
        <f>SUM(I92:I94)</f>
        <v>292</v>
      </c>
      <c r="J95" s="27">
        <f>SUM(J92:J94)</f>
        <v>560</v>
      </c>
      <c r="S95" s="27"/>
      <c r="T95" s="27"/>
      <c r="U95" s="27"/>
    </row>
    <row r="96" spans="1:21" ht="14">
      <c r="A96" s="27"/>
      <c r="D96" s="27"/>
      <c r="E96" s="27"/>
      <c r="F96" s="27"/>
      <c r="G96" s="27"/>
      <c r="H96" s="27"/>
      <c r="I96" s="27"/>
      <c r="J96" s="27"/>
      <c r="S96" s="27"/>
      <c r="T96" s="27"/>
      <c r="U96" s="27"/>
    </row>
    <row r="97" spans="1:23" ht="14">
      <c r="A97" s="27"/>
      <c r="C97" s="27" t="s">
        <v>614</v>
      </c>
      <c r="D97" s="27"/>
      <c r="E97" s="27" t="s">
        <v>613</v>
      </c>
      <c r="F97" s="27"/>
      <c r="G97" s="27"/>
      <c r="H97" s="27"/>
      <c r="I97" s="27" t="s">
        <v>614</v>
      </c>
      <c r="J97" s="27"/>
      <c r="K97" s="27" t="s">
        <v>613</v>
      </c>
      <c r="S97" s="27"/>
      <c r="T97" s="27"/>
      <c r="U97" s="27"/>
    </row>
    <row r="98" spans="1:23" ht="14">
      <c r="A98" s="27"/>
      <c r="B98" s="27" t="s">
        <v>921</v>
      </c>
      <c r="C98" s="27" t="s">
        <v>699</v>
      </c>
      <c r="D98" s="27" t="s">
        <v>698</v>
      </c>
      <c r="E98" s="27" t="s">
        <v>699</v>
      </c>
      <c r="F98" s="27" t="s">
        <v>698</v>
      </c>
      <c r="G98" s="27" t="s">
        <v>679</v>
      </c>
      <c r="H98" s="27" t="s">
        <v>920</v>
      </c>
      <c r="I98" s="27" t="s">
        <v>699</v>
      </c>
      <c r="J98" s="27" t="s">
        <v>698</v>
      </c>
      <c r="K98" s="27" t="s">
        <v>699</v>
      </c>
      <c r="L98" s="27" t="s">
        <v>698</v>
      </c>
      <c r="M98" s="27" t="s">
        <v>679</v>
      </c>
      <c r="S98" s="27"/>
      <c r="T98" s="27"/>
      <c r="U98" s="27"/>
    </row>
    <row r="99" spans="1:23" ht="14">
      <c r="A99" s="27"/>
      <c r="C99" s="36">
        <v>779.1</v>
      </c>
      <c r="D99" s="97">
        <v>177.5</v>
      </c>
      <c r="E99" s="97">
        <v>1015.8</v>
      </c>
      <c r="F99" s="96">
        <v>140.4</v>
      </c>
      <c r="G99" s="27"/>
      <c r="H99" s="27"/>
      <c r="I99" s="36">
        <v>378.8</v>
      </c>
      <c r="J99" s="96">
        <v>88</v>
      </c>
      <c r="K99" s="96">
        <v>511.4</v>
      </c>
      <c r="L99" s="96">
        <v>86</v>
      </c>
      <c r="S99" s="27"/>
      <c r="T99" s="27"/>
      <c r="U99" s="27"/>
    </row>
    <row r="100" spans="1:23" ht="14">
      <c r="A100" s="27"/>
      <c r="B100" s="27" t="s">
        <v>619</v>
      </c>
      <c r="C100" s="36">
        <v>231</v>
      </c>
      <c r="D100" s="97">
        <v>57</v>
      </c>
      <c r="E100" s="97">
        <v>268.2</v>
      </c>
      <c r="F100" s="96">
        <v>42.9</v>
      </c>
      <c r="G100" s="27"/>
      <c r="H100" s="27" t="s">
        <v>619</v>
      </c>
      <c r="I100" s="36">
        <v>103.4</v>
      </c>
      <c r="J100" s="96">
        <v>36.200000000000003</v>
      </c>
      <c r="K100" s="96">
        <v>119.3</v>
      </c>
      <c r="L100" s="96">
        <v>21.4</v>
      </c>
      <c r="M100" s="27">
        <v>3877</v>
      </c>
      <c r="N100" s="27">
        <f>I100*M100</f>
        <v>400881.80000000005</v>
      </c>
      <c r="S100" s="27"/>
      <c r="T100" s="27"/>
      <c r="U100" s="27"/>
    </row>
    <row r="101" spans="1:23" ht="14">
      <c r="A101" s="27"/>
      <c r="B101" s="27" t="s">
        <v>618</v>
      </c>
      <c r="C101" s="36">
        <v>548.1</v>
      </c>
      <c r="D101" s="97">
        <v>124.4</v>
      </c>
      <c r="E101" s="97">
        <v>747.6</v>
      </c>
      <c r="F101" s="96">
        <v>104.3</v>
      </c>
      <c r="G101" s="27"/>
      <c r="H101" s="27" t="s">
        <v>618</v>
      </c>
      <c r="I101" s="36">
        <v>275.39999999999998</v>
      </c>
      <c r="J101" s="96">
        <v>55.4</v>
      </c>
      <c r="K101" s="96">
        <v>392.1</v>
      </c>
      <c r="L101" s="96">
        <v>68.599999999999994</v>
      </c>
      <c r="M101" s="27">
        <v>11617</v>
      </c>
      <c r="S101" s="27"/>
      <c r="T101" s="27"/>
      <c r="U101" s="27"/>
    </row>
    <row r="102" spans="1:23" ht="14">
      <c r="A102" s="27"/>
      <c r="D102" s="27"/>
      <c r="E102" s="27"/>
      <c r="F102" s="27"/>
      <c r="G102" s="27"/>
      <c r="H102" s="27"/>
      <c r="I102" s="27"/>
      <c r="J102" s="27"/>
      <c r="S102" s="27"/>
      <c r="T102" s="27"/>
      <c r="U102" s="27"/>
    </row>
    <row r="103" spans="1:23" ht="14">
      <c r="A103" s="27"/>
      <c r="B103" s="27" t="s">
        <v>919</v>
      </c>
      <c r="D103" s="27"/>
      <c r="E103" s="27"/>
      <c r="F103" s="27"/>
      <c r="G103" s="27"/>
      <c r="H103" s="27" t="s">
        <v>918</v>
      </c>
      <c r="I103" s="27"/>
      <c r="J103" s="27"/>
      <c r="S103" s="27"/>
      <c r="T103" s="27"/>
      <c r="U103" s="27"/>
    </row>
    <row r="104" spans="1:23" ht="14">
      <c r="A104" s="27"/>
      <c r="B104" s="27" t="s">
        <v>619</v>
      </c>
      <c r="C104" s="26">
        <f>C100*14</f>
        <v>3234</v>
      </c>
      <c r="D104" s="27"/>
      <c r="E104" s="26">
        <f>E100*10</f>
        <v>2682</v>
      </c>
      <c r="F104" s="27"/>
      <c r="G104" s="27"/>
      <c r="H104" s="27" t="s">
        <v>619</v>
      </c>
      <c r="I104" s="27">
        <f>I100*14</f>
        <v>1447.6000000000001</v>
      </c>
      <c r="J104" s="27"/>
      <c r="K104" s="27">
        <f>K100*10</f>
        <v>1193</v>
      </c>
      <c r="S104" s="27"/>
      <c r="T104" s="27"/>
      <c r="U104" s="27"/>
    </row>
    <row r="105" spans="1:23" ht="14">
      <c r="A105" s="27"/>
      <c r="B105" s="27" t="s">
        <v>618</v>
      </c>
      <c r="C105" s="26">
        <f>C101*14</f>
        <v>7673.4000000000005</v>
      </c>
      <c r="D105" s="27"/>
      <c r="E105" s="26">
        <f>E101*10</f>
        <v>7476</v>
      </c>
      <c r="F105" s="27"/>
      <c r="G105" s="27"/>
      <c r="H105" s="27" t="s">
        <v>618</v>
      </c>
      <c r="I105" s="27">
        <f>I101*14</f>
        <v>3855.5999999999995</v>
      </c>
      <c r="J105" s="27"/>
      <c r="K105" s="27">
        <f>K101*10</f>
        <v>3921</v>
      </c>
      <c r="S105" s="27"/>
      <c r="T105" s="27"/>
      <c r="U105" s="27"/>
    </row>
    <row r="106" spans="1:23" ht="14">
      <c r="A106" s="27" t="s">
        <v>917</v>
      </c>
      <c r="D106" s="27"/>
      <c r="H106" s="27"/>
      <c r="J106" s="27"/>
      <c r="K106" s="27"/>
      <c r="N106" s="143" t="s">
        <v>797</v>
      </c>
      <c r="O106" s="144"/>
      <c r="P106" s="144"/>
      <c r="Q106" s="144"/>
      <c r="R106" s="143" t="s">
        <v>916</v>
      </c>
      <c r="S106" s="144"/>
      <c r="T106" s="144"/>
      <c r="U106" s="144"/>
    </row>
    <row r="107" spans="1:23" ht="14">
      <c r="C107" s="27" t="s">
        <v>915</v>
      </c>
      <c r="D107" s="27" t="s">
        <v>679</v>
      </c>
      <c r="E107" s="27" t="s">
        <v>914</v>
      </c>
      <c r="F107" s="27" t="s">
        <v>913</v>
      </c>
      <c r="G107" s="27" t="s">
        <v>912</v>
      </c>
      <c r="H107" s="27" t="s">
        <v>679</v>
      </c>
      <c r="I107" s="27" t="s">
        <v>914</v>
      </c>
      <c r="J107" s="27" t="s">
        <v>913</v>
      </c>
      <c r="K107" s="27" t="s">
        <v>912</v>
      </c>
      <c r="N107" s="27" t="s">
        <v>914</v>
      </c>
      <c r="O107" s="27" t="s">
        <v>913</v>
      </c>
      <c r="P107" s="27" t="s">
        <v>912</v>
      </c>
      <c r="R107" s="27" t="s">
        <v>914</v>
      </c>
      <c r="S107" s="27" t="s">
        <v>913</v>
      </c>
      <c r="T107" s="27" t="s">
        <v>912</v>
      </c>
    </row>
    <row r="108" spans="1:23" ht="14">
      <c r="C108" s="27" t="s">
        <v>911</v>
      </c>
      <c r="D108" s="27">
        <v>1811</v>
      </c>
      <c r="E108" s="27">
        <v>0.44</v>
      </c>
      <c r="F108" s="27">
        <v>0.42</v>
      </c>
      <c r="G108" s="27">
        <v>0.37</v>
      </c>
      <c r="H108" s="27">
        <v>72</v>
      </c>
      <c r="I108" s="27">
        <v>0.46</v>
      </c>
      <c r="J108" s="27">
        <v>0.41</v>
      </c>
      <c r="K108" s="27">
        <v>0.31</v>
      </c>
      <c r="N108" s="27">
        <f t="shared" ref="N108:N119" si="8">D108*E108</f>
        <v>796.84</v>
      </c>
      <c r="O108" s="27">
        <f t="shared" ref="O108:O119" si="9">D108*F108</f>
        <v>760.62</v>
      </c>
      <c r="P108" s="27">
        <f t="shared" ref="P108:P119" si="10">D108*G108</f>
        <v>670.06999999999994</v>
      </c>
      <c r="R108" s="27">
        <f t="shared" ref="R108:R119" si="11">H108*I108</f>
        <v>33.120000000000005</v>
      </c>
      <c r="S108" s="27">
        <f t="shared" ref="S108:S119" si="12">H108*J108</f>
        <v>29.52</v>
      </c>
      <c r="T108" s="27">
        <f t="shared" ref="T108:T119" si="13">H108*K108</f>
        <v>22.32</v>
      </c>
    </row>
    <row r="109" spans="1:23" ht="14">
      <c r="C109" s="27" t="s">
        <v>910</v>
      </c>
      <c r="D109" s="27">
        <v>1283</v>
      </c>
      <c r="E109" s="27">
        <v>0.32</v>
      </c>
      <c r="F109" s="27">
        <v>0.3</v>
      </c>
      <c r="G109" s="27">
        <v>0.22</v>
      </c>
      <c r="H109" s="27">
        <v>54</v>
      </c>
      <c r="I109" s="27">
        <v>0.31</v>
      </c>
      <c r="J109" s="27">
        <v>0.25</v>
      </c>
      <c r="K109" s="27">
        <v>0.13</v>
      </c>
      <c r="N109" s="27">
        <f t="shared" si="8"/>
        <v>410.56</v>
      </c>
      <c r="O109" s="27">
        <f t="shared" si="9"/>
        <v>384.9</v>
      </c>
      <c r="P109" s="27">
        <f t="shared" si="10"/>
        <v>282.26</v>
      </c>
      <c r="R109" s="27">
        <f t="shared" si="11"/>
        <v>16.739999999999998</v>
      </c>
      <c r="S109" s="27">
        <f t="shared" si="12"/>
        <v>13.5</v>
      </c>
      <c r="T109" s="27">
        <f t="shared" si="13"/>
        <v>7.0200000000000005</v>
      </c>
    </row>
    <row r="110" spans="1:23" ht="14">
      <c r="C110" s="27" t="s">
        <v>909</v>
      </c>
      <c r="D110" s="27">
        <v>7142</v>
      </c>
      <c r="E110" s="27">
        <v>0.41</v>
      </c>
      <c r="F110" s="27">
        <v>0.42</v>
      </c>
      <c r="G110" s="27">
        <v>0.39</v>
      </c>
      <c r="H110" s="27">
        <v>194</v>
      </c>
      <c r="I110" s="27">
        <v>0.31</v>
      </c>
      <c r="J110" s="27">
        <v>0.37</v>
      </c>
      <c r="K110" s="27">
        <v>0.35</v>
      </c>
      <c r="N110" s="27">
        <f t="shared" si="8"/>
        <v>2928.22</v>
      </c>
      <c r="O110" s="27">
        <f t="shared" si="9"/>
        <v>2999.64</v>
      </c>
      <c r="P110" s="27">
        <f t="shared" si="10"/>
        <v>2785.38</v>
      </c>
      <c r="R110" s="27">
        <f t="shared" si="11"/>
        <v>60.14</v>
      </c>
      <c r="S110" s="27">
        <f t="shared" si="12"/>
        <v>71.78</v>
      </c>
      <c r="T110" s="27">
        <f t="shared" si="13"/>
        <v>67.899999999999991</v>
      </c>
    </row>
    <row r="111" spans="1:23" ht="14">
      <c r="C111" s="27" t="s">
        <v>908</v>
      </c>
      <c r="D111" s="27">
        <v>1404</v>
      </c>
      <c r="E111" s="27">
        <v>0.45</v>
      </c>
      <c r="F111" s="27">
        <v>0.42</v>
      </c>
      <c r="G111" s="27">
        <v>0.34</v>
      </c>
      <c r="H111" s="27">
        <v>44</v>
      </c>
      <c r="I111" s="27">
        <v>0.2</v>
      </c>
      <c r="J111" s="27">
        <v>0.32</v>
      </c>
      <c r="K111" s="27">
        <v>0.34</v>
      </c>
      <c r="N111" s="27">
        <f t="shared" si="8"/>
        <v>631.80000000000007</v>
      </c>
      <c r="O111" s="27">
        <f t="shared" si="9"/>
        <v>589.67999999999995</v>
      </c>
      <c r="P111" s="27">
        <f t="shared" si="10"/>
        <v>477.36</v>
      </c>
      <c r="R111" s="27">
        <f t="shared" si="11"/>
        <v>8.8000000000000007</v>
      </c>
      <c r="S111" s="27">
        <f t="shared" si="12"/>
        <v>14.08</v>
      </c>
      <c r="T111" s="27">
        <f t="shared" si="13"/>
        <v>14.96</v>
      </c>
    </row>
    <row r="112" spans="1:23" ht="14">
      <c r="C112" s="27" t="s">
        <v>907</v>
      </c>
      <c r="D112" s="95">
        <v>19980</v>
      </c>
      <c r="E112" s="27">
        <v>0.36</v>
      </c>
      <c r="F112" s="27">
        <v>0.33</v>
      </c>
      <c r="G112" s="27">
        <v>0.25</v>
      </c>
      <c r="H112" s="27">
        <v>484</v>
      </c>
      <c r="I112" s="27">
        <v>0.33</v>
      </c>
      <c r="J112" s="27">
        <v>0.32</v>
      </c>
      <c r="K112" s="27">
        <v>0.24</v>
      </c>
      <c r="N112" s="27">
        <f t="shared" si="8"/>
        <v>7192.8</v>
      </c>
      <c r="O112" s="27">
        <f t="shared" si="9"/>
        <v>6593.4000000000005</v>
      </c>
      <c r="P112" s="27">
        <f t="shared" si="10"/>
        <v>4995</v>
      </c>
      <c r="R112" s="27">
        <f t="shared" si="11"/>
        <v>159.72</v>
      </c>
      <c r="S112" s="27">
        <f t="shared" si="12"/>
        <v>154.88</v>
      </c>
      <c r="T112" s="27">
        <f t="shared" si="13"/>
        <v>116.16</v>
      </c>
      <c r="W112" s="27"/>
    </row>
    <row r="113" spans="1:24" ht="14">
      <c r="C113" s="27" t="s">
        <v>906</v>
      </c>
      <c r="D113" s="27">
        <v>6975</v>
      </c>
      <c r="E113" s="27">
        <v>0.42</v>
      </c>
      <c r="F113" s="27">
        <v>0.38</v>
      </c>
      <c r="G113" s="27">
        <v>0.28999999999999998</v>
      </c>
      <c r="H113" s="27">
        <v>135</v>
      </c>
      <c r="I113" s="27">
        <v>0.33</v>
      </c>
      <c r="J113" s="27">
        <v>0.34</v>
      </c>
      <c r="K113" s="27">
        <v>0.28000000000000003</v>
      </c>
      <c r="N113" s="27">
        <f t="shared" si="8"/>
        <v>2929.5</v>
      </c>
      <c r="O113" s="27">
        <f t="shared" si="9"/>
        <v>2650.5</v>
      </c>
      <c r="P113" s="27">
        <f t="shared" si="10"/>
        <v>2022.7499999999998</v>
      </c>
      <c r="R113" s="27">
        <f t="shared" si="11"/>
        <v>44.550000000000004</v>
      </c>
      <c r="S113" s="27">
        <f t="shared" si="12"/>
        <v>45.900000000000006</v>
      </c>
      <c r="T113" s="27">
        <f t="shared" si="13"/>
        <v>37.800000000000004</v>
      </c>
    </row>
    <row r="114" spans="1:24" ht="14">
      <c r="C114" s="27" t="s">
        <v>905</v>
      </c>
      <c r="D114" s="95">
        <v>21869</v>
      </c>
      <c r="E114" s="27">
        <v>0.4</v>
      </c>
      <c r="F114" s="27">
        <v>0.37</v>
      </c>
      <c r="G114" s="27">
        <v>0.31</v>
      </c>
      <c r="H114" s="27">
        <v>429</v>
      </c>
      <c r="I114" s="27">
        <v>0.38</v>
      </c>
      <c r="J114" s="27">
        <v>0.38</v>
      </c>
      <c r="K114" s="27">
        <v>0.35</v>
      </c>
      <c r="N114" s="27">
        <f t="shared" si="8"/>
        <v>8747.6</v>
      </c>
      <c r="O114" s="27">
        <f t="shared" si="9"/>
        <v>8091.53</v>
      </c>
      <c r="P114" s="27">
        <f t="shared" si="10"/>
        <v>6779.39</v>
      </c>
      <c r="R114" s="27">
        <f t="shared" si="11"/>
        <v>163.02000000000001</v>
      </c>
      <c r="S114" s="27">
        <f t="shared" si="12"/>
        <v>163.02000000000001</v>
      </c>
      <c r="T114" s="27">
        <f t="shared" si="13"/>
        <v>150.14999999999998</v>
      </c>
    </row>
    <row r="115" spans="1:24" ht="14">
      <c r="C115" s="27" t="s">
        <v>904</v>
      </c>
      <c r="D115" s="27">
        <v>1063</v>
      </c>
      <c r="E115" s="27">
        <v>0.32</v>
      </c>
      <c r="F115" s="27">
        <v>0.28999999999999998</v>
      </c>
      <c r="G115" s="27">
        <v>0.21</v>
      </c>
      <c r="H115" s="27">
        <v>106</v>
      </c>
      <c r="I115" s="27">
        <v>0.28000000000000003</v>
      </c>
      <c r="J115" s="27">
        <v>0.28999999999999998</v>
      </c>
      <c r="K115" s="27">
        <v>0.24</v>
      </c>
      <c r="N115" s="27">
        <f t="shared" si="8"/>
        <v>340.16</v>
      </c>
      <c r="O115" s="27">
        <f t="shared" si="9"/>
        <v>308.27</v>
      </c>
      <c r="P115" s="27">
        <f t="shared" si="10"/>
        <v>223.23</v>
      </c>
      <c r="R115" s="27">
        <f t="shared" si="11"/>
        <v>29.680000000000003</v>
      </c>
      <c r="S115" s="27">
        <f t="shared" si="12"/>
        <v>30.74</v>
      </c>
      <c r="T115" s="27">
        <f t="shared" si="13"/>
        <v>25.439999999999998</v>
      </c>
    </row>
    <row r="116" spans="1:24" ht="14">
      <c r="C116" s="27" t="s">
        <v>903</v>
      </c>
      <c r="D116" s="27">
        <v>869</v>
      </c>
      <c r="E116" s="27">
        <v>0.46</v>
      </c>
      <c r="F116" s="27">
        <v>0.43</v>
      </c>
      <c r="G116" s="27">
        <v>0.32</v>
      </c>
      <c r="H116" s="27">
        <v>66</v>
      </c>
      <c r="I116" s="27">
        <v>0.27</v>
      </c>
      <c r="J116" s="27">
        <v>0.37</v>
      </c>
      <c r="K116" s="27">
        <v>0.3</v>
      </c>
      <c r="N116" s="27">
        <f t="shared" si="8"/>
        <v>399.74</v>
      </c>
      <c r="O116" s="27">
        <f t="shared" si="9"/>
        <v>373.67</v>
      </c>
      <c r="P116" s="27">
        <f t="shared" si="10"/>
        <v>278.08</v>
      </c>
      <c r="R116" s="27">
        <f t="shared" si="11"/>
        <v>17.82</v>
      </c>
      <c r="S116" s="27">
        <f t="shared" si="12"/>
        <v>24.419999999999998</v>
      </c>
      <c r="T116" s="27">
        <f t="shared" si="13"/>
        <v>19.8</v>
      </c>
    </row>
    <row r="117" spans="1:24" ht="14">
      <c r="C117" s="27" t="s">
        <v>66</v>
      </c>
      <c r="D117" s="95">
        <v>11015</v>
      </c>
      <c r="E117" s="27">
        <v>0.47</v>
      </c>
      <c r="F117" s="27">
        <v>0.41</v>
      </c>
      <c r="G117" s="27">
        <v>0.35</v>
      </c>
      <c r="H117" s="27">
        <v>99</v>
      </c>
      <c r="I117" s="27">
        <v>0.33</v>
      </c>
      <c r="J117" s="27">
        <v>0.41</v>
      </c>
      <c r="K117" s="27">
        <v>0.37</v>
      </c>
      <c r="N117" s="27">
        <f t="shared" si="8"/>
        <v>5177.0499999999993</v>
      </c>
      <c r="O117" s="27">
        <f t="shared" si="9"/>
        <v>4516.1499999999996</v>
      </c>
      <c r="P117" s="27">
        <f t="shared" si="10"/>
        <v>3855.2499999999995</v>
      </c>
      <c r="R117" s="27">
        <f t="shared" si="11"/>
        <v>32.67</v>
      </c>
      <c r="S117" s="27">
        <f t="shared" si="12"/>
        <v>40.589999999999996</v>
      </c>
      <c r="T117" s="27">
        <f t="shared" si="13"/>
        <v>36.630000000000003</v>
      </c>
    </row>
    <row r="118" spans="1:24" ht="14">
      <c r="C118" s="27" t="s">
        <v>902</v>
      </c>
      <c r="D118" s="27">
        <v>2262</v>
      </c>
      <c r="E118" s="27">
        <v>0.37</v>
      </c>
      <c r="F118" s="27">
        <v>0.33</v>
      </c>
      <c r="G118" s="27">
        <v>0.27</v>
      </c>
      <c r="H118" s="27">
        <v>60</v>
      </c>
      <c r="I118" s="27">
        <v>0.25</v>
      </c>
      <c r="J118" s="27">
        <v>0.28000000000000003</v>
      </c>
      <c r="K118" s="27">
        <v>0.17</v>
      </c>
      <c r="N118" s="27">
        <f t="shared" si="8"/>
        <v>836.93999999999994</v>
      </c>
      <c r="O118" s="27">
        <f t="shared" si="9"/>
        <v>746.46</v>
      </c>
      <c r="P118" s="27">
        <f t="shared" si="10"/>
        <v>610.74</v>
      </c>
      <c r="R118" s="27">
        <f t="shared" si="11"/>
        <v>15</v>
      </c>
      <c r="S118" s="27">
        <f t="shared" si="12"/>
        <v>16.8</v>
      </c>
      <c r="T118" s="27">
        <f t="shared" si="13"/>
        <v>10.200000000000001</v>
      </c>
    </row>
    <row r="119" spans="1:24" ht="14">
      <c r="C119" s="27" t="s">
        <v>901</v>
      </c>
      <c r="D119" s="27">
        <v>9700</v>
      </c>
      <c r="E119" s="27">
        <v>0.21</v>
      </c>
      <c r="F119" s="27">
        <v>0.2</v>
      </c>
      <c r="G119" s="27">
        <v>0.13</v>
      </c>
      <c r="H119" s="27">
        <v>186</v>
      </c>
      <c r="I119" s="27">
        <v>0.26</v>
      </c>
      <c r="J119" s="27">
        <v>0.22</v>
      </c>
      <c r="K119" s="27">
        <v>0.16</v>
      </c>
      <c r="N119" s="27">
        <f t="shared" si="8"/>
        <v>2037</v>
      </c>
      <c r="O119" s="27">
        <f t="shared" si="9"/>
        <v>1940</v>
      </c>
      <c r="P119" s="27">
        <f t="shared" si="10"/>
        <v>1261</v>
      </c>
      <c r="R119" s="27">
        <f t="shared" si="11"/>
        <v>48.36</v>
      </c>
      <c r="S119" s="27">
        <f t="shared" si="12"/>
        <v>40.92</v>
      </c>
      <c r="T119" s="27">
        <f t="shared" si="13"/>
        <v>29.76</v>
      </c>
    </row>
    <row r="120" spans="1:24" ht="14">
      <c r="D120" s="26">
        <f>SUM(D108:D119)</f>
        <v>85373</v>
      </c>
      <c r="H120" s="26">
        <f>SUM(H108:H119)</f>
        <v>1929</v>
      </c>
      <c r="N120" s="27">
        <f>SUM(N108:N119)</f>
        <v>32428.21</v>
      </c>
      <c r="O120" s="27">
        <f>SUM(O108:O119)</f>
        <v>29954.82</v>
      </c>
      <c r="P120" s="27">
        <f>SUM(P108:P119)</f>
        <v>24240.510000000002</v>
      </c>
      <c r="R120" s="27">
        <f>SUM(R108:R119)</f>
        <v>629.62</v>
      </c>
      <c r="S120" s="27">
        <f>SUM(S108:S119)</f>
        <v>646.14999999999986</v>
      </c>
      <c r="T120" s="27">
        <f>SUM(T108:T119)</f>
        <v>538.14</v>
      </c>
    </row>
    <row r="122" spans="1:24" ht="14">
      <c r="N122" s="26">
        <f>N120/$D$120</f>
        <v>0.379841518981411</v>
      </c>
      <c r="O122" s="26">
        <f>O120/$D$120</f>
        <v>0.3508699471729938</v>
      </c>
      <c r="P122" s="26">
        <f>P120/$D$120</f>
        <v>0.28393649045951297</v>
      </c>
      <c r="R122" s="26">
        <f>R120/$H$120</f>
        <v>0.32639709694142044</v>
      </c>
      <c r="S122" s="26">
        <f>S120/$H$120</f>
        <v>0.33496630378434417</v>
      </c>
      <c r="T122" s="26">
        <f>T120/$H$120</f>
        <v>0.27897356143079316</v>
      </c>
    </row>
    <row r="123" spans="1:24" ht="14">
      <c r="D123" s="27"/>
      <c r="E123" s="27"/>
      <c r="F123" s="27"/>
      <c r="G123" s="27"/>
      <c r="H123" s="27"/>
      <c r="I123" s="27"/>
    </row>
    <row r="124" spans="1:24" ht="14">
      <c r="D124" s="27" t="s">
        <v>900</v>
      </c>
      <c r="E124" s="27" t="s">
        <v>899</v>
      </c>
      <c r="F124" s="27" t="s">
        <v>898</v>
      </c>
      <c r="G124" s="27" t="s">
        <v>897</v>
      </c>
      <c r="H124" s="27" t="s">
        <v>896</v>
      </c>
      <c r="J124" s="27" t="s">
        <v>895</v>
      </c>
      <c r="K124" s="27" t="s">
        <v>894</v>
      </c>
      <c r="L124" s="27" t="s">
        <v>893</v>
      </c>
      <c r="M124" s="27" t="s">
        <v>892</v>
      </c>
      <c r="N124" s="27" t="s">
        <v>891</v>
      </c>
      <c r="O124" s="27" t="s">
        <v>890</v>
      </c>
      <c r="Q124" s="27" t="s">
        <v>889</v>
      </c>
      <c r="R124" s="27" t="s">
        <v>888</v>
      </c>
    </row>
    <row r="125" spans="1:24" ht="14">
      <c r="A125" s="27" t="s">
        <v>887</v>
      </c>
      <c r="C125" s="27" t="s">
        <v>618</v>
      </c>
      <c r="D125" s="27">
        <v>148.6</v>
      </c>
      <c r="E125" s="27">
        <v>117</v>
      </c>
      <c r="F125" s="27">
        <v>26.7</v>
      </c>
      <c r="G125" s="27">
        <v>34.4</v>
      </c>
      <c r="H125" s="27">
        <v>15.8</v>
      </c>
      <c r="J125" s="27">
        <f t="shared" ref="J125:N126" si="14">D125*($R$125/$Q$125)</f>
        <v>0.43467238689547583</v>
      </c>
      <c r="K125" s="27">
        <f t="shared" si="14"/>
        <v>0.34223868954758191</v>
      </c>
      <c r="L125" s="27">
        <f t="shared" si="14"/>
        <v>7.8100624024960999E-2</v>
      </c>
      <c r="M125" s="27">
        <f t="shared" si="14"/>
        <v>0.10062402496099844</v>
      </c>
      <c r="N125" s="27">
        <f t="shared" si="14"/>
        <v>4.6216848673946959E-2</v>
      </c>
      <c r="O125" s="27">
        <f>SUM(J125:N125)</f>
        <v>1.0018525741029642</v>
      </c>
      <c r="Q125" s="27">
        <v>256.39999999999998</v>
      </c>
      <c r="R125" s="27">
        <v>0.75</v>
      </c>
      <c r="X125" s="27" t="s">
        <v>887</v>
      </c>
    </row>
    <row r="126" spans="1:24" ht="14">
      <c r="C126" s="27" t="s">
        <v>619</v>
      </c>
      <c r="D126" s="27">
        <v>184.2</v>
      </c>
      <c r="E126" s="27">
        <v>102.6</v>
      </c>
      <c r="F126" s="27">
        <v>20</v>
      </c>
      <c r="G126" s="27">
        <v>24.2</v>
      </c>
      <c r="H126" s="27">
        <v>10.6</v>
      </c>
      <c r="J126" s="27">
        <f t="shared" si="14"/>
        <v>0.53880655226209051</v>
      </c>
      <c r="K126" s="27">
        <f t="shared" si="14"/>
        <v>0.3001170046801872</v>
      </c>
      <c r="L126" s="27">
        <f t="shared" si="14"/>
        <v>5.850234009360375E-2</v>
      </c>
      <c r="M126" s="27">
        <f t="shared" si="14"/>
        <v>7.0787831513260527E-2</v>
      </c>
      <c r="N126" s="27">
        <f t="shared" si="14"/>
        <v>3.1006240249609983E-2</v>
      </c>
      <c r="O126" s="27">
        <f>SUM(J126:N126)</f>
        <v>0.99921996879875197</v>
      </c>
    </row>
    <row r="128" spans="1:24" ht="14">
      <c r="J128" s="27" t="s">
        <v>886</v>
      </c>
      <c r="K128" s="27" t="s">
        <v>885</v>
      </c>
      <c r="L128" s="27" t="s">
        <v>884</v>
      </c>
      <c r="M128" s="27" t="s">
        <v>883</v>
      </c>
      <c r="N128" s="27" t="s">
        <v>882</v>
      </c>
      <c r="O128" s="27" t="s">
        <v>699</v>
      </c>
      <c r="P128" s="27" t="s">
        <v>698</v>
      </c>
      <c r="Q128" s="27" t="s">
        <v>679</v>
      </c>
    </row>
    <row r="129" spans="1:17" ht="14">
      <c r="J129" s="27">
        <f>J125*1</f>
        <v>0.43467238689547583</v>
      </c>
      <c r="K129" s="27">
        <f>K125*2</f>
        <v>0.68447737909516382</v>
      </c>
      <c r="L129" s="27">
        <f>L125*3</f>
        <v>0.23430187207488301</v>
      </c>
      <c r="M129" s="27">
        <f>M125*4</f>
        <v>0.40249609984399376</v>
      </c>
      <c r="N129" s="27">
        <f>N125*5</f>
        <v>0.23108424336973479</v>
      </c>
      <c r="O129" s="26">
        <f>AVERAGE(J129:N129)</f>
        <v>0.39740639625585022</v>
      </c>
      <c r="P129" s="26">
        <f>STDEV(J129:N129)</f>
        <v>0.1858026861204308</v>
      </c>
      <c r="Q129" s="26">
        <f>1008*0.668</f>
        <v>673.34400000000005</v>
      </c>
    </row>
    <row r="130" spans="1:17" ht="14">
      <c r="J130" s="27">
        <f>J126*1</f>
        <v>0.53880655226209051</v>
      </c>
      <c r="K130" s="27">
        <f>K126*2</f>
        <v>0.60023400936037441</v>
      </c>
      <c r="L130" s="27">
        <f>L126*3</f>
        <v>0.17550702028081125</v>
      </c>
      <c r="M130" s="27">
        <f>M126*4</f>
        <v>0.28315132605304211</v>
      </c>
      <c r="N130" s="27">
        <f>N126*5</f>
        <v>0.15503120124804992</v>
      </c>
      <c r="O130" s="26">
        <f>AVERAGE(J130:N130)</f>
        <v>0.35054602184087369</v>
      </c>
      <c r="P130" s="26">
        <f>STDEV(J130:N130)</f>
        <v>0.20687729490264156</v>
      </c>
      <c r="Q130" s="26">
        <f>1008*0.332</f>
        <v>334.65600000000001</v>
      </c>
    </row>
    <row r="132" spans="1:17" ht="14">
      <c r="B132" s="93" t="s">
        <v>835</v>
      </c>
      <c r="C132" s="27" t="s">
        <v>881</v>
      </c>
    </row>
    <row r="134" spans="1:17" ht="14">
      <c r="A134" s="27" t="s">
        <v>880</v>
      </c>
      <c r="D134" s="27" t="s">
        <v>879</v>
      </c>
      <c r="E134" s="27" t="s">
        <v>878</v>
      </c>
      <c r="F134" s="27" t="s">
        <v>679</v>
      </c>
      <c r="G134" s="27" t="s">
        <v>877</v>
      </c>
      <c r="H134" s="27" t="s">
        <v>876</v>
      </c>
      <c r="I134" s="27" t="s">
        <v>875</v>
      </c>
    </row>
    <row r="135" spans="1:17" ht="14">
      <c r="C135" s="27" t="s">
        <v>612</v>
      </c>
      <c r="D135" s="27">
        <v>253.6</v>
      </c>
      <c r="E135" s="27">
        <v>1</v>
      </c>
      <c r="F135" s="27">
        <v>740</v>
      </c>
    </row>
    <row r="136" spans="1:17" ht="14">
      <c r="C136" s="27" t="s">
        <v>618</v>
      </c>
      <c r="D136" s="27">
        <v>149</v>
      </c>
      <c r="E136" s="27">
        <f>D136/D135</f>
        <v>0.58753943217665616</v>
      </c>
      <c r="F136" s="25">
        <f>E136*F135</f>
        <v>434.77917981072557</v>
      </c>
      <c r="G136" s="27">
        <v>0.61</v>
      </c>
      <c r="H136" s="26">
        <f>F136*G136</f>
        <v>265.21529968454257</v>
      </c>
      <c r="I136" s="26">
        <f>F136-H136</f>
        <v>169.56388012618299</v>
      </c>
    </row>
    <row r="137" spans="1:17" ht="14">
      <c r="C137" s="27" t="s">
        <v>619</v>
      </c>
      <c r="D137" s="27">
        <v>100.3</v>
      </c>
      <c r="E137" s="27">
        <f>D137/D135</f>
        <v>0.39550473186119872</v>
      </c>
      <c r="F137" s="25">
        <f>E137*F135</f>
        <v>292.67350157728703</v>
      </c>
      <c r="G137" s="27">
        <v>0.74</v>
      </c>
      <c r="H137" s="26">
        <f>F137*G137</f>
        <v>216.57839116719239</v>
      </c>
      <c r="I137" s="26">
        <f>F137-H137</f>
        <v>76.095110410094634</v>
      </c>
    </row>
    <row r="139" spans="1:17" ht="14">
      <c r="B139" s="93" t="s">
        <v>835</v>
      </c>
      <c r="C139" s="27" t="s">
        <v>874</v>
      </c>
      <c r="L139" s="27" t="s">
        <v>873</v>
      </c>
      <c r="M139" s="27">
        <v>288</v>
      </c>
      <c r="O139" s="27" t="s">
        <v>872</v>
      </c>
      <c r="P139" s="27">
        <v>437</v>
      </c>
    </row>
    <row r="140" spans="1:17" ht="14">
      <c r="L140" s="27" t="s">
        <v>871</v>
      </c>
      <c r="M140" s="27">
        <v>176</v>
      </c>
      <c r="O140" s="27" t="s">
        <v>870</v>
      </c>
      <c r="P140" s="27">
        <v>323</v>
      </c>
    </row>
    <row r="141" spans="1:17" ht="14">
      <c r="L141" s="27" t="s">
        <v>869</v>
      </c>
      <c r="M141" s="27">
        <v>112</v>
      </c>
      <c r="O141" s="27" t="s">
        <v>868</v>
      </c>
      <c r="P141" s="27">
        <v>114</v>
      </c>
    </row>
    <row r="144" spans="1:17" ht="14">
      <c r="A144" s="27" t="s">
        <v>867</v>
      </c>
      <c r="D144" s="27" t="s">
        <v>866</v>
      </c>
      <c r="E144" s="27" t="s">
        <v>865</v>
      </c>
      <c r="F144" s="27" t="s">
        <v>864</v>
      </c>
      <c r="G144" s="27" t="s">
        <v>679</v>
      </c>
      <c r="H144" s="27" t="s">
        <v>863</v>
      </c>
      <c r="I144" s="27" t="s">
        <v>862</v>
      </c>
      <c r="J144" s="27" t="s">
        <v>861</v>
      </c>
      <c r="K144" s="27" t="s">
        <v>860</v>
      </c>
    </row>
    <row r="145" spans="1:26" ht="14">
      <c r="C145" s="27" t="s">
        <v>612</v>
      </c>
    </row>
    <row r="146" spans="1:26" ht="14">
      <c r="C146" s="27" t="s">
        <v>618</v>
      </c>
      <c r="D146" s="94">
        <v>0.70099999999999996</v>
      </c>
      <c r="E146" s="94">
        <v>0.221</v>
      </c>
      <c r="F146" s="94">
        <v>7.8E-2</v>
      </c>
      <c r="G146" s="27">
        <v>77</v>
      </c>
      <c r="H146" s="26">
        <f>D146*G146</f>
        <v>53.976999999999997</v>
      </c>
      <c r="I146" s="27">
        <f>E146*G146</f>
        <v>17.016999999999999</v>
      </c>
      <c r="J146" s="27">
        <f>F146*G146</f>
        <v>6.0060000000000002</v>
      </c>
      <c r="K146" s="26">
        <f>I146+J146</f>
        <v>23.023</v>
      </c>
    </row>
    <row r="147" spans="1:26" ht="14">
      <c r="C147" s="27" t="s">
        <v>619</v>
      </c>
      <c r="D147" s="94">
        <v>0.76100000000000001</v>
      </c>
      <c r="E147" s="94">
        <v>0.185</v>
      </c>
      <c r="F147" s="94">
        <v>5.3999999999999999E-2</v>
      </c>
      <c r="G147" s="27">
        <v>93</v>
      </c>
      <c r="H147" s="26">
        <f>D147*G147</f>
        <v>70.772999999999996</v>
      </c>
      <c r="I147" s="27">
        <f>E147*G147</f>
        <v>17.204999999999998</v>
      </c>
      <c r="J147" s="27">
        <f>F147*G147</f>
        <v>5.0220000000000002</v>
      </c>
      <c r="K147" s="26">
        <f>I147+J147</f>
        <v>22.226999999999997</v>
      </c>
    </row>
    <row r="149" spans="1:26" ht="14">
      <c r="B149" s="93" t="s">
        <v>835</v>
      </c>
      <c r="C149" s="27" t="s">
        <v>859</v>
      </c>
      <c r="L149" s="27" t="s">
        <v>858</v>
      </c>
      <c r="M149" s="27">
        <v>77</v>
      </c>
      <c r="O149" s="27" t="s">
        <v>857</v>
      </c>
      <c r="P149" s="27">
        <v>93</v>
      </c>
    </row>
    <row r="150" spans="1:26" ht="14">
      <c r="L150" s="27" t="s">
        <v>856</v>
      </c>
      <c r="M150" s="27">
        <v>59</v>
      </c>
      <c r="O150" s="27" t="s">
        <v>855</v>
      </c>
      <c r="P150" s="27">
        <v>65</v>
      </c>
    </row>
    <row r="151" spans="1:26" ht="14">
      <c r="L151" s="27" t="s">
        <v>854</v>
      </c>
      <c r="M151" s="27">
        <v>18</v>
      </c>
      <c r="O151" s="27" t="s">
        <v>853</v>
      </c>
      <c r="P151" s="27">
        <v>28</v>
      </c>
    </row>
    <row r="153" spans="1:26" ht="14">
      <c r="A153" s="27" t="s">
        <v>852</v>
      </c>
      <c r="C153" s="27" t="s">
        <v>822</v>
      </c>
      <c r="D153" s="27" t="s">
        <v>851</v>
      </c>
      <c r="E153" s="27" t="s">
        <v>850</v>
      </c>
      <c r="F153" s="27" t="s">
        <v>849</v>
      </c>
      <c r="G153" s="27" t="s">
        <v>848</v>
      </c>
      <c r="I153" s="27" t="s">
        <v>831</v>
      </c>
      <c r="J153" s="27" t="s">
        <v>830</v>
      </c>
      <c r="K153" s="27" t="s">
        <v>829</v>
      </c>
      <c r="L153" s="27" t="s">
        <v>828</v>
      </c>
      <c r="M153" s="27" t="s">
        <v>847</v>
      </c>
      <c r="O153" s="27" t="s">
        <v>846</v>
      </c>
      <c r="P153" s="27" t="s">
        <v>845</v>
      </c>
      <c r="Q153" s="27" t="s">
        <v>844</v>
      </c>
      <c r="R153" s="27" t="s">
        <v>843</v>
      </c>
      <c r="S153" s="27" t="s">
        <v>842</v>
      </c>
      <c r="T153" s="27" t="s">
        <v>841</v>
      </c>
      <c r="V153" s="27" t="s">
        <v>840</v>
      </c>
      <c r="W153" s="27" t="s">
        <v>839</v>
      </c>
      <c r="X153" s="27" t="s">
        <v>838</v>
      </c>
      <c r="Y153" s="27" t="s">
        <v>837</v>
      </c>
      <c r="Z153" s="27" t="s">
        <v>836</v>
      </c>
    </row>
    <row r="154" spans="1:26" ht="14">
      <c r="C154" s="27" t="s">
        <v>618</v>
      </c>
      <c r="D154" s="25">
        <f>1-D155</f>
        <v>0.38</v>
      </c>
      <c r="E154" s="25">
        <f>D154*E156</f>
        <v>100.7</v>
      </c>
      <c r="F154" s="25">
        <v>0.5</v>
      </c>
      <c r="G154" s="25">
        <f>F154*G156</f>
        <v>132.5</v>
      </c>
      <c r="H154" s="25"/>
      <c r="I154" s="25" t="s">
        <v>618</v>
      </c>
      <c r="J154" s="25">
        <f>1-J155</f>
        <v>0.58000000000000007</v>
      </c>
      <c r="K154" s="25">
        <f>J154*K156</f>
        <v>153.70000000000002</v>
      </c>
      <c r="L154" s="25">
        <f>1-L155</f>
        <v>0.67001834862385323</v>
      </c>
      <c r="M154" s="25">
        <f>L154*M156</f>
        <v>177.55486238532112</v>
      </c>
      <c r="P154" s="27">
        <v>34.6</v>
      </c>
      <c r="Q154" s="27">
        <v>48.1</v>
      </c>
      <c r="R154" s="27">
        <v>54</v>
      </c>
      <c r="S154" s="27">
        <v>42.1</v>
      </c>
      <c r="T154" s="27">
        <v>46</v>
      </c>
      <c r="V154" s="27">
        <f>P154/(109/0.8)</f>
        <v>0.25394495412844037</v>
      </c>
      <c r="W154" s="27">
        <f>Q154/(109/0.8)</f>
        <v>0.35302752293577983</v>
      </c>
      <c r="X154" s="27">
        <f>R154/(109/0.8)</f>
        <v>0.39633027522935782</v>
      </c>
      <c r="Y154" s="27">
        <f>S154/(109/0.8)</f>
        <v>0.3089908256880734</v>
      </c>
      <c r="Z154" s="27">
        <f>T154/(109/0.8)</f>
        <v>0.33761467889908259</v>
      </c>
    </row>
    <row r="155" spans="1:26" ht="14">
      <c r="C155" s="27" t="s">
        <v>619</v>
      </c>
      <c r="D155" s="26">
        <v>0.62</v>
      </c>
      <c r="E155" s="25">
        <f>D155*E156</f>
        <v>164.3</v>
      </c>
      <c r="F155" s="26">
        <v>0.5</v>
      </c>
      <c r="G155" s="25">
        <f>F155*G156</f>
        <v>132.5</v>
      </c>
      <c r="I155" s="27" t="s">
        <v>619</v>
      </c>
      <c r="J155" s="26">
        <v>0.42</v>
      </c>
      <c r="K155" s="25">
        <f>J155*K156</f>
        <v>111.3</v>
      </c>
      <c r="L155" s="26">
        <f>AVERAGE(V154:Z154)</f>
        <v>0.32998165137614677</v>
      </c>
      <c r="M155" s="25">
        <f>L155*M156</f>
        <v>87.445137614678899</v>
      </c>
    </row>
    <row r="156" spans="1:26" ht="14">
      <c r="C156" s="27" t="s">
        <v>612</v>
      </c>
      <c r="E156" s="26">
        <v>265</v>
      </c>
      <c r="G156" s="26">
        <f>E156</f>
        <v>265</v>
      </c>
      <c r="I156" s="27" t="s">
        <v>612</v>
      </c>
      <c r="K156" s="26">
        <v>265</v>
      </c>
      <c r="M156" s="26">
        <f>K156</f>
        <v>265</v>
      </c>
    </row>
    <row r="158" spans="1:26" ht="14">
      <c r="B158" s="93" t="s">
        <v>835</v>
      </c>
      <c r="C158" s="27" t="s">
        <v>834</v>
      </c>
    </row>
    <row r="160" spans="1:26" ht="14">
      <c r="A160" s="27" t="s">
        <v>833</v>
      </c>
      <c r="C160" s="27" t="s">
        <v>822</v>
      </c>
      <c r="D160" s="27" t="s">
        <v>830</v>
      </c>
      <c r="E160" s="27" t="s">
        <v>829</v>
      </c>
      <c r="F160" s="27" t="s">
        <v>828</v>
      </c>
      <c r="G160" s="27" t="s">
        <v>827</v>
      </c>
      <c r="I160" s="27" t="s">
        <v>831</v>
      </c>
      <c r="J160" s="27" t="s">
        <v>830</v>
      </c>
      <c r="K160" s="27" t="s">
        <v>829</v>
      </c>
      <c r="L160" s="27" t="s">
        <v>828</v>
      </c>
      <c r="M160" s="27" t="s">
        <v>827</v>
      </c>
    </row>
    <row r="161" spans="1:25" ht="14">
      <c r="C161" s="27" t="s">
        <v>618</v>
      </c>
      <c r="D161" s="27">
        <f>1-D162</f>
        <v>0.66700000000000004</v>
      </c>
      <c r="E161" s="26">
        <f>D161*E163</f>
        <v>10.005000000000001</v>
      </c>
      <c r="F161" s="27">
        <f>1-F162</f>
        <v>0.64900000000000002</v>
      </c>
      <c r="G161" s="26">
        <f>F161*G163</f>
        <v>48.026000000000003</v>
      </c>
      <c r="I161" s="27" t="s">
        <v>618</v>
      </c>
      <c r="J161" s="27">
        <f>1-J162</f>
        <v>0.6</v>
      </c>
      <c r="K161" s="26">
        <f>J161*K163</f>
        <v>9</v>
      </c>
      <c r="L161" s="27">
        <f>1-L162</f>
        <v>0.622</v>
      </c>
      <c r="M161" s="26">
        <f>L161*M163</f>
        <v>46.027999999999999</v>
      </c>
    </row>
    <row r="162" spans="1:25" ht="14">
      <c r="C162" s="27" t="s">
        <v>619</v>
      </c>
      <c r="D162" s="92">
        <v>0.33300000000000002</v>
      </c>
      <c r="E162" s="26">
        <f>D162*E163</f>
        <v>4.9950000000000001</v>
      </c>
      <c r="F162" s="27">
        <v>0.35099999999999998</v>
      </c>
      <c r="G162" s="26">
        <f>F162*G163</f>
        <v>25.973999999999997</v>
      </c>
      <c r="I162" s="27" t="s">
        <v>619</v>
      </c>
      <c r="J162" s="92">
        <v>0.4</v>
      </c>
      <c r="K162" s="26">
        <f>J162*K163</f>
        <v>6</v>
      </c>
      <c r="L162" s="27">
        <v>0.378</v>
      </c>
      <c r="M162" s="26">
        <f>L162*M163</f>
        <v>27.972000000000001</v>
      </c>
    </row>
    <row r="163" spans="1:25" ht="14">
      <c r="C163" s="27" t="s">
        <v>612</v>
      </c>
      <c r="E163" s="27">
        <v>15</v>
      </c>
      <c r="G163" s="27">
        <v>74</v>
      </c>
      <c r="I163" s="27" t="s">
        <v>612</v>
      </c>
      <c r="K163" s="27">
        <v>15</v>
      </c>
      <c r="M163" s="27">
        <v>74</v>
      </c>
    </row>
    <row r="165" spans="1:25" ht="14">
      <c r="A165" s="27" t="s">
        <v>832</v>
      </c>
      <c r="C165" s="27" t="s">
        <v>822</v>
      </c>
      <c r="D165" s="27" t="s">
        <v>830</v>
      </c>
      <c r="E165" s="27" t="s">
        <v>829</v>
      </c>
      <c r="F165" s="27" t="s">
        <v>828</v>
      </c>
      <c r="G165" s="27" t="s">
        <v>827</v>
      </c>
      <c r="I165" s="27" t="s">
        <v>831</v>
      </c>
      <c r="J165" s="27" t="s">
        <v>830</v>
      </c>
      <c r="K165" s="27" t="s">
        <v>829</v>
      </c>
      <c r="L165" s="27" t="s">
        <v>828</v>
      </c>
      <c r="M165" s="27" t="s">
        <v>827</v>
      </c>
      <c r="Y165" s="27" t="s">
        <v>826</v>
      </c>
    </row>
    <row r="166" spans="1:25" ht="14">
      <c r="C166" s="27" t="s">
        <v>618</v>
      </c>
      <c r="D166" s="27">
        <f>1-D167</f>
        <v>0.50900000000000001</v>
      </c>
      <c r="E166" s="26">
        <v>257</v>
      </c>
      <c r="F166" s="27">
        <f>1-F167</f>
        <v>0.57299999999999995</v>
      </c>
      <c r="G166" s="26">
        <v>181</v>
      </c>
      <c r="I166" s="27" t="s">
        <v>618</v>
      </c>
      <c r="J166" s="27">
        <f>1-J167</f>
        <v>0.64600000000000002</v>
      </c>
      <c r="K166" s="26">
        <v>331</v>
      </c>
      <c r="L166" s="27">
        <f>1-L167</f>
        <v>0.64500000000000002</v>
      </c>
      <c r="M166" s="26">
        <v>318</v>
      </c>
    </row>
    <row r="167" spans="1:25" ht="14">
      <c r="C167" s="27" t="s">
        <v>619</v>
      </c>
      <c r="D167" s="92">
        <v>0.49099999999999999</v>
      </c>
      <c r="E167" s="26">
        <v>248</v>
      </c>
      <c r="F167" s="27">
        <v>0.42699999999999999</v>
      </c>
      <c r="G167" s="26"/>
      <c r="I167" s="27" t="s">
        <v>619</v>
      </c>
      <c r="J167" s="92">
        <v>0.35399999999999998</v>
      </c>
      <c r="K167" s="26">
        <v>181</v>
      </c>
      <c r="L167" s="27">
        <v>0.35499999999999998</v>
      </c>
      <c r="M167" s="26">
        <v>175</v>
      </c>
    </row>
    <row r="168" spans="1:25" ht="14">
      <c r="C168" s="27" t="s">
        <v>612</v>
      </c>
      <c r="I168" s="27" t="s">
        <v>612</v>
      </c>
    </row>
    <row r="170" spans="1:25" ht="14">
      <c r="A170" s="27" t="s">
        <v>328</v>
      </c>
      <c r="E170" s="27" t="s">
        <v>598</v>
      </c>
      <c r="G170" s="27" t="s">
        <v>44</v>
      </c>
    </row>
    <row r="171" spans="1:25" ht="14">
      <c r="C171" s="27" t="s">
        <v>825</v>
      </c>
      <c r="D171" s="27">
        <v>362</v>
      </c>
      <c r="E171" s="49">
        <v>0.56000000000000005</v>
      </c>
      <c r="F171" s="26">
        <f>D171*E171</f>
        <v>202.72000000000003</v>
      </c>
      <c r="G171" s="49">
        <f>1-E171</f>
        <v>0.43999999999999995</v>
      </c>
      <c r="H171" s="26">
        <f>G171*D171</f>
        <v>159.27999999999997</v>
      </c>
    </row>
    <row r="172" spans="1:25" ht="14">
      <c r="C172" s="27" t="s">
        <v>824</v>
      </c>
      <c r="D172" s="27">
        <v>314</v>
      </c>
      <c r="E172" s="91">
        <v>0.40699999999999997</v>
      </c>
      <c r="F172" s="26">
        <f>D172*E172</f>
        <v>127.79799999999999</v>
      </c>
      <c r="G172" s="91">
        <f>1-E172</f>
        <v>0.59299999999999997</v>
      </c>
      <c r="H172" s="26">
        <f>G172*D172</f>
        <v>186.202</v>
      </c>
    </row>
    <row r="175" spans="1:25" ht="14">
      <c r="A175" s="27" t="s">
        <v>823</v>
      </c>
      <c r="C175" s="27" t="s">
        <v>822</v>
      </c>
      <c r="D175" s="27" t="s">
        <v>797</v>
      </c>
      <c r="G175" s="27" t="s">
        <v>796</v>
      </c>
    </row>
    <row r="176" spans="1:25" ht="14">
      <c r="C176" s="31"/>
      <c r="D176" s="27" t="s">
        <v>612</v>
      </c>
      <c r="E176" s="27" t="s">
        <v>667</v>
      </c>
      <c r="F176" s="27" t="s">
        <v>669</v>
      </c>
      <c r="G176" s="27" t="s">
        <v>612</v>
      </c>
      <c r="H176" s="27" t="s">
        <v>667</v>
      </c>
      <c r="I176" s="27" t="s">
        <v>669</v>
      </c>
      <c r="J176" s="27" t="s">
        <v>795</v>
      </c>
    </row>
    <row r="177" spans="3:10" ht="14">
      <c r="C177" s="87" t="s">
        <v>778</v>
      </c>
      <c r="D177" s="87">
        <v>254</v>
      </c>
      <c r="E177" s="83" t="s">
        <v>821</v>
      </c>
      <c r="F177" s="83" t="s">
        <v>820</v>
      </c>
      <c r="G177" s="90">
        <v>26</v>
      </c>
      <c r="H177" s="90" t="s">
        <v>819</v>
      </c>
      <c r="I177" s="83" t="s">
        <v>818</v>
      </c>
      <c r="J177" s="83">
        <v>5.0999999999999997E-2</v>
      </c>
    </row>
    <row r="178" spans="3:10" ht="14">
      <c r="C178" s="31" t="s">
        <v>773</v>
      </c>
      <c r="D178" s="39">
        <v>160</v>
      </c>
      <c r="E178" s="89" t="s">
        <v>817</v>
      </c>
      <c r="F178" s="89" t="s">
        <v>816</v>
      </c>
      <c r="G178" s="88">
        <v>38</v>
      </c>
      <c r="H178" s="88" t="s">
        <v>815</v>
      </c>
      <c r="I178" s="89" t="s">
        <v>814</v>
      </c>
      <c r="J178" s="64">
        <v>0.32900000000000001</v>
      </c>
    </row>
    <row r="179" spans="3:10" ht="14">
      <c r="C179" s="87" t="s">
        <v>786</v>
      </c>
    </row>
    <row r="180" spans="3:10" ht="14">
      <c r="C180" s="31" t="s">
        <v>778</v>
      </c>
      <c r="D180" s="39">
        <v>232</v>
      </c>
      <c r="E180" s="89" t="s">
        <v>813</v>
      </c>
      <c r="F180" s="89" t="s">
        <v>812</v>
      </c>
      <c r="G180" s="88">
        <v>19</v>
      </c>
      <c r="H180" s="88" t="s">
        <v>811</v>
      </c>
      <c r="I180" s="89" t="s">
        <v>810</v>
      </c>
      <c r="J180" s="64">
        <v>2.1000000000000001E-2</v>
      </c>
    </row>
    <row r="181" spans="3:10" ht="14">
      <c r="C181" s="87" t="s">
        <v>773</v>
      </c>
      <c r="D181" s="85">
        <v>152</v>
      </c>
      <c r="E181" s="86" t="s">
        <v>809</v>
      </c>
      <c r="F181" s="86" t="s">
        <v>808</v>
      </c>
      <c r="G181" s="84">
        <v>25</v>
      </c>
      <c r="H181" s="84" t="s">
        <v>807</v>
      </c>
      <c r="I181" s="86" t="s">
        <v>806</v>
      </c>
      <c r="J181" s="83">
        <v>0.152</v>
      </c>
    </row>
    <row r="182" spans="3:10" ht="14">
      <c r="C182" s="31" t="s">
        <v>805</v>
      </c>
    </row>
    <row r="183" spans="3:10" ht="14">
      <c r="C183" s="87" t="s">
        <v>804</v>
      </c>
      <c r="D183" s="85">
        <v>22</v>
      </c>
      <c r="E183" s="86" t="s">
        <v>803</v>
      </c>
      <c r="F183" s="86" t="s">
        <v>802</v>
      </c>
      <c r="G183" s="84">
        <v>7</v>
      </c>
      <c r="H183" s="84" t="s">
        <v>775</v>
      </c>
      <c r="I183" s="86" t="s">
        <v>801</v>
      </c>
      <c r="J183" s="83">
        <v>0.66700000000000004</v>
      </c>
    </row>
    <row r="184" spans="3:10" ht="14">
      <c r="C184" s="31" t="s">
        <v>773</v>
      </c>
      <c r="D184" s="31">
        <v>8</v>
      </c>
      <c r="E184" s="64" t="s">
        <v>772</v>
      </c>
      <c r="F184" s="64" t="s">
        <v>771</v>
      </c>
      <c r="G184" s="28">
        <v>13</v>
      </c>
      <c r="H184" s="28" t="s">
        <v>800</v>
      </c>
      <c r="I184" s="64" t="s">
        <v>799</v>
      </c>
      <c r="J184" s="64">
        <v>1</v>
      </c>
    </row>
    <row r="185" spans="3:10" ht="14">
      <c r="D185" s="27">
        <f>SUM(D177:D184)</f>
        <v>828</v>
      </c>
      <c r="E185" s="26">
        <f>98+46+85+45+13+1</f>
        <v>288</v>
      </c>
      <c r="F185" s="26">
        <f>156+114+ 147+107+9+7</f>
        <v>540</v>
      </c>
      <c r="G185" s="27">
        <f>SUM(G177:G184)</f>
        <v>128</v>
      </c>
      <c r="H185" s="26">
        <f>5+14+2+11+3+3</f>
        <v>38</v>
      </c>
      <c r="I185" s="26">
        <f>21+24+17+14+4+10</f>
        <v>90</v>
      </c>
    </row>
    <row r="187" spans="3:10" ht="14">
      <c r="C187" s="31" t="s">
        <v>798</v>
      </c>
      <c r="D187" s="27" t="s">
        <v>797</v>
      </c>
      <c r="G187" s="27" t="s">
        <v>796</v>
      </c>
    </row>
    <row r="188" spans="3:10" ht="14">
      <c r="D188" s="27" t="s">
        <v>612</v>
      </c>
      <c r="E188" s="27" t="s">
        <v>667</v>
      </c>
      <c r="F188" s="27" t="s">
        <v>669</v>
      </c>
      <c r="G188" s="27" t="s">
        <v>612</v>
      </c>
      <c r="H188" s="27" t="s">
        <v>667</v>
      </c>
      <c r="I188" s="27" t="s">
        <v>669</v>
      </c>
      <c r="J188" s="27" t="s">
        <v>795</v>
      </c>
    </row>
    <row r="189" spans="3:10" ht="14">
      <c r="C189" s="87" t="s">
        <v>778</v>
      </c>
      <c r="D189" s="87">
        <v>244</v>
      </c>
      <c r="E189" s="83" t="s">
        <v>794</v>
      </c>
      <c r="F189" s="90" t="s">
        <v>793</v>
      </c>
      <c r="G189" s="87">
        <v>28</v>
      </c>
      <c r="H189" s="87" t="s">
        <v>792</v>
      </c>
      <c r="I189" s="90" t="s">
        <v>791</v>
      </c>
      <c r="J189" s="83">
        <v>0.442</v>
      </c>
    </row>
    <row r="190" spans="3:10" ht="14">
      <c r="C190" s="31" t="s">
        <v>773</v>
      </c>
      <c r="D190" s="39">
        <v>147</v>
      </c>
      <c r="E190" s="89" t="s">
        <v>790</v>
      </c>
      <c r="F190" s="88" t="s">
        <v>789</v>
      </c>
      <c r="G190" s="39">
        <v>36</v>
      </c>
      <c r="H190" s="39" t="s">
        <v>788</v>
      </c>
      <c r="I190" s="88" t="s">
        <v>787</v>
      </c>
      <c r="J190" s="64">
        <v>0.91700000000000004</v>
      </c>
    </row>
    <row r="191" spans="3:10" ht="14">
      <c r="C191" s="87" t="s">
        <v>786</v>
      </c>
    </row>
    <row r="192" spans="3:10" ht="14">
      <c r="C192" s="31" t="s">
        <v>778</v>
      </c>
      <c r="D192" s="39">
        <v>222</v>
      </c>
      <c r="E192" s="89" t="s">
        <v>785</v>
      </c>
      <c r="F192" s="88" t="s">
        <v>784</v>
      </c>
      <c r="G192" s="39">
        <v>21</v>
      </c>
      <c r="H192" s="39" t="s">
        <v>781</v>
      </c>
      <c r="I192" s="88" t="s">
        <v>780</v>
      </c>
      <c r="J192" s="64">
        <v>0.70099999999999996</v>
      </c>
    </row>
    <row r="193" spans="1:15" ht="14">
      <c r="C193" s="87" t="s">
        <v>773</v>
      </c>
      <c r="D193" s="85">
        <v>139</v>
      </c>
      <c r="E193" s="86" t="s">
        <v>783</v>
      </c>
      <c r="F193" s="84" t="s">
        <v>782</v>
      </c>
      <c r="G193" s="85">
        <v>21</v>
      </c>
      <c r="H193" s="85" t="s">
        <v>781</v>
      </c>
      <c r="I193" s="84" t="s">
        <v>780</v>
      </c>
      <c r="J193" s="83">
        <v>0.85099999999999998</v>
      </c>
    </row>
    <row r="194" spans="1:15" ht="14">
      <c r="C194" s="31" t="s">
        <v>779</v>
      </c>
    </row>
    <row r="195" spans="1:15" ht="14">
      <c r="C195" s="87" t="s">
        <v>778</v>
      </c>
      <c r="D195" s="85">
        <v>22</v>
      </c>
      <c r="E195" s="86" t="s">
        <v>777</v>
      </c>
      <c r="F195" s="84" t="s">
        <v>776</v>
      </c>
      <c r="G195" s="85">
        <v>7</v>
      </c>
      <c r="H195" s="85" t="s">
        <v>775</v>
      </c>
      <c r="I195" s="84" t="s">
        <v>774</v>
      </c>
      <c r="J195" s="83">
        <v>0.66500000000000004</v>
      </c>
    </row>
    <row r="196" spans="1:15" ht="14">
      <c r="C196" s="31" t="s">
        <v>773</v>
      </c>
      <c r="D196" s="31">
        <v>8</v>
      </c>
      <c r="E196" s="64" t="s">
        <v>772</v>
      </c>
      <c r="F196" s="28" t="s">
        <v>771</v>
      </c>
      <c r="G196" s="31">
        <v>15</v>
      </c>
      <c r="H196" s="31" t="s">
        <v>770</v>
      </c>
      <c r="I196" s="28" t="s">
        <v>769</v>
      </c>
      <c r="J196" s="64">
        <v>1</v>
      </c>
    </row>
    <row r="197" spans="1:15" ht="14">
      <c r="C197" s="82"/>
      <c r="D197" s="27">
        <f>SUM(D189:D196)</f>
        <v>782</v>
      </c>
      <c r="E197" s="26">
        <f>62+38+55+37+7+1</f>
        <v>200</v>
      </c>
      <c r="F197" s="26">
        <f>182+109+167+102+15+7</f>
        <v>582</v>
      </c>
      <c r="G197" s="27">
        <f>SUM(G189:G196)</f>
        <v>128</v>
      </c>
      <c r="H197" s="26">
        <f>9+9+6+6+3+3</f>
        <v>36</v>
      </c>
      <c r="I197" s="26">
        <f>19+27+15+15+4+12</f>
        <v>92</v>
      </c>
      <c r="K197" s="27">
        <f>D185+G185+D197+G197</f>
        <v>1866</v>
      </c>
    </row>
    <row r="199" spans="1:15" ht="14">
      <c r="A199" s="27" t="s">
        <v>768</v>
      </c>
      <c r="C199" s="81" t="s">
        <v>767</v>
      </c>
      <c r="D199" s="80" t="s">
        <v>766</v>
      </c>
      <c r="E199" s="80" t="s">
        <v>765</v>
      </c>
      <c r="F199" s="80" t="s">
        <v>764</v>
      </c>
      <c r="I199" s="27" t="s">
        <v>616</v>
      </c>
      <c r="J199" s="27" t="s">
        <v>615</v>
      </c>
      <c r="L199" s="143" t="s">
        <v>345</v>
      </c>
      <c r="M199" s="27" t="s">
        <v>22</v>
      </c>
    </row>
    <row r="200" spans="1:15" ht="15">
      <c r="A200" s="27"/>
      <c r="C200" s="145" t="s">
        <v>345</v>
      </c>
      <c r="D200" s="145">
        <v>2019</v>
      </c>
      <c r="E200" s="79" t="s">
        <v>760</v>
      </c>
      <c r="F200" s="78">
        <v>9181</v>
      </c>
      <c r="G200" s="27"/>
      <c r="H200" s="27"/>
      <c r="J200" s="27"/>
      <c r="K200" s="27"/>
      <c r="L200" s="144"/>
      <c r="O200" s="27"/>
    </row>
    <row r="201" spans="1:15" ht="15">
      <c r="A201" s="27"/>
      <c r="C201" s="152"/>
      <c r="D201" s="146"/>
      <c r="E201" s="79" t="s">
        <v>761</v>
      </c>
      <c r="F201" s="78">
        <v>8003</v>
      </c>
      <c r="G201" s="27"/>
      <c r="J201" s="27"/>
      <c r="K201" s="27"/>
      <c r="L201" s="144"/>
      <c r="O201" s="27"/>
    </row>
    <row r="202" spans="1:15" ht="15">
      <c r="A202" s="27"/>
      <c r="C202" s="152"/>
      <c r="D202" s="145">
        <v>2020</v>
      </c>
      <c r="E202" s="79" t="s">
        <v>761</v>
      </c>
      <c r="F202" s="78">
        <v>13938</v>
      </c>
      <c r="G202" s="27"/>
      <c r="J202" s="27"/>
      <c r="K202" s="27"/>
      <c r="L202" s="144"/>
      <c r="O202" s="27"/>
    </row>
    <row r="203" spans="1:15" ht="15">
      <c r="A203" s="27"/>
      <c r="C203" s="152"/>
      <c r="D203" s="146"/>
      <c r="E203" s="79" t="s">
        <v>760</v>
      </c>
      <c r="F203" s="78">
        <v>3217</v>
      </c>
      <c r="G203" s="27"/>
      <c r="H203" s="27" t="s">
        <v>614</v>
      </c>
      <c r="I203" s="27">
        <v>8003</v>
      </c>
      <c r="J203" s="27">
        <v>9181</v>
      </c>
      <c r="K203" s="27">
        <f>SUM(I203:J203)</f>
        <v>17184</v>
      </c>
      <c r="L203" s="144"/>
      <c r="O203" s="27"/>
    </row>
    <row r="204" spans="1:15" ht="15">
      <c r="A204" s="27"/>
      <c r="C204" s="152"/>
      <c r="D204" s="145">
        <v>2021</v>
      </c>
      <c r="E204" s="79" t="s">
        <v>761</v>
      </c>
      <c r="F204" s="78">
        <v>2096</v>
      </c>
      <c r="G204" s="27"/>
      <c r="J204" s="27"/>
      <c r="L204" s="144"/>
      <c r="O204" s="27"/>
    </row>
    <row r="205" spans="1:15" ht="15">
      <c r="A205" s="27"/>
      <c r="C205" s="146"/>
      <c r="D205" s="146"/>
      <c r="E205" s="79" t="s">
        <v>760</v>
      </c>
      <c r="F205" s="78">
        <v>430</v>
      </c>
      <c r="G205" s="27"/>
      <c r="H205" s="27" t="s">
        <v>613</v>
      </c>
      <c r="I205" s="27">
        <f>F203+F205</f>
        <v>3647</v>
      </c>
      <c r="J205" s="27">
        <f>F202+F204</f>
        <v>16034</v>
      </c>
      <c r="K205" s="27">
        <f>SUM(I205:J205)</f>
        <v>19681</v>
      </c>
      <c r="L205" s="143" t="s">
        <v>348</v>
      </c>
      <c r="M205" s="27">
        <f>K203+K205</f>
        <v>36865</v>
      </c>
      <c r="O205" s="27"/>
    </row>
    <row r="206" spans="1:15" ht="15">
      <c r="A206" s="27"/>
      <c r="C206" s="145" t="s">
        <v>348</v>
      </c>
      <c r="D206" s="145">
        <v>2019</v>
      </c>
      <c r="E206" s="79" t="s">
        <v>761</v>
      </c>
      <c r="F206" s="78">
        <v>23865</v>
      </c>
      <c r="G206" s="27"/>
      <c r="H206" s="27"/>
      <c r="J206" s="27"/>
      <c r="L206" s="144"/>
      <c r="O206" s="27"/>
    </row>
    <row r="207" spans="1:15" ht="15">
      <c r="A207" s="27"/>
      <c r="C207" s="152"/>
      <c r="D207" s="146"/>
      <c r="E207" s="79" t="s">
        <v>760</v>
      </c>
      <c r="F207" s="78">
        <v>5300</v>
      </c>
      <c r="G207" s="27"/>
      <c r="J207" s="27"/>
      <c r="L207" s="144"/>
      <c r="O207" s="27"/>
    </row>
    <row r="208" spans="1:15" ht="15">
      <c r="A208" s="27"/>
      <c r="C208" s="152"/>
      <c r="D208" s="145">
        <v>2020</v>
      </c>
      <c r="E208" s="79" t="s">
        <v>761</v>
      </c>
      <c r="F208" s="78">
        <v>273</v>
      </c>
      <c r="G208" s="27"/>
      <c r="J208" s="27"/>
      <c r="L208" s="144"/>
      <c r="O208" s="27"/>
    </row>
    <row r="209" spans="1:15" ht="15">
      <c r="A209" s="27"/>
      <c r="C209" s="152"/>
      <c r="D209" s="146"/>
      <c r="E209" s="79" t="s">
        <v>760</v>
      </c>
      <c r="F209" s="78">
        <v>69</v>
      </c>
      <c r="G209" s="27"/>
      <c r="H209" s="27" t="s">
        <v>614</v>
      </c>
      <c r="I209" s="27">
        <f>F207</f>
        <v>5300</v>
      </c>
      <c r="J209" s="27">
        <f>F206</f>
        <v>23865</v>
      </c>
      <c r="K209" s="27">
        <f>SUM(I209:J209)</f>
        <v>29165</v>
      </c>
      <c r="L209" s="144"/>
      <c r="O209" s="27"/>
    </row>
    <row r="210" spans="1:15" ht="15">
      <c r="A210" s="27"/>
      <c r="C210" s="152"/>
      <c r="D210" s="145">
        <v>2021</v>
      </c>
      <c r="E210" s="79" t="s">
        <v>761</v>
      </c>
      <c r="F210" s="78">
        <v>1584</v>
      </c>
      <c r="G210" s="27"/>
      <c r="J210" s="27"/>
      <c r="L210" s="144"/>
      <c r="O210" s="27"/>
    </row>
    <row r="211" spans="1:15" ht="15">
      <c r="A211" s="27"/>
      <c r="C211" s="146"/>
      <c r="D211" s="146"/>
      <c r="E211" s="79" t="s">
        <v>760</v>
      </c>
      <c r="F211" s="78">
        <v>314</v>
      </c>
      <c r="G211" s="27"/>
      <c r="H211" s="27" t="s">
        <v>613</v>
      </c>
      <c r="I211" s="27">
        <f>F209+F211</f>
        <v>383</v>
      </c>
      <c r="J211" s="27">
        <f>F208+F210</f>
        <v>1857</v>
      </c>
      <c r="K211" s="27">
        <f>SUM(I211:J211)</f>
        <v>2240</v>
      </c>
      <c r="L211" s="143" t="s">
        <v>763</v>
      </c>
      <c r="M211" s="27">
        <f>K209+K211</f>
        <v>31405</v>
      </c>
      <c r="O211" s="27"/>
    </row>
    <row r="212" spans="1:15" ht="15">
      <c r="A212" s="27"/>
      <c r="C212" s="145" t="s">
        <v>763</v>
      </c>
      <c r="D212" s="145">
        <v>2019</v>
      </c>
      <c r="E212" s="79" t="s">
        <v>761</v>
      </c>
      <c r="F212" s="78">
        <v>3919</v>
      </c>
      <c r="G212" s="27"/>
      <c r="H212" s="27"/>
      <c r="J212" s="27"/>
      <c r="L212" s="144"/>
      <c r="O212" s="27"/>
    </row>
    <row r="213" spans="1:15" ht="15">
      <c r="A213" s="27"/>
      <c r="C213" s="152"/>
      <c r="D213" s="146"/>
      <c r="E213" s="79" t="s">
        <v>760</v>
      </c>
      <c r="F213" s="78">
        <v>1747</v>
      </c>
      <c r="G213" s="27"/>
      <c r="J213" s="27"/>
      <c r="L213" s="144"/>
      <c r="O213" s="27"/>
    </row>
    <row r="214" spans="1:15" ht="15">
      <c r="A214" s="27"/>
      <c r="C214" s="152"/>
      <c r="D214" s="145">
        <v>2020</v>
      </c>
      <c r="E214" s="79" t="s">
        <v>761</v>
      </c>
      <c r="F214" s="78">
        <v>710</v>
      </c>
      <c r="G214" s="27"/>
      <c r="J214" s="27"/>
      <c r="L214" s="144"/>
      <c r="O214" s="27"/>
    </row>
    <row r="215" spans="1:15" ht="15">
      <c r="A215" s="27"/>
      <c r="C215" s="152"/>
      <c r="D215" s="146"/>
      <c r="E215" s="79" t="s">
        <v>760</v>
      </c>
      <c r="F215" s="78">
        <v>206</v>
      </c>
      <c r="G215" s="27"/>
      <c r="H215" s="27" t="s">
        <v>614</v>
      </c>
      <c r="I215" s="27">
        <f>F213</f>
        <v>1747</v>
      </c>
      <c r="J215" s="27">
        <f>F212</f>
        <v>3919</v>
      </c>
      <c r="K215" s="27">
        <f>SUM(I215:J215)</f>
        <v>5666</v>
      </c>
      <c r="L215" s="144"/>
      <c r="O215" s="27"/>
    </row>
    <row r="216" spans="1:15" ht="15">
      <c r="A216" s="27"/>
      <c r="C216" s="152"/>
      <c r="D216" s="145">
        <v>2021</v>
      </c>
      <c r="E216" s="79" t="s">
        <v>761</v>
      </c>
      <c r="F216" s="78">
        <v>550</v>
      </c>
      <c r="G216" s="27"/>
      <c r="J216" s="27"/>
      <c r="L216" s="144"/>
      <c r="O216" s="27"/>
    </row>
    <row r="217" spans="1:15" ht="15">
      <c r="A217" s="27"/>
      <c r="C217" s="146"/>
      <c r="D217" s="146"/>
      <c r="E217" s="79" t="s">
        <v>760</v>
      </c>
      <c r="F217" s="78">
        <v>237</v>
      </c>
      <c r="G217" s="27"/>
      <c r="H217" s="27" t="s">
        <v>613</v>
      </c>
      <c r="I217" s="27">
        <f>F215+F217</f>
        <v>443</v>
      </c>
      <c r="J217" s="27">
        <f>F214+F216</f>
        <v>1260</v>
      </c>
      <c r="K217" s="27">
        <f>SUM(I217:J217)</f>
        <v>1703</v>
      </c>
      <c r="L217" s="143" t="s">
        <v>762</v>
      </c>
      <c r="M217" s="27">
        <f>K215+K217</f>
        <v>7369</v>
      </c>
      <c r="O217" s="27"/>
    </row>
    <row r="218" spans="1:15" ht="15">
      <c r="A218" s="27"/>
      <c r="C218" s="145" t="s">
        <v>762</v>
      </c>
      <c r="D218" s="145">
        <v>2019</v>
      </c>
      <c r="E218" s="79" t="s">
        <v>761</v>
      </c>
      <c r="F218" s="78">
        <v>12023</v>
      </c>
      <c r="G218" s="27"/>
      <c r="H218" s="27"/>
      <c r="J218" s="27"/>
      <c r="L218" s="144"/>
      <c r="O218" s="27"/>
    </row>
    <row r="219" spans="1:15" ht="15">
      <c r="A219" s="27"/>
      <c r="C219" s="152"/>
      <c r="D219" s="146"/>
      <c r="E219" s="79" t="s">
        <v>760</v>
      </c>
      <c r="F219" s="78">
        <v>4365</v>
      </c>
      <c r="G219" s="27"/>
      <c r="J219" s="27"/>
      <c r="L219" s="144"/>
      <c r="O219" s="27"/>
    </row>
    <row r="220" spans="1:15" ht="15">
      <c r="A220" s="27"/>
      <c r="C220" s="152"/>
      <c r="D220" s="145">
        <v>2020</v>
      </c>
      <c r="E220" s="79" t="s">
        <v>761</v>
      </c>
      <c r="F220" s="78">
        <v>3704</v>
      </c>
      <c r="G220" s="27"/>
      <c r="J220" s="27"/>
      <c r="L220" s="144"/>
      <c r="O220" s="27"/>
    </row>
    <row r="221" spans="1:15" ht="15">
      <c r="A221" s="27"/>
      <c r="C221" s="152"/>
      <c r="D221" s="146"/>
      <c r="E221" s="79" t="s">
        <v>760</v>
      </c>
      <c r="F221" s="78">
        <v>1198</v>
      </c>
      <c r="G221" s="27"/>
      <c r="H221" s="27" t="s">
        <v>614</v>
      </c>
      <c r="I221" s="27">
        <f>F219</f>
        <v>4365</v>
      </c>
      <c r="J221" s="27">
        <f>F218</f>
        <v>12023</v>
      </c>
      <c r="K221" s="27">
        <f>SUM(I221:J221)</f>
        <v>16388</v>
      </c>
      <c r="L221" s="144"/>
      <c r="O221" s="27"/>
    </row>
    <row r="222" spans="1:15" ht="15">
      <c r="A222" s="27"/>
      <c r="C222" s="152"/>
      <c r="D222" s="145">
        <v>2021</v>
      </c>
      <c r="E222" s="79" t="s">
        <v>761</v>
      </c>
      <c r="F222" s="78">
        <v>2648</v>
      </c>
      <c r="G222" s="27"/>
      <c r="J222" s="27"/>
      <c r="L222" s="144"/>
      <c r="O222" s="27"/>
    </row>
    <row r="223" spans="1:15" ht="15">
      <c r="A223" s="27"/>
      <c r="C223" s="146"/>
      <c r="D223" s="146"/>
      <c r="E223" s="79" t="s">
        <v>760</v>
      </c>
      <c r="F223" s="78">
        <v>913</v>
      </c>
      <c r="G223" s="27"/>
      <c r="H223" s="27" t="s">
        <v>613</v>
      </c>
      <c r="I223" s="27">
        <f>F221+F223</f>
        <v>2111</v>
      </c>
      <c r="J223" s="27">
        <f>F220+F222</f>
        <v>6352</v>
      </c>
      <c r="K223" s="27">
        <f>SUM(I223:J223)</f>
        <v>8463</v>
      </c>
      <c r="L223" s="143" t="s">
        <v>354</v>
      </c>
      <c r="M223" s="27">
        <f>K221+K223</f>
        <v>24851</v>
      </c>
      <c r="O223" s="27"/>
    </row>
    <row r="224" spans="1:15" ht="15">
      <c r="A224" s="27"/>
      <c r="C224" s="145" t="s">
        <v>354</v>
      </c>
      <c r="D224" s="145">
        <v>2019</v>
      </c>
      <c r="E224" s="79" t="s">
        <v>761</v>
      </c>
      <c r="F224" s="78">
        <v>17202</v>
      </c>
      <c r="G224" s="27"/>
      <c r="H224" s="27"/>
      <c r="J224" s="27"/>
      <c r="L224" s="144"/>
      <c r="O224" s="27"/>
    </row>
    <row r="225" spans="1:15" ht="15">
      <c r="A225" s="27"/>
      <c r="C225" s="152"/>
      <c r="D225" s="146"/>
      <c r="E225" s="79" t="s">
        <v>760</v>
      </c>
      <c r="F225" s="78">
        <v>5712</v>
      </c>
      <c r="G225" s="27"/>
      <c r="J225" s="27"/>
      <c r="L225" s="144"/>
      <c r="O225" s="27"/>
    </row>
    <row r="226" spans="1:15" ht="15">
      <c r="A226" s="27"/>
      <c r="C226" s="152"/>
      <c r="D226" s="145">
        <v>2020</v>
      </c>
      <c r="E226" s="79" t="s">
        <v>761</v>
      </c>
      <c r="F226" s="78">
        <v>13559</v>
      </c>
      <c r="G226" s="27"/>
      <c r="J226" s="27"/>
      <c r="L226" s="144"/>
      <c r="O226" s="27"/>
    </row>
    <row r="227" spans="1:15" ht="15">
      <c r="A227" s="27"/>
      <c r="C227" s="152"/>
      <c r="D227" s="146"/>
      <c r="E227" s="79" t="s">
        <v>760</v>
      </c>
      <c r="F227" s="78">
        <v>4467</v>
      </c>
      <c r="G227" s="27"/>
      <c r="H227" s="27" t="s">
        <v>614</v>
      </c>
      <c r="I227" s="27">
        <f>F225</f>
        <v>5712</v>
      </c>
      <c r="J227" s="27">
        <f>F224</f>
        <v>17202</v>
      </c>
      <c r="K227" s="27">
        <f>SUM(I227:J227)</f>
        <v>22914</v>
      </c>
      <c r="L227" s="144"/>
      <c r="O227" s="27"/>
    </row>
    <row r="228" spans="1:15" ht="15">
      <c r="A228" s="27"/>
      <c r="C228" s="152"/>
      <c r="D228" s="145">
        <v>2021</v>
      </c>
      <c r="E228" s="79" t="s">
        <v>761</v>
      </c>
      <c r="F228" s="78">
        <v>3553</v>
      </c>
      <c r="G228" s="27"/>
      <c r="J228" s="27"/>
      <c r="L228" s="144"/>
      <c r="O228" s="27"/>
    </row>
    <row r="229" spans="1:15" ht="15">
      <c r="A229" s="27"/>
      <c r="C229" s="146"/>
      <c r="D229" s="146"/>
      <c r="E229" s="79" t="s">
        <v>760</v>
      </c>
      <c r="F229" s="78">
        <v>1064</v>
      </c>
      <c r="G229" s="27"/>
      <c r="H229" s="27" t="s">
        <v>613</v>
      </c>
      <c r="I229" s="27">
        <f>F227+F229</f>
        <v>5531</v>
      </c>
      <c r="J229" s="27">
        <f>F226+F228</f>
        <v>17112</v>
      </c>
      <c r="K229" s="27">
        <f>SUM(I229:J229)</f>
        <v>22643</v>
      </c>
      <c r="L229" s="143" t="s">
        <v>356</v>
      </c>
      <c r="M229" s="27">
        <f>K227+K229</f>
        <v>45557</v>
      </c>
      <c r="O229" s="27"/>
    </row>
    <row r="230" spans="1:15" ht="15">
      <c r="A230" s="27"/>
      <c r="C230" s="145" t="s">
        <v>356</v>
      </c>
      <c r="D230" s="145">
        <v>2019</v>
      </c>
      <c r="E230" s="79" t="s">
        <v>761</v>
      </c>
      <c r="F230" s="78">
        <v>13601</v>
      </c>
      <c r="G230" s="27"/>
      <c r="H230" s="27"/>
      <c r="J230" s="27"/>
      <c r="L230" s="144"/>
      <c r="O230" s="27"/>
    </row>
    <row r="231" spans="1:15" ht="15">
      <c r="A231" s="27"/>
      <c r="C231" s="152"/>
      <c r="D231" s="146"/>
      <c r="E231" s="79" t="s">
        <v>760</v>
      </c>
      <c r="F231" s="78">
        <v>8234</v>
      </c>
      <c r="G231" s="27"/>
      <c r="J231" s="27"/>
      <c r="L231" s="144"/>
      <c r="O231" s="27"/>
    </row>
    <row r="232" spans="1:15" ht="15">
      <c r="A232" s="27"/>
      <c r="C232" s="152"/>
      <c r="D232" s="145">
        <v>2020</v>
      </c>
      <c r="E232" s="79" t="s">
        <v>761</v>
      </c>
      <c r="F232" s="78">
        <v>16934</v>
      </c>
      <c r="G232" s="27"/>
      <c r="J232" s="27"/>
      <c r="L232" s="144"/>
      <c r="O232" s="27"/>
    </row>
    <row r="233" spans="1:15" ht="15">
      <c r="A233" s="27"/>
      <c r="C233" s="152"/>
      <c r="D233" s="146"/>
      <c r="E233" s="79" t="s">
        <v>760</v>
      </c>
      <c r="F233" s="78">
        <v>10471</v>
      </c>
      <c r="G233" s="27"/>
      <c r="H233" s="27" t="s">
        <v>614</v>
      </c>
      <c r="I233" s="27">
        <f>F231</f>
        <v>8234</v>
      </c>
      <c r="J233" s="27">
        <f>F230</f>
        <v>13601</v>
      </c>
      <c r="K233" s="27">
        <f>SUM(I233:J233)</f>
        <v>21835</v>
      </c>
      <c r="L233" s="144"/>
      <c r="O233" s="27"/>
    </row>
    <row r="234" spans="1:15" ht="15">
      <c r="A234" s="27"/>
      <c r="C234" s="152"/>
      <c r="D234" s="145">
        <v>2021</v>
      </c>
      <c r="E234" s="79" t="s">
        <v>761</v>
      </c>
      <c r="F234" s="78">
        <v>4036</v>
      </c>
      <c r="G234" s="27"/>
      <c r="J234" s="27"/>
      <c r="L234" s="144"/>
      <c r="O234" s="27"/>
    </row>
    <row r="235" spans="1:15" ht="15">
      <c r="A235" s="27"/>
      <c r="C235" s="146"/>
      <c r="D235" s="146"/>
      <c r="E235" s="79" t="s">
        <v>760</v>
      </c>
      <c r="F235" s="78">
        <v>2355</v>
      </c>
      <c r="G235" s="27"/>
      <c r="H235" s="27" t="s">
        <v>613</v>
      </c>
      <c r="I235" s="27">
        <f>F233+F235</f>
        <v>12826</v>
      </c>
      <c r="J235" s="27">
        <f>F232+F234</f>
        <v>20970</v>
      </c>
      <c r="K235" s="27">
        <f>SUM(I235:J235)</f>
        <v>33796</v>
      </c>
      <c r="L235" s="143" t="s">
        <v>358</v>
      </c>
      <c r="M235" s="27">
        <f>K233+K235</f>
        <v>55631</v>
      </c>
      <c r="O235" s="27"/>
    </row>
    <row r="236" spans="1:15" ht="15">
      <c r="A236" s="27"/>
      <c r="C236" s="145" t="s">
        <v>358</v>
      </c>
      <c r="D236" s="145">
        <v>2019</v>
      </c>
      <c r="E236" s="79" t="s">
        <v>761</v>
      </c>
      <c r="F236" s="78">
        <v>1321</v>
      </c>
      <c r="G236" s="27"/>
      <c r="H236" s="27"/>
      <c r="J236" s="27"/>
      <c r="L236" s="144"/>
      <c r="O236" s="27"/>
    </row>
    <row r="237" spans="1:15" ht="15">
      <c r="A237" s="27"/>
      <c r="C237" s="152"/>
      <c r="D237" s="146"/>
      <c r="E237" s="79" t="s">
        <v>760</v>
      </c>
      <c r="F237" s="78">
        <v>416</v>
      </c>
      <c r="G237" s="27"/>
      <c r="J237" s="27"/>
      <c r="L237" s="144"/>
      <c r="O237" s="27"/>
    </row>
    <row r="238" spans="1:15" ht="15">
      <c r="A238" s="27"/>
      <c r="C238" s="152"/>
      <c r="D238" s="145">
        <v>2020</v>
      </c>
      <c r="E238" s="79" t="s">
        <v>761</v>
      </c>
      <c r="F238" s="78">
        <v>33</v>
      </c>
      <c r="G238" s="27"/>
      <c r="J238" s="27"/>
      <c r="L238" s="144"/>
      <c r="O238" s="27"/>
    </row>
    <row r="239" spans="1:15" ht="15">
      <c r="A239" s="27"/>
      <c r="C239" s="152"/>
      <c r="D239" s="146"/>
      <c r="E239" s="79" t="s">
        <v>760</v>
      </c>
      <c r="F239" s="78">
        <v>13</v>
      </c>
      <c r="G239" s="27"/>
      <c r="H239" s="27" t="s">
        <v>614</v>
      </c>
      <c r="I239" s="27">
        <f>F237+F239</f>
        <v>429</v>
      </c>
      <c r="J239" s="27">
        <f>F236+F238</f>
        <v>1354</v>
      </c>
      <c r="K239" s="27">
        <f>SUM(I239:J239)</f>
        <v>1783</v>
      </c>
      <c r="L239" s="144"/>
      <c r="O239" s="27"/>
    </row>
    <row r="240" spans="1:15" ht="15">
      <c r="A240" s="27"/>
      <c r="C240" s="152"/>
      <c r="D240" s="145">
        <v>2021</v>
      </c>
      <c r="E240" s="79" t="s">
        <v>761</v>
      </c>
      <c r="F240" s="78">
        <v>599</v>
      </c>
      <c r="G240" s="27"/>
      <c r="J240" s="27"/>
      <c r="L240" s="144"/>
      <c r="O240" s="27"/>
    </row>
    <row r="241" spans="1:15" ht="15">
      <c r="A241" s="27"/>
      <c r="C241" s="146"/>
      <c r="D241" s="146"/>
      <c r="E241" s="79" t="s">
        <v>760</v>
      </c>
      <c r="F241" s="78">
        <v>143</v>
      </c>
      <c r="G241" s="27"/>
      <c r="H241" s="27" t="s">
        <v>613</v>
      </c>
      <c r="I241" s="27">
        <f>F239+F241</f>
        <v>156</v>
      </c>
      <c r="J241" s="27">
        <f>F238+F240</f>
        <v>632</v>
      </c>
      <c r="K241" s="27">
        <f>SUM(I241:J241)</f>
        <v>788</v>
      </c>
      <c r="L241" s="143" t="s">
        <v>360</v>
      </c>
      <c r="M241" s="27">
        <f>K239+K241</f>
        <v>2571</v>
      </c>
      <c r="O241" s="27"/>
    </row>
    <row r="242" spans="1:15" ht="15">
      <c r="A242" s="27"/>
      <c r="C242" s="145" t="s">
        <v>360</v>
      </c>
      <c r="D242" s="145">
        <v>2019</v>
      </c>
      <c r="E242" s="79" t="s">
        <v>760</v>
      </c>
      <c r="F242" s="78">
        <v>4133</v>
      </c>
      <c r="G242" s="27"/>
      <c r="H242" s="27"/>
      <c r="J242" s="27"/>
      <c r="L242" s="144"/>
      <c r="O242" s="27"/>
    </row>
    <row r="243" spans="1:15" ht="15">
      <c r="A243" s="27"/>
      <c r="C243" s="152"/>
      <c r="D243" s="146"/>
      <c r="E243" s="79" t="s">
        <v>761</v>
      </c>
      <c r="F243" s="78">
        <v>4053</v>
      </c>
      <c r="G243" s="27"/>
      <c r="J243" s="27"/>
      <c r="L243" s="144"/>
      <c r="O243" s="27"/>
    </row>
    <row r="244" spans="1:15" ht="15">
      <c r="A244" s="27"/>
      <c r="C244" s="152"/>
      <c r="D244" s="145">
        <v>2020</v>
      </c>
      <c r="E244" s="79" t="s">
        <v>760</v>
      </c>
      <c r="F244" s="78">
        <v>6402</v>
      </c>
      <c r="G244" s="27"/>
      <c r="J244" s="27"/>
      <c r="L244" s="144"/>
      <c r="O244" s="27"/>
    </row>
    <row r="245" spans="1:15" ht="15">
      <c r="A245" s="27"/>
      <c r="C245" s="152"/>
      <c r="D245" s="146"/>
      <c r="E245" s="79" t="s">
        <v>761</v>
      </c>
      <c r="F245" s="78">
        <v>5660</v>
      </c>
      <c r="G245" s="27"/>
      <c r="H245" s="27" t="s">
        <v>614</v>
      </c>
      <c r="I245" s="27">
        <f>F242</f>
        <v>4133</v>
      </c>
      <c r="J245" s="27">
        <f>F243</f>
        <v>4053</v>
      </c>
      <c r="K245" s="27">
        <f>SUM(I245:J245)</f>
        <v>8186</v>
      </c>
      <c r="L245" s="144"/>
      <c r="O245" s="27"/>
    </row>
    <row r="246" spans="1:15" ht="15">
      <c r="A246" s="27"/>
      <c r="C246" s="152"/>
      <c r="D246" s="145">
        <v>2021</v>
      </c>
      <c r="E246" s="79" t="s">
        <v>760</v>
      </c>
      <c r="F246" s="78">
        <v>891</v>
      </c>
      <c r="G246" s="27"/>
      <c r="J246" s="27"/>
      <c r="L246" s="144"/>
      <c r="O246" s="27"/>
    </row>
    <row r="247" spans="1:15" ht="15">
      <c r="A247" s="27"/>
      <c r="C247" s="146"/>
      <c r="D247" s="146"/>
      <c r="E247" s="79" t="s">
        <v>761</v>
      </c>
      <c r="F247" s="78">
        <v>855</v>
      </c>
      <c r="G247" s="27"/>
      <c r="H247" s="27" t="s">
        <v>613</v>
      </c>
      <c r="I247" s="27">
        <f>F244+F246</f>
        <v>7293</v>
      </c>
      <c r="J247" s="27">
        <f>F245+F247</f>
        <v>6515</v>
      </c>
      <c r="K247" s="27">
        <f>SUM(I247:J247)</f>
        <v>13808</v>
      </c>
      <c r="L247" s="143" t="s">
        <v>363</v>
      </c>
      <c r="M247" s="27">
        <f>K245+K247</f>
        <v>21994</v>
      </c>
      <c r="O247" s="27"/>
    </row>
    <row r="248" spans="1:15" ht="15">
      <c r="A248" s="27"/>
      <c r="C248" s="145" t="s">
        <v>363</v>
      </c>
      <c r="D248" s="145">
        <v>2019</v>
      </c>
      <c r="E248" s="79" t="s">
        <v>761</v>
      </c>
      <c r="F248" s="78">
        <v>43248</v>
      </c>
      <c r="G248" s="27"/>
      <c r="H248" s="27"/>
      <c r="J248" s="27"/>
      <c r="L248" s="144"/>
      <c r="O248" s="27"/>
    </row>
    <row r="249" spans="1:15" ht="15">
      <c r="A249" s="27"/>
      <c r="C249" s="152"/>
      <c r="D249" s="146"/>
      <c r="E249" s="79" t="s">
        <v>760</v>
      </c>
      <c r="F249" s="78">
        <v>30818</v>
      </c>
      <c r="G249" s="27"/>
      <c r="J249" s="27"/>
      <c r="L249" s="144"/>
      <c r="O249" s="27"/>
    </row>
    <row r="250" spans="1:15" ht="15">
      <c r="A250" s="27"/>
      <c r="C250" s="152"/>
      <c r="D250" s="145">
        <v>2020</v>
      </c>
      <c r="E250" s="79" t="s">
        <v>761</v>
      </c>
      <c r="F250" s="78">
        <v>14032</v>
      </c>
      <c r="G250" s="27"/>
      <c r="J250" s="27"/>
      <c r="L250" s="144"/>
      <c r="O250" s="27"/>
    </row>
    <row r="251" spans="1:15" ht="15">
      <c r="A251" s="27"/>
      <c r="C251" s="152"/>
      <c r="D251" s="146"/>
      <c r="E251" s="79" t="s">
        <v>760</v>
      </c>
      <c r="F251" s="78">
        <v>10170</v>
      </c>
      <c r="G251" s="27"/>
      <c r="H251" s="27" t="s">
        <v>614</v>
      </c>
      <c r="I251" s="27">
        <f>F249</f>
        <v>30818</v>
      </c>
      <c r="J251" s="27">
        <f>F248</f>
        <v>43248</v>
      </c>
      <c r="K251" s="27">
        <f>SUM(I251:J251)</f>
        <v>74066</v>
      </c>
      <c r="L251" s="144"/>
      <c r="O251" s="27"/>
    </row>
    <row r="252" spans="1:15" ht="15">
      <c r="A252" s="27"/>
      <c r="C252" s="152"/>
      <c r="D252" s="145">
        <v>2021</v>
      </c>
      <c r="E252" s="79" t="s">
        <v>761</v>
      </c>
      <c r="F252" s="78">
        <v>2588</v>
      </c>
      <c r="G252" s="27"/>
      <c r="J252" s="27"/>
      <c r="L252" s="144"/>
      <c r="O252" s="27"/>
    </row>
    <row r="253" spans="1:15" ht="15">
      <c r="A253" s="27"/>
      <c r="C253" s="146"/>
      <c r="D253" s="146"/>
      <c r="E253" s="79" t="s">
        <v>760</v>
      </c>
      <c r="F253" s="78">
        <v>1892</v>
      </c>
      <c r="G253" s="27"/>
      <c r="H253" s="27" t="s">
        <v>613</v>
      </c>
      <c r="I253" s="27">
        <f>F251+F253</f>
        <v>12062</v>
      </c>
      <c r="J253" s="27">
        <f>F250+F252</f>
        <v>16620</v>
      </c>
      <c r="K253" s="27">
        <f>SUM(I253:J253)</f>
        <v>28682</v>
      </c>
      <c r="L253" s="143" t="s">
        <v>365</v>
      </c>
      <c r="M253" s="27">
        <f>K251+K253</f>
        <v>102748</v>
      </c>
      <c r="O253" s="27"/>
    </row>
    <row r="254" spans="1:15" ht="15">
      <c r="A254" s="27"/>
      <c r="C254" s="145" t="s">
        <v>365</v>
      </c>
      <c r="D254" s="145">
        <v>2019</v>
      </c>
      <c r="E254" s="79" t="s">
        <v>761</v>
      </c>
      <c r="F254" s="78">
        <v>19235</v>
      </c>
      <c r="G254" s="27"/>
      <c r="H254" s="27"/>
      <c r="J254" s="27"/>
      <c r="L254" s="144"/>
      <c r="O254" s="27"/>
    </row>
    <row r="255" spans="1:15" ht="15">
      <c r="A255" s="27"/>
      <c r="C255" s="152"/>
      <c r="D255" s="146"/>
      <c r="E255" s="79" t="s">
        <v>760</v>
      </c>
      <c r="F255" s="78">
        <v>4553</v>
      </c>
      <c r="G255" s="27"/>
      <c r="J255" s="27"/>
      <c r="L255" s="144"/>
      <c r="O255" s="27"/>
    </row>
    <row r="256" spans="1:15" ht="15">
      <c r="A256" s="27"/>
      <c r="C256" s="152"/>
      <c r="D256" s="145">
        <v>2020</v>
      </c>
      <c r="E256" s="79" t="s">
        <v>761</v>
      </c>
      <c r="F256" s="78">
        <v>5192</v>
      </c>
      <c r="G256" s="27"/>
      <c r="J256" s="27"/>
      <c r="L256" s="144"/>
      <c r="O256" s="27"/>
    </row>
    <row r="257" spans="1:15" ht="15">
      <c r="A257" s="27"/>
      <c r="C257" s="152"/>
      <c r="D257" s="146"/>
      <c r="E257" s="79" t="s">
        <v>760</v>
      </c>
      <c r="F257" s="78">
        <v>1289</v>
      </c>
      <c r="G257" s="27"/>
      <c r="H257" s="27" t="s">
        <v>614</v>
      </c>
      <c r="I257" s="27">
        <f>F255</f>
        <v>4553</v>
      </c>
      <c r="J257" s="27">
        <f>F254</f>
        <v>19235</v>
      </c>
      <c r="K257" s="27">
        <f>SUM(I257:J257)</f>
        <v>23788</v>
      </c>
      <c r="L257" s="144"/>
      <c r="O257" s="27"/>
    </row>
    <row r="258" spans="1:15" ht="15">
      <c r="A258" s="27"/>
      <c r="C258" s="152"/>
      <c r="D258" s="145">
        <v>2021</v>
      </c>
      <c r="E258" s="79" t="s">
        <v>761</v>
      </c>
      <c r="F258" s="78">
        <v>5754</v>
      </c>
      <c r="G258" s="27"/>
      <c r="J258" s="27"/>
      <c r="L258" s="144"/>
      <c r="O258" s="27"/>
    </row>
    <row r="259" spans="1:15" ht="15">
      <c r="A259" s="27"/>
      <c r="C259" s="146"/>
      <c r="D259" s="146"/>
      <c r="E259" s="79" t="s">
        <v>760</v>
      </c>
      <c r="F259" s="78">
        <v>1408</v>
      </c>
      <c r="G259" s="27"/>
      <c r="H259" s="27" t="s">
        <v>613</v>
      </c>
      <c r="I259" s="27">
        <f>F257+F259</f>
        <v>2697</v>
      </c>
      <c r="J259" s="27">
        <f>F256+F258</f>
        <v>10946</v>
      </c>
      <c r="K259" s="27">
        <f>SUM(I259:J259)</f>
        <v>13643</v>
      </c>
      <c r="L259" s="143" t="s">
        <v>367</v>
      </c>
      <c r="M259" s="27">
        <f>K257+K259</f>
        <v>37431</v>
      </c>
      <c r="O259" s="27"/>
    </row>
    <row r="260" spans="1:15" ht="15">
      <c r="A260" s="27"/>
      <c r="C260" s="145" t="s">
        <v>367</v>
      </c>
      <c r="D260" s="145">
        <v>2019</v>
      </c>
      <c r="E260" s="79" t="s">
        <v>761</v>
      </c>
      <c r="F260" s="78">
        <v>30933</v>
      </c>
      <c r="G260" s="27"/>
      <c r="H260" s="27"/>
      <c r="J260" s="27"/>
      <c r="L260" s="144"/>
      <c r="O260" s="27"/>
    </row>
    <row r="261" spans="1:15" ht="15">
      <c r="A261" s="27"/>
      <c r="C261" s="152"/>
      <c r="D261" s="146"/>
      <c r="E261" s="79" t="s">
        <v>760</v>
      </c>
      <c r="F261" s="78">
        <v>18081</v>
      </c>
      <c r="G261" s="27"/>
      <c r="J261" s="27"/>
      <c r="L261" s="144"/>
      <c r="O261" s="27"/>
    </row>
    <row r="262" spans="1:15" ht="15">
      <c r="A262" s="27"/>
      <c r="C262" s="152"/>
      <c r="D262" s="145">
        <v>2020</v>
      </c>
      <c r="E262" s="79" t="s">
        <v>761</v>
      </c>
      <c r="F262" s="78">
        <v>23591</v>
      </c>
      <c r="G262" s="27"/>
      <c r="J262" s="27"/>
      <c r="L262" s="144"/>
      <c r="O262" s="27"/>
    </row>
    <row r="263" spans="1:15" ht="15">
      <c r="A263" s="27"/>
      <c r="C263" s="152"/>
      <c r="D263" s="146"/>
      <c r="E263" s="79" t="s">
        <v>760</v>
      </c>
      <c r="F263" s="78">
        <v>13649</v>
      </c>
      <c r="G263" s="27"/>
      <c r="H263" s="27" t="s">
        <v>614</v>
      </c>
      <c r="I263" s="27">
        <f>F261</f>
        <v>18081</v>
      </c>
      <c r="J263" s="27">
        <f>F260</f>
        <v>30933</v>
      </c>
      <c r="K263" s="27">
        <f>SUM(I263:J263)</f>
        <v>49014</v>
      </c>
      <c r="L263" s="144"/>
      <c r="O263" s="27"/>
    </row>
    <row r="264" spans="1:15" ht="15">
      <c r="A264" s="27"/>
      <c r="C264" s="152"/>
      <c r="D264" s="145">
        <v>2021</v>
      </c>
      <c r="E264" s="79" t="s">
        <v>761</v>
      </c>
      <c r="F264" s="78">
        <v>32472</v>
      </c>
      <c r="G264" s="27"/>
      <c r="J264" s="27"/>
      <c r="L264" s="144"/>
      <c r="O264" s="27"/>
    </row>
    <row r="265" spans="1:15" ht="15">
      <c r="A265" s="27"/>
      <c r="C265" s="146"/>
      <c r="D265" s="146"/>
      <c r="E265" s="79" t="s">
        <v>760</v>
      </c>
      <c r="F265" s="78">
        <v>19213</v>
      </c>
      <c r="G265" s="27"/>
      <c r="H265" s="27" t="s">
        <v>613</v>
      </c>
      <c r="I265" s="27">
        <f>F263+F265</f>
        <v>32862</v>
      </c>
      <c r="J265" s="27">
        <f>F262+F264</f>
        <v>56063</v>
      </c>
      <c r="K265" s="27">
        <f>SUM(I265:J265)</f>
        <v>88925</v>
      </c>
      <c r="L265" s="143" t="s">
        <v>176</v>
      </c>
      <c r="M265" s="27">
        <f>K263+K265</f>
        <v>137939</v>
      </c>
      <c r="O265" s="27"/>
    </row>
    <row r="266" spans="1:15" ht="15">
      <c r="A266" s="27"/>
      <c r="C266" s="145" t="s">
        <v>176</v>
      </c>
      <c r="D266" s="145">
        <v>2019</v>
      </c>
      <c r="E266" s="79" t="s">
        <v>761</v>
      </c>
      <c r="F266" s="78">
        <v>4070</v>
      </c>
      <c r="G266" s="27"/>
      <c r="H266" s="27"/>
      <c r="J266" s="27"/>
      <c r="L266" s="144"/>
      <c r="O266" s="27"/>
    </row>
    <row r="267" spans="1:15" ht="15">
      <c r="A267" s="27"/>
      <c r="C267" s="152"/>
      <c r="D267" s="146"/>
      <c r="E267" s="79" t="s">
        <v>760</v>
      </c>
      <c r="F267" s="78">
        <v>3188</v>
      </c>
      <c r="G267" s="27"/>
      <c r="J267" s="27"/>
      <c r="L267" s="144"/>
      <c r="O267" s="27"/>
    </row>
    <row r="268" spans="1:15" ht="15">
      <c r="A268" s="27"/>
      <c r="C268" s="152"/>
      <c r="D268" s="145">
        <v>2020</v>
      </c>
      <c r="E268" s="79" t="s">
        <v>761</v>
      </c>
      <c r="F268" s="78">
        <v>985</v>
      </c>
      <c r="G268" s="27"/>
      <c r="J268" s="27"/>
      <c r="L268" s="144"/>
      <c r="O268" s="27"/>
    </row>
    <row r="269" spans="1:15" ht="15">
      <c r="A269" s="27"/>
      <c r="C269" s="152"/>
      <c r="D269" s="146"/>
      <c r="E269" s="79" t="s">
        <v>760</v>
      </c>
      <c r="F269" s="78">
        <v>820</v>
      </c>
      <c r="G269" s="27"/>
      <c r="H269" s="27" t="s">
        <v>614</v>
      </c>
      <c r="I269" s="27">
        <f>F267</f>
        <v>3188</v>
      </c>
      <c r="J269" s="27">
        <f>F266</f>
        <v>4070</v>
      </c>
      <c r="K269" s="27">
        <f>SUM(I269:J269)</f>
        <v>7258</v>
      </c>
      <c r="L269" s="144"/>
      <c r="O269" s="27"/>
    </row>
    <row r="270" spans="1:15" ht="15">
      <c r="A270" s="27"/>
      <c r="C270" s="152"/>
      <c r="D270" s="145">
        <v>2021</v>
      </c>
      <c r="E270" s="79" t="s">
        <v>761</v>
      </c>
      <c r="F270" s="78">
        <v>631</v>
      </c>
      <c r="G270" s="27"/>
      <c r="J270" s="27"/>
      <c r="L270" s="144"/>
      <c r="O270" s="27"/>
    </row>
    <row r="271" spans="1:15" ht="15">
      <c r="A271" s="27"/>
      <c r="C271" s="146"/>
      <c r="D271" s="146"/>
      <c r="E271" s="79" t="s">
        <v>760</v>
      </c>
      <c r="F271" s="78">
        <v>554</v>
      </c>
      <c r="G271" s="27"/>
      <c r="H271" s="27" t="s">
        <v>613</v>
      </c>
      <c r="I271" s="27">
        <f>F269+F271</f>
        <v>1374</v>
      </c>
      <c r="J271" s="27">
        <f>F268+F270</f>
        <v>1616</v>
      </c>
      <c r="K271" s="27">
        <f>SUM(I271:J271)</f>
        <v>2990</v>
      </c>
      <c r="L271" s="143" t="s">
        <v>370</v>
      </c>
      <c r="M271" s="27">
        <f>K269+K271</f>
        <v>10248</v>
      </c>
      <c r="O271" s="27"/>
    </row>
    <row r="272" spans="1:15" ht="15">
      <c r="A272" s="27"/>
      <c r="C272" s="145" t="s">
        <v>370</v>
      </c>
      <c r="D272" s="145">
        <v>2019</v>
      </c>
      <c r="E272" s="79" t="s">
        <v>761</v>
      </c>
      <c r="F272" s="78">
        <v>31851</v>
      </c>
      <c r="G272" s="27"/>
      <c r="H272" s="27"/>
      <c r="J272" s="27"/>
      <c r="L272" s="144"/>
      <c r="O272" s="27"/>
    </row>
    <row r="273" spans="1:15" ht="15">
      <c r="A273" s="27"/>
      <c r="C273" s="152"/>
      <c r="D273" s="146"/>
      <c r="E273" s="79" t="s">
        <v>760</v>
      </c>
      <c r="F273" s="78">
        <v>19076</v>
      </c>
      <c r="G273" s="27"/>
      <c r="J273" s="27"/>
      <c r="L273" s="144"/>
      <c r="O273" s="27"/>
    </row>
    <row r="274" spans="1:15" ht="15">
      <c r="A274" s="27"/>
      <c r="C274" s="152"/>
      <c r="D274" s="145">
        <v>2020</v>
      </c>
      <c r="E274" s="79" t="s">
        <v>761</v>
      </c>
      <c r="F274" s="78">
        <v>14513</v>
      </c>
      <c r="G274" s="27"/>
      <c r="J274" s="27"/>
      <c r="L274" s="144"/>
      <c r="O274" s="27"/>
    </row>
    <row r="275" spans="1:15" ht="15">
      <c r="A275" s="27"/>
      <c r="C275" s="152"/>
      <c r="D275" s="146"/>
      <c r="E275" s="79" t="s">
        <v>760</v>
      </c>
      <c r="F275" s="78">
        <v>8861</v>
      </c>
      <c r="G275" s="27"/>
      <c r="H275" s="27" t="s">
        <v>614</v>
      </c>
      <c r="I275" s="27">
        <f>F273</f>
        <v>19076</v>
      </c>
      <c r="J275" s="27">
        <f>F272</f>
        <v>31851</v>
      </c>
      <c r="K275" s="27">
        <f>SUM(I275:J275)</f>
        <v>50927</v>
      </c>
      <c r="L275" s="144"/>
      <c r="O275" s="27"/>
    </row>
    <row r="276" spans="1:15" ht="15">
      <c r="A276" s="27"/>
      <c r="C276" s="152"/>
      <c r="D276" s="145">
        <v>2021</v>
      </c>
      <c r="E276" s="79" t="s">
        <v>761</v>
      </c>
      <c r="F276" s="78">
        <v>7436</v>
      </c>
      <c r="G276" s="27"/>
      <c r="J276" s="27"/>
      <c r="L276" s="144"/>
      <c r="O276" s="27"/>
    </row>
    <row r="277" spans="1:15" ht="15">
      <c r="A277" s="27"/>
      <c r="C277" s="146"/>
      <c r="D277" s="146"/>
      <c r="E277" s="79" t="s">
        <v>760</v>
      </c>
      <c r="F277" s="78">
        <v>4563</v>
      </c>
      <c r="G277" s="27"/>
      <c r="H277" s="27" t="s">
        <v>613</v>
      </c>
      <c r="I277" s="27">
        <f>F275+F277</f>
        <v>13424</v>
      </c>
      <c r="J277" s="27">
        <f>F274+F276</f>
        <v>21949</v>
      </c>
      <c r="K277" s="27">
        <f>SUM(I277:J277)</f>
        <v>35373</v>
      </c>
      <c r="L277" s="143" t="s">
        <v>372</v>
      </c>
      <c r="M277" s="27">
        <f>K275+K277</f>
        <v>86300</v>
      </c>
      <c r="O277" s="27"/>
    </row>
    <row r="278" spans="1:15" ht="15">
      <c r="A278" s="27"/>
      <c r="C278" s="145" t="s">
        <v>372</v>
      </c>
      <c r="D278" s="145">
        <v>2019</v>
      </c>
      <c r="E278" s="79" t="s">
        <v>761</v>
      </c>
      <c r="F278" s="78">
        <v>4642</v>
      </c>
      <c r="G278" s="27"/>
      <c r="H278" s="27"/>
      <c r="J278" s="27"/>
      <c r="L278" s="144"/>
      <c r="O278" s="27"/>
    </row>
    <row r="279" spans="1:15" ht="15">
      <c r="A279" s="27"/>
      <c r="C279" s="152"/>
      <c r="D279" s="146"/>
      <c r="E279" s="79" t="s">
        <v>760</v>
      </c>
      <c r="F279" s="78">
        <v>1684</v>
      </c>
      <c r="G279" s="27"/>
      <c r="J279" s="27"/>
      <c r="L279" s="144"/>
      <c r="O279" s="27"/>
    </row>
    <row r="280" spans="1:15" ht="15">
      <c r="A280" s="27"/>
      <c r="C280" s="152"/>
      <c r="D280" s="145">
        <v>2020</v>
      </c>
      <c r="E280" s="79" t="s">
        <v>761</v>
      </c>
      <c r="F280" s="78">
        <v>13542</v>
      </c>
      <c r="G280" s="27"/>
      <c r="J280" s="27"/>
      <c r="L280" s="144"/>
      <c r="O280" s="27"/>
    </row>
    <row r="281" spans="1:15" ht="15">
      <c r="A281" s="27"/>
      <c r="C281" s="152"/>
      <c r="D281" s="146"/>
      <c r="E281" s="79" t="s">
        <v>760</v>
      </c>
      <c r="F281" s="78">
        <v>4311</v>
      </c>
      <c r="G281" s="27"/>
      <c r="H281" s="27" t="s">
        <v>614</v>
      </c>
      <c r="I281" s="27">
        <f>F279</f>
        <v>1684</v>
      </c>
      <c r="J281" s="27">
        <f>F278</f>
        <v>4642</v>
      </c>
      <c r="K281" s="27">
        <f>SUM(I281:J281)</f>
        <v>6326</v>
      </c>
      <c r="L281" s="144"/>
      <c r="O281" s="27"/>
    </row>
    <row r="282" spans="1:15" ht="15">
      <c r="A282" s="27"/>
      <c r="C282" s="152"/>
      <c r="D282" s="145">
        <v>2021</v>
      </c>
      <c r="E282" s="79" t="s">
        <v>761</v>
      </c>
      <c r="F282" s="78">
        <v>727</v>
      </c>
      <c r="G282" s="27"/>
      <c r="J282" s="27"/>
      <c r="L282" s="144"/>
      <c r="O282" s="27"/>
    </row>
    <row r="283" spans="1:15" ht="15">
      <c r="A283" s="27"/>
      <c r="C283" s="146"/>
      <c r="D283" s="146"/>
      <c r="E283" s="79" t="s">
        <v>760</v>
      </c>
      <c r="F283" s="78">
        <v>220</v>
      </c>
      <c r="G283" s="27"/>
      <c r="H283" s="27" t="s">
        <v>613</v>
      </c>
      <c r="I283" s="27">
        <f>F281+F283</f>
        <v>4531</v>
      </c>
      <c r="J283" s="27">
        <f>F280+F282</f>
        <v>14269</v>
      </c>
      <c r="K283" s="27">
        <f>SUM(I283:J283)</f>
        <v>18800</v>
      </c>
      <c r="L283" s="143" t="s">
        <v>374</v>
      </c>
      <c r="M283" s="27">
        <f>K281+K283</f>
        <v>25126</v>
      </c>
      <c r="O283" s="27"/>
    </row>
    <row r="284" spans="1:15" ht="15">
      <c r="A284" s="27"/>
      <c r="C284" s="145" t="s">
        <v>374</v>
      </c>
      <c r="D284" s="145">
        <v>2019</v>
      </c>
      <c r="E284" s="79" t="s">
        <v>761</v>
      </c>
      <c r="F284" s="78">
        <v>19311</v>
      </c>
      <c r="G284" s="27"/>
      <c r="H284" s="27"/>
      <c r="J284" s="27"/>
      <c r="L284" s="144"/>
      <c r="O284" s="27"/>
    </row>
    <row r="285" spans="1:15" ht="15">
      <c r="A285" s="27"/>
      <c r="C285" s="152"/>
      <c r="D285" s="146"/>
      <c r="E285" s="79" t="s">
        <v>760</v>
      </c>
      <c r="F285" s="78">
        <v>11616</v>
      </c>
      <c r="G285" s="27"/>
      <c r="J285" s="27"/>
      <c r="L285" s="144"/>
      <c r="O285" s="27"/>
    </row>
    <row r="286" spans="1:15" ht="15">
      <c r="A286" s="27"/>
      <c r="C286" s="152"/>
      <c r="D286" s="145">
        <v>2020</v>
      </c>
      <c r="E286" s="79" t="s">
        <v>761</v>
      </c>
      <c r="F286" s="78">
        <v>5491</v>
      </c>
      <c r="G286" s="27"/>
      <c r="J286" s="27"/>
      <c r="L286" s="144"/>
      <c r="O286" s="27"/>
    </row>
    <row r="287" spans="1:15" ht="15">
      <c r="A287" s="27"/>
      <c r="C287" s="152"/>
      <c r="D287" s="146"/>
      <c r="E287" s="79" t="s">
        <v>760</v>
      </c>
      <c r="F287" s="78">
        <v>3226</v>
      </c>
      <c r="G287" s="27"/>
      <c r="H287" s="27" t="s">
        <v>614</v>
      </c>
      <c r="I287" s="27">
        <f>F285</f>
        <v>11616</v>
      </c>
      <c r="J287" s="27">
        <f>F284</f>
        <v>19311</v>
      </c>
      <c r="K287" s="27">
        <f>SUM(I287:J287)</f>
        <v>30927</v>
      </c>
      <c r="L287" s="144"/>
      <c r="O287" s="27"/>
    </row>
    <row r="288" spans="1:15" ht="15">
      <c r="A288" s="27"/>
      <c r="C288" s="152"/>
      <c r="D288" s="145">
        <v>2021</v>
      </c>
      <c r="E288" s="79" t="s">
        <v>761</v>
      </c>
      <c r="F288" s="78">
        <v>4423</v>
      </c>
      <c r="G288" s="27"/>
      <c r="J288" s="27"/>
      <c r="L288" s="144"/>
      <c r="O288" s="27"/>
    </row>
    <row r="289" spans="1:15" ht="15">
      <c r="A289" s="27"/>
      <c r="C289" s="146"/>
      <c r="D289" s="146"/>
      <c r="E289" s="79" t="s">
        <v>760</v>
      </c>
      <c r="F289" s="78">
        <v>2616</v>
      </c>
      <c r="G289" s="27"/>
      <c r="H289" s="27" t="s">
        <v>613</v>
      </c>
      <c r="I289" s="27">
        <f>F287+F289</f>
        <v>5842</v>
      </c>
      <c r="J289" s="27">
        <f>F286+F288</f>
        <v>9914</v>
      </c>
      <c r="K289" s="27">
        <f>SUM(I289:J289)</f>
        <v>15756</v>
      </c>
      <c r="L289" s="143" t="s">
        <v>376</v>
      </c>
      <c r="M289" s="27">
        <f>K287+K289</f>
        <v>46683</v>
      </c>
      <c r="O289" s="27"/>
    </row>
    <row r="290" spans="1:15" ht="15">
      <c r="A290" s="27"/>
      <c r="C290" s="145" t="s">
        <v>376</v>
      </c>
      <c r="D290" s="145">
        <v>2019</v>
      </c>
      <c r="E290" s="79" t="s">
        <v>761</v>
      </c>
      <c r="F290" s="78">
        <v>12902</v>
      </c>
      <c r="G290" s="27"/>
      <c r="H290" s="27"/>
      <c r="J290" s="27"/>
      <c r="L290" s="144"/>
      <c r="O290" s="27"/>
    </row>
    <row r="291" spans="1:15" ht="15">
      <c r="A291" s="27"/>
      <c r="C291" s="152"/>
      <c r="D291" s="146"/>
      <c r="E291" s="79" t="s">
        <v>760</v>
      </c>
      <c r="F291" s="78">
        <v>3085</v>
      </c>
      <c r="G291" s="27"/>
      <c r="J291" s="27"/>
      <c r="L291" s="144"/>
      <c r="O291" s="27"/>
    </row>
    <row r="292" spans="1:15" ht="15">
      <c r="A292" s="27"/>
      <c r="C292" s="152"/>
      <c r="D292" s="145">
        <v>2020</v>
      </c>
      <c r="E292" s="79" t="s">
        <v>761</v>
      </c>
      <c r="F292" s="78">
        <v>883</v>
      </c>
      <c r="G292" s="27"/>
      <c r="J292" s="27"/>
      <c r="L292" s="144"/>
      <c r="O292" s="27"/>
    </row>
    <row r="293" spans="1:15" ht="15">
      <c r="A293" s="27"/>
      <c r="C293" s="152"/>
      <c r="D293" s="146"/>
      <c r="E293" s="79" t="s">
        <v>760</v>
      </c>
      <c r="F293" s="78">
        <v>280</v>
      </c>
      <c r="G293" s="27"/>
      <c r="H293" s="27" t="s">
        <v>614</v>
      </c>
      <c r="I293" s="27">
        <f>F291</f>
        <v>3085</v>
      </c>
      <c r="J293" s="27">
        <f>F290</f>
        <v>12902</v>
      </c>
      <c r="K293" s="27">
        <f>SUM(I293:J293)</f>
        <v>15987</v>
      </c>
      <c r="L293" s="144"/>
      <c r="O293" s="27"/>
    </row>
    <row r="294" spans="1:15" ht="15">
      <c r="A294" s="27"/>
      <c r="C294" s="152"/>
      <c r="D294" s="145">
        <v>2021</v>
      </c>
      <c r="E294" s="79" t="s">
        <v>761</v>
      </c>
      <c r="F294" s="78">
        <v>1583</v>
      </c>
      <c r="G294" s="27"/>
      <c r="J294" s="27"/>
      <c r="L294" s="144"/>
      <c r="O294" s="27"/>
    </row>
    <row r="295" spans="1:15" ht="15">
      <c r="A295" s="27"/>
      <c r="C295" s="146"/>
      <c r="D295" s="146"/>
      <c r="E295" s="79" t="s">
        <v>760</v>
      </c>
      <c r="F295" s="78">
        <v>425</v>
      </c>
      <c r="G295" s="27"/>
      <c r="H295" s="27" t="s">
        <v>613</v>
      </c>
      <c r="I295" s="27">
        <f>F293+F295</f>
        <v>705</v>
      </c>
      <c r="J295" s="27">
        <f>F292+F294</f>
        <v>2466</v>
      </c>
      <c r="K295" s="27">
        <f>SUM(I295:J295)</f>
        <v>3171</v>
      </c>
      <c r="L295" s="143" t="s">
        <v>379</v>
      </c>
      <c r="M295" s="27">
        <f>K293+K295</f>
        <v>19158</v>
      </c>
      <c r="O295" s="27"/>
    </row>
    <row r="296" spans="1:15" ht="15">
      <c r="A296" s="27"/>
      <c r="C296" s="145" t="s">
        <v>379</v>
      </c>
      <c r="D296" s="145">
        <v>2019</v>
      </c>
      <c r="E296" s="79" t="s">
        <v>761</v>
      </c>
      <c r="F296" s="78">
        <v>4655</v>
      </c>
      <c r="G296" s="27"/>
      <c r="J296" s="27"/>
      <c r="L296" s="144"/>
      <c r="O296" s="27"/>
    </row>
    <row r="297" spans="1:15" ht="15">
      <c r="A297" s="27"/>
      <c r="C297" s="152"/>
      <c r="D297" s="146"/>
      <c r="E297" s="79" t="s">
        <v>760</v>
      </c>
      <c r="F297" s="78">
        <v>1687</v>
      </c>
      <c r="G297" s="27"/>
      <c r="J297" s="27"/>
      <c r="L297" s="144"/>
      <c r="O297" s="27"/>
    </row>
    <row r="298" spans="1:15" ht="15">
      <c r="A298" s="27"/>
      <c r="C298" s="152"/>
      <c r="D298" s="145">
        <v>2020</v>
      </c>
      <c r="E298" s="79" t="s">
        <v>761</v>
      </c>
      <c r="F298" s="78">
        <v>3741</v>
      </c>
      <c r="G298" s="27"/>
      <c r="J298" s="27"/>
      <c r="L298" s="144"/>
      <c r="O298" s="27"/>
    </row>
    <row r="299" spans="1:15" ht="15">
      <c r="A299" s="27"/>
      <c r="C299" s="152"/>
      <c r="D299" s="146"/>
      <c r="E299" s="79" t="s">
        <v>760</v>
      </c>
      <c r="F299" s="78">
        <v>1434</v>
      </c>
      <c r="G299" s="27"/>
      <c r="H299" s="27" t="s">
        <v>614</v>
      </c>
      <c r="I299" s="27">
        <f>F297</f>
        <v>1687</v>
      </c>
      <c r="J299" s="27">
        <f>F296</f>
        <v>4655</v>
      </c>
      <c r="K299" s="27">
        <f>SUM(I299:J299)</f>
        <v>6342</v>
      </c>
      <c r="L299" s="144"/>
      <c r="O299" s="27"/>
    </row>
    <row r="300" spans="1:15" ht="15">
      <c r="A300" s="27"/>
      <c r="C300" s="152"/>
      <c r="D300" s="145">
        <v>2021</v>
      </c>
      <c r="E300" s="79" t="s">
        <v>761</v>
      </c>
      <c r="F300" s="78">
        <v>871</v>
      </c>
      <c r="G300" s="27"/>
      <c r="J300" s="27"/>
      <c r="L300" s="144"/>
      <c r="O300" s="27"/>
    </row>
    <row r="301" spans="1:15" ht="15">
      <c r="A301" s="27"/>
      <c r="C301" s="146"/>
      <c r="D301" s="146"/>
      <c r="E301" s="79" t="s">
        <v>760</v>
      </c>
      <c r="F301" s="78">
        <v>363</v>
      </c>
      <c r="G301" s="27"/>
      <c r="H301" s="27" t="s">
        <v>613</v>
      </c>
      <c r="I301" s="27">
        <f>F299+F301</f>
        <v>1797</v>
      </c>
      <c r="J301" s="27">
        <f>F298+F300</f>
        <v>4612</v>
      </c>
      <c r="K301" s="27">
        <f>SUM(I301:J301)</f>
        <v>6409</v>
      </c>
      <c r="L301" s="143" t="s">
        <v>381</v>
      </c>
      <c r="M301" s="27">
        <f>K299+K301</f>
        <v>12751</v>
      </c>
      <c r="O301" s="27"/>
    </row>
    <row r="302" spans="1:15" ht="15">
      <c r="A302" s="27"/>
      <c r="C302" s="145" t="s">
        <v>381</v>
      </c>
      <c r="D302" s="145">
        <v>2019</v>
      </c>
      <c r="E302" s="79" t="s">
        <v>761</v>
      </c>
      <c r="F302" s="78">
        <v>16273</v>
      </c>
      <c r="G302" s="27"/>
      <c r="J302" s="27"/>
      <c r="L302" s="144"/>
      <c r="O302" s="27"/>
    </row>
    <row r="303" spans="1:15" ht="15">
      <c r="A303" s="27"/>
      <c r="C303" s="152"/>
      <c r="D303" s="146"/>
      <c r="E303" s="79" t="s">
        <v>760</v>
      </c>
      <c r="F303" s="78">
        <v>3212</v>
      </c>
      <c r="G303" s="27"/>
      <c r="H303" s="27" t="s">
        <v>614</v>
      </c>
      <c r="I303" s="27">
        <f>F303</f>
        <v>3212</v>
      </c>
      <c r="J303" s="27">
        <f>F302</f>
        <v>16273</v>
      </c>
      <c r="K303" s="27">
        <f>SUM(I303:J303)</f>
        <v>19485</v>
      </c>
      <c r="L303" s="144"/>
      <c r="O303" s="27"/>
    </row>
    <row r="304" spans="1:15" ht="15">
      <c r="A304" s="27"/>
      <c r="C304" s="152"/>
      <c r="D304" s="145">
        <v>2021</v>
      </c>
      <c r="E304" s="79" t="s">
        <v>761</v>
      </c>
      <c r="F304" s="78">
        <v>1985</v>
      </c>
      <c r="G304" s="27"/>
      <c r="J304" s="27"/>
      <c r="L304" s="144"/>
      <c r="O304" s="27"/>
    </row>
    <row r="305" spans="1:15" ht="15">
      <c r="A305" s="27"/>
      <c r="C305" s="146"/>
      <c r="D305" s="146"/>
      <c r="E305" s="79" t="s">
        <v>760</v>
      </c>
      <c r="F305" s="78">
        <v>462</v>
      </c>
      <c r="G305" s="27"/>
      <c r="H305" s="27" t="s">
        <v>613</v>
      </c>
      <c r="I305" s="27">
        <f>F305</f>
        <v>462</v>
      </c>
      <c r="J305" s="27">
        <f>F304</f>
        <v>1985</v>
      </c>
      <c r="K305" s="27">
        <f>SUM(I305:J305)</f>
        <v>2447</v>
      </c>
      <c r="L305" s="143" t="s">
        <v>384</v>
      </c>
      <c r="M305" s="27">
        <f>K303+K305</f>
        <v>21932</v>
      </c>
      <c r="O305" s="27"/>
    </row>
    <row r="306" spans="1:15" ht="15">
      <c r="A306" s="27"/>
      <c r="C306" s="145" t="s">
        <v>384</v>
      </c>
      <c r="D306" s="145">
        <v>2019</v>
      </c>
      <c r="E306" s="79" t="s">
        <v>761</v>
      </c>
      <c r="F306" s="78">
        <v>1137</v>
      </c>
      <c r="G306" s="27"/>
      <c r="J306" s="27"/>
      <c r="L306" s="144"/>
      <c r="O306" s="27"/>
    </row>
    <row r="307" spans="1:15" ht="15">
      <c r="A307" s="27"/>
      <c r="C307" s="152"/>
      <c r="D307" s="146"/>
      <c r="E307" s="79" t="s">
        <v>760</v>
      </c>
      <c r="F307" s="78">
        <v>395</v>
      </c>
      <c r="G307" s="27"/>
      <c r="H307" s="27" t="s">
        <v>614</v>
      </c>
      <c r="I307" s="27">
        <f>F307</f>
        <v>395</v>
      </c>
      <c r="J307" s="27">
        <f>F306</f>
        <v>1137</v>
      </c>
      <c r="K307" s="27">
        <f>SUM(I307:J307)</f>
        <v>1532</v>
      </c>
      <c r="L307" s="144"/>
      <c r="O307" s="27"/>
    </row>
    <row r="308" spans="1:15" ht="15">
      <c r="A308" s="27"/>
      <c r="C308" s="152"/>
      <c r="D308" s="145">
        <v>2020</v>
      </c>
      <c r="E308" s="79" t="s">
        <v>761</v>
      </c>
      <c r="F308" s="78">
        <v>1754</v>
      </c>
      <c r="G308" s="27"/>
      <c r="J308" s="27"/>
      <c r="L308" s="144"/>
      <c r="O308" s="27"/>
    </row>
    <row r="309" spans="1:15" ht="15">
      <c r="A309" s="27"/>
      <c r="C309" s="152"/>
      <c r="D309" s="146"/>
      <c r="E309" s="79" t="s">
        <v>760</v>
      </c>
      <c r="F309" s="78">
        <v>790</v>
      </c>
      <c r="G309" s="27"/>
      <c r="J309" s="27"/>
      <c r="L309" s="144"/>
      <c r="O309" s="27"/>
    </row>
    <row r="310" spans="1:15" ht="15">
      <c r="A310" s="27"/>
      <c r="C310" s="152"/>
      <c r="D310" s="145">
        <v>2021</v>
      </c>
      <c r="E310" s="79" t="s">
        <v>761</v>
      </c>
      <c r="F310" s="78">
        <v>340</v>
      </c>
      <c r="G310" s="27"/>
      <c r="J310" s="27"/>
      <c r="L310" s="144"/>
      <c r="O310" s="27"/>
    </row>
    <row r="311" spans="1:15" ht="15">
      <c r="A311" s="27"/>
      <c r="C311" s="146"/>
      <c r="D311" s="146"/>
      <c r="E311" s="79" t="s">
        <v>760</v>
      </c>
      <c r="F311" s="78">
        <v>142</v>
      </c>
      <c r="G311" s="27"/>
      <c r="H311" s="27" t="s">
        <v>613</v>
      </c>
      <c r="I311" s="27">
        <f>F309+F311</f>
        <v>932</v>
      </c>
      <c r="J311" s="27">
        <f>F308+F310</f>
        <v>2094</v>
      </c>
      <c r="K311" s="27">
        <f>SUM(I311:J311)</f>
        <v>3026</v>
      </c>
      <c r="L311" s="143" t="s">
        <v>387</v>
      </c>
      <c r="M311" s="27">
        <f>K307+K311</f>
        <v>4558</v>
      </c>
      <c r="O311" s="27"/>
    </row>
    <row r="312" spans="1:15" ht="15">
      <c r="A312" s="27"/>
      <c r="C312" s="145" t="s">
        <v>387</v>
      </c>
      <c r="D312" s="145">
        <v>2019</v>
      </c>
      <c r="E312" s="79" t="s">
        <v>761</v>
      </c>
      <c r="F312" s="78">
        <v>603</v>
      </c>
      <c r="G312" s="27"/>
      <c r="J312" s="27"/>
      <c r="L312" s="144"/>
      <c r="O312" s="27"/>
    </row>
    <row r="313" spans="1:15" ht="15">
      <c r="A313" s="27"/>
      <c r="C313" s="152"/>
      <c r="D313" s="146"/>
      <c r="E313" s="79" t="s">
        <v>760</v>
      </c>
      <c r="F313" s="78">
        <v>210</v>
      </c>
      <c r="G313" s="27"/>
      <c r="H313" s="27" t="s">
        <v>614</v>
      </c>
      <c r="I313" s="27">
        <f>F313</f>
        <v>210</v>
      </c>
      <c r="J313" s="27">
        <f>F312</f>
        <v>603</v>
      </c>
      <c r="K313" s="27">
        <f>SUM(I313:J313)</f>
        <v>813</v>
      </c>
      <c r="L313" s="144"/>
      <c r="O313" s="27"/>
    </row>
    <row r="314" spans="1:15" ht="15">
      <c r="A314" s="27"/>
      <c r="C314" s="152"/>
      <c r="D314" s="145">
        <v>2020</v>
      </c>
      <c r="E314" s="79" t="s">
        <v>761</v>
      </c>
      <c r="F314" s="78">
        <v>641</v>
      </c>
      <c r="G314" s="27"/>
      <c r="J314" s="27"/>
      <c r="L314" s="144"/>
      <c r="O314" s="27"/>
    </row>
    <row r="315" spans="1:15" ht="15">
      <c r="A315" s="27"/>
      <c r="C315" s="152"/>
      <c r="D315" s="146"/>
      <c r="E315" s="79" t="s">
        <v>760</v>
      </c>
      <c r="F315" s="78">
        <v>219</v>
      </c>
      <c r="G315" s="27"/>
      <c r="J315" s="27"/>
      <c r="L315" s="144"/>
      <c r="O315" s="27"/>
    </row>
    <row r="316" spans="1:15" ht="15">
      <c r="A316" s="27"/>
      <c r="C316" s="152"/>
      <c r="D316" s="145">
        <v>2021</v>
      </c>
      <c r="E316" s="79" t="s">
        <v>761</v>
      </c>
      <c r="F316" s="78">
        <v>90</v>
      </c>
      <c r="G316" s="27"/>
      <c r="J316" s="27"/>
      <c r="L316" s="144"/>
      <c r="O316" s="27"/>
    </row>
    <row r="317" spans="1:15" ht="15">
      <c r="A317" s="27"/>
      <c r="C317" s="146"/>
      <c r="D317" s="146"/>
      <c r="E317" s="79" t="s">
        <v>760</v>
      </c>
      <c r="F317" s="78">
        <v>30</v>
      </c>
      <c r="G317" s="27"/>
      <c r="H317" s="27" t="s">
        <v>613</v>
      </c>
      <c r="I317" s="27">
        <f>F315+F317</f>
        <v>249</v>
      </c>
      <c r="J317" s="27">
        <f>F314+F316</f>
        <v>731</v>
      </c>
      <c r="K317" s="27">
        <f>SUM(I317:J317)</f>
        <v>980</v>
      </c>
      <c r="L317" s="143" t="s">
        <v>389</v>
      </c>
      <c r="M317" s="27">
        <f>K313+K317</f>
        <v>1793</v>
      </c>
      <c r="O317" s="27"/>
    </row>
    <row r="318" spans="1:15" ht="15">
      <c r="A318" s="27"/>
      <c r="C318" s="145" t="s">
        <v>389</v>
      </c>
      <c r="D318" s="145">
        <v>2019</v>
      </c>
      <c r="E318" s="79" t="s">
        <v>761</v>
      </c>
      <c r="F318" s="78">
        <v>2561</v>
      </c>
      <c r="G318" s="27"/>
      <c r="J318" s="27"/>
      <c r="L318" s="144"/>
      <c r="O318" s="27"/>
    </row>
    <row r="319" spans="1:15" ht="15">
      <c r="A319" s="27"/>
      <c r="C319" s="152"/>
      <c r="D319" s="146"/>
      <c r="E319" s="79" t="s">
        <v>760</v>
      </c>
      <c r="F319" s="78">
        <v>1584</v>
      </c>
      <c r="G319" s="27"/>
      <c r="H319" s="27" t="s">
        <v>614</v>
      </c>
      <c r="I319" s="27">
        <f>F319</f>
        <v>1584</v>
      </c>
      <c r="J319" s="27">
        <f>F318</f>
        <v>2561</v>
      </c>
      <c r="K319" s="27">
        <f>SUM(I319:J319)</f>
        <v>4145</v>
      </c>
      <c r="L319" s="144"/>
      <c r="O319" s="27"/>
    </row>
    <row r="320" spans="1:15" ht="15">
      <c r="A320" s="27"/>
      <c r="C320" s="152"/>
      <c r="D320" s="145">
        <v>2020</v>
      </c>
      <c r="E320" s="79" t="s">
        <v>761</v>
      </c>
      <c r="F320" s="78">
        <v>3062</v>
      </c>
      <c r="G320" s="27"/>
      <c r="J320" s="27"/>
      <c r="L320" s="144"/>
      <c r="O320" s="27"/>
    </row>
    <row r="321" spans="1:23" ht="15">
      <c r="A321" s="27"/>
      <c r="C321" s="152"/>
      <c r="D321" s="146"/>
      <c r="E321" s="79" t="s">
        <v>760</v>
      </c>
      <c r="F321" s="78">
        <v>2023</v>
      </c>
      <c r="G321" s="27"/>
      <c r="J321" s="27"/>
      <c r="L321" s="144"/>
      <c r="O321" s="27"/>
    </row>
    <row r="322" spans="1:23" ht="15">
      <c r="A322" s="27"/>
      <c r="C322" s="152"/>
      <c r="D322" s="145">
        <v>2021</v>
      </c>
      <c r="E322" s="79" t="s">
        <v>761</v>
      </c>
      <c r="F322" s="78">
        <v>704</v>
      </c>
      <c r="G322" s="27"/>
      <c r="J322" s="27"/>
      <c r="L322" s="144"/>
      <c r="O322" s="27"/>
    </row>
    <row r="323" spans="1:23" ht="15">
      <c r="A323" s="27"/>
      <c r="C323" s="146"/>
      <c r="D323" s="146"/>
      <c r="E323" s="79" t="s">
        <v>760</v>
      </c>
      <c r="F323" s="78">
        <v>527</v>
      </c>
      <c r="G323" s="27"/>
      <c r="H323" s="27" t="s">
        <v>613</v>
      </c>
      <c r="I323" s="27">
        <f>F321+F323</f>
        <v>2550</v>
      </c>
      <c r="J323" s="27">
        <f>F320+F322</f>
        <v>3766</v>
      </c>
      <c r="K323" s="27">
        <f>SUM(I323:J323)</f>
        <v>6316</v>
      </c>
      <c r="L323" s="27"/>
      <c r="M323" s="27">
        <f>K319+K323</f>
        <v>10461</v>
      </c>
      <c r="O323" s="27"/>
    </row>
    <row r="324" spans="1:23" ht="14">
      <c r="A324" s="27"/>
      <c r="D324" s="27"/>
      <c r="E324" s="27"/>
      <c r="F324" s="27"/>
      <c r="G324" s="27"/>
      <c r="J324" s="27"/>
      <c r="K324" s="27"/>
      <c r="L324" s="27"/>
      <c r="O324" s="27"/>
    </row>
    <row r="325" spans="1:23" ht="14">
      <c r="A325" s="27"/>
      <c r="D325" s="27"/>
      <c r="E325" s="27"/>
      <c r="F325" s="27"/>
      <c r="G325" s="27"/>
      <c r="J325" s="27"/>
      <c r="K325" s="27"/>
      <c r="L325" s="27"/>
      <c r="O325" s="27"/>
    </row>
    <row r="326" spans="1:23" ht="14">
      <c r="A326" s="27" t="s">
        <v>759</v>
      </c>
      <c r="D326" s="27" t="s">
        <v>614</v>
      </c>
      <c r="E326" s="27" t="s">
        <v>758</v>
      </c>
      <c r="F326" s="27" t="s">
        <v>757</v>
      </c>
      <c r="G326" s="27" t="s">
        <v>756</v>
      </c>
      <c r="J326" s="27" t="s">
        <v>614</v>
      </c>
      <c r="K326" s="27" t="s">
        <v>758</v>
      </c>
      <c r="L326" s="27" t="s">
        <v>757</v>
      </c>
      <c r="M326" s="27" t="s">
        <v>756</v>
      </c>
      <c r="O326" s="27" t="s">
        <v>691</v>
      </c>
      <c r="P326" s="27" t="s">
        <v>690</v>
      </c>
      <c r="Q326" s="27" t="s">
        <v>612</v>
      </c>
    </row>
    <row r="327" spans="1:23" ht="14">
      <c r="C327" s="77" t="s">
        <v>755</v>
      </c>
      <c r="D327" s="77"/>
      <c r="E327" s="76"/>
      <c r="F327" s="76"/>
      <c r="I327" s="77" t="s">
        <v>755</v>
      </c>
      <c r="J327" s="77"/>
      <c r="K327" s="76"/>
      <c r="L327" s="76"/>
    </row>
    <row r="328" spans="1:23" ht="14">
      <c r="C328" s="39" t="s">
        <v>752</v>
      </c>
      <c r="D328" s="32">
        <v>12724</v>
      </c>
      <c r="E328" s="31">
        <v>8583</v>
      </c>
      <c r="F328" s="31">
        <v>1313</v>
      </c>
      <c r="G328" s="26">
        <f>SUM(E328:F328)</f>
        <v>9896</v>
      </c>
      <c r="I328" s="39" t="s">
        <v>751</v>
      </c>
      <c r="J328" s="32">
        <v>14961</v>
      </c>
      <c r="K328" s="31">
        <v>10523</v>
      </c>
      <c r="L328" s="31">
        <v>2222</v>
      </c>
      <c r="M328" s="26">
        <f>K328+L328</f>
        <v>12745</v>
      </c>
      <c r="O328" s="27">
        <f>D328+J328</f>
        <v>27685</v>
      </c>
      <c r="P328" s="27">
        <f>G328+M328</f>
        <v>22641</v>
      </c>
      <c r="Q328" s="27">
        <f>D328+G328+J328+M328</f>
        <v>50326</v>
      </c>
    </row>
    <row r="329" spans="1:23" ht="14">
      <c r="C329" s="77" t="s">
        <v>754</v>
      </c>
      <c r="D329" s="77"/>
      <c r="E329" s="76"/>
      <c r="F329" s="76"/>
      <c r="I329" s="77" t="s">
        <v>754</v>
      </c>
      <c r="J329" s="77"/>
      <c r="K329" s="76"/>
      <c r="L329" s="76"/>
      <c r="O329" s="27">
        <f>D329+J329</f>
        <v>0</v>
      </c>
      <c r="P329" s="27">
        <f>G329+M329</f>
        <v>0</v>
      </c>
    </row>
    <row r="330" spans="1:23" ht="14">
      <c r="C330" s="39" t="s">
        <v>752</v>
      </c>
      <c r="D330" s="32">
        <v>8923</v>
      </c>
      <c r="E330" s="31">
        <v>6118</v>
      </c>
      <c r="F330" s="31">
        <v>996</v>
      </c>
      <c r="G330" s="26">
        <f>SUM(E330:F330)</f>
        <v>7114</v>
      </c>
      <c r="I330" s="39" t="s">
        <v>751</v>
      </c>
      <c r="J330" s="32">
        <v>19495</v>
      </c>
      <c r="K330" s="31">
        <v>13499</v>
      </c>
      <c r="L330" s="31">
        <v>2578</v>
      </c>
      <c r="M330" s="26">
        <f>K330+L330</f>
        <v>16077</v>
      </c>
      <c r="O330" s="27">
        <f>D330+J330</f>
        <v>28418</v>
      </c>
      <c r="P330" s="27">
        <f>G330+M330</f>
        <v>23191</v>
      </c>
      <c r="Q330" s="27">
        <f>D330+G330+J330+M330</f>
        <v>51609</v>
      </c>
    </row>
    <row r="331" spans="1:23" ht="14">
      <c r="C331" s="77" t="s">
        <v>753</v>
      </c>
      <c r="D331" s="77"/>
      <c r="E331" s="76"/>
      <c r="F331" s="76"/>
      <c r="I331" s="77" t="s">
        <v>753</v>
      </c>
      <c r="J331" s="77"/>
      <c r="K331" s="76"/>
      <c r="L331" s="76"/>
      <c r="O331" s="27">
        <f>D331+J331</f>
        <v>0</v>
      </c>
      <c r="P331" s="27">
        <f>G331+M331</f>
        <v>0</v>
      </c>
    </row>
    <row r="332" spans="1:23" ht="14">
      <c r="C332" s="39" t="s">
        <v>752</v>
      </c>
      <c r="D332" s="32">
        <v>10981</v>
      </c>
      <c r="E332" s="31">
        <v>7273</v>
      </c>
      <c r="F332" s="31">
        <v>1119</v>
      </c>
      <c r="G332" s="26">
        <f>SUM(E332:F332)</f>
        <v>8392</v>
      </c>
      <c r="I332" s="39" t="s">
        <v>751</v>
      </c>
      <c r="J332" s="32">
        <v>17262</v>
      </c>
      <c r="K332" s="31">
        <v>12229</v>
      </c>
      <c r="L332" s="31">
        <v>2483</v>
      </c>
      <c r="M332" s="26">
        <f>K332+L332</f>
        <v>14712</v>
      </c>
      <c r="O332" s="27">
        <f>D332+J332</f>
        <v>28243</v>
      </c>
      <c r="P332" s="27">
        <f>G332+M332</f>
        <v>23104</v>
      </c>
      <c r="Q332" s="27">
        <f>D332+G332+J332+M332</f>
        <v>51347</v>
      </c>
    </row>
    <row r="335" spans="1:23" ht="14">
      <c r="A335" s="27" t="s">
        <v>750</v>
      </c>
      <c r="E335" s="27" t="s">
        <v>749</v>
      </c>
      <c r="F335" s="27" t="s">
        <v>748</v>
      </c>
      <c r="G335" s="27" t="s">
        <v>708</v>
      </c>
      <c r="H335" s="27" t="s">
        <v>707</v>
      </c>
      <c r="I335" s="27" t="s">
        <v>747</v>
      </c>
      <c r="J335" s="27" t="s">
        <v>746</v>
      </c>
      <c r="K335" s="27" t="s">
        <v>745</v>
      </c>
      <c r="L335" s="27" t="s">
        <v>744</v>
      </c>
      <c r="M335" s="27" t="s">
        <v>743</v>
      </c>
      <c r="N335" s="27" t="s">
        <v>742</v>
      </c>
      <c r="O335" s="27" t="s">
        <v>741</v>
      </c>
      <c r="P335" s="27" t="s">
        <v>740</v>
      </c>
      <c r="Q335" s="27" t="s">
        <v>706</v>
      </c>
      <c r="R335" s="27" t="s">
        <v>608</v>
      </c>
    </row>
    <row r="336" spans="1:23" ht="14">
      <c r="C336" s="27" t="s">
        <v>618</v>
      </c>
      <c r="D336" s="27">
        <v>2018</v>
      </c>
      <c r="E336" s="27">
        <v>17.010000000000002</v>
      </c>
      <c r="F336" s="27">
        <v>14.85</v>
      </c>
      <c r="G336" s="27">
        <v>14.85</v>
      </c>
      <c r="H336" s="27">
        <v>18.649999999999999</v>
      </c>
      <c r="I336" s="27">
        <v>20.55</v>
      </c>
      <c r="J336" s="27">
        <v>16.75</v>
      </c>
      <c r="K336" s="27">
        <v>13.98</v>
      </c>
      <c r="L336" s="27">
        <v>14.85</v>
      </c>
      <c r="M336" s="27">
        <v>19.600000000000001</v>
      </c>
      <c r="N336" s="27">
        <v>25.47</v>
      </c>
      <c r="O336" s="27">
        <v>21.93</v>
      </c>
      <c r="P336" s="27">
        <v>19.079999999999998</v>
      </c>
      <c r="Q336" s="27">
        <f>SUM(E336:P336)</f>
        <v>217.57</v>
      </c>
      <c r="R336" s="27">
        <v>42.64</v>
      </c>
      <c r="S336" s="27" t="s">
        <v>739</v>
      </c>
      <c r="T336" s="26">
        <f>Q337+Q339</f>
        <v>1294.1932457786115</v>
      </c>
      <c r="V336" s="27" t="s">
        <v>691</v>
      </c>
      <c r="W336" s="27">
        <f>T336+T343</f>
        <v>2016.0748278052906</v>
      </c>
    </row>
    <row r="337" spans="3:23" ht="14">
      <c r="D337" s="27"/>
      <c r="Q337" s="27">
        <f>Q336/(R336/R337)</f>
        <v>612.29831144465288</v>
      </c>
      <c r="R337" s="27">
        <v>120</v>
      </c>
    </row>
    <row r="338" spans="3:23" ht="14">
      <c r="D338" s="27">
        <v>2019</v>
      </c>
      <c r="E338" s="27">
        <v>21.1</v>
      </c>
      <c r="F338" s="27">
        <v>23.53</v>
      </c>
      <c r="G338" s="27">
        <v>19.77</v>
      </c>
      <c r="H338" s="27">
        <v>22.92</v>
      </c>
      <c r="I338" s="27">
        <v>22.3</v>
      </c>
      <c r="J338" s="27">
        <v>17.23</v>
      </c>
      <c r="K338" s="27">
        <v>18.37</v>
      </c>
      <c r="L338" s="27">
        <v>23.7</v>
      </c>
      <c r="M338" s="27">
        <v>20.47</v>
      </c>
      <c r="N338" s="27">
        <v>23</v>
      </c>
      <c r="O338" s="27">
        <v>13.64</v>
      </c>
      <c r="P338" s="27">
        <v>16.27</v>
      </c>
      <c r="Q338" s="27">
        <f>SUM(E338:P338)</f>
        <v>242.29999999999998</v>
      </c>
      <c r="S338" s="27" t="s">
        <v>738</v>
      </c>
      <c r="T338" s="26">
        <f>Q341</f>
        <v>823.2551594746717</v>
      </c>
      <c r="V338" s="27" t="s">
        <v>690</v>
      </c>
      <c r="W338" s="27">
        <f>T338+T345</f>
        <v>1295.1671650913345</v>
      </c>
    </row>
    <row r="339" spans="3:23" ht="14">
      <c r="D339" s="27"/>
      <c r="Q339" s="27">
        <f>Q338/(R336/R337)</f>
        <v>681.89493433395864</v>
      </c>
    </row>
    <row r="340" spans="3:23" ht="14">
      <c r="D340" s="27">
        <v>2020</v>
      </c>
      <c r="E340" s="27">
        <v>15.36</v>
      </c>
      <c r="F340" s="27">
        <v>19.09</v>
      </c>
      <c r="G340" s="27">
        <v>16.96</v>
      </c>
      <c r="H340" s="27">
        <v>36.15</v>
      </c>
      <c r="I340" s="27">
        <v>30.37</v>
      </c>
      <c r="J340" s="27">
        <v>31.17</v>
      </c>
      <c r="K340" s="27">
        <v>27.18</v>
      </c>
      <c r="L340" s="27">
        <v>20.07</v>
      </c>
      <c r="M340" s="27">
        <v>23.8</v>
      </c>
      <c r="N340" s="27">
        <v>22.91</v>
      </c>
      <c r="O340" s="27">
        <v>25.4</v>
      </c>
      <c r="P340" s="27">
        <v>24.07</v>
      </c>
      <c r="Q340" s="27">
        <f>SUM(E340:P340)</f>
        <v>292.53000000000003</v>
      </c>
    </row>
    <row r="341" spans="3:23" ht="14">
      <c r="D341" s="27"/>
      <c r="Q341" s="27">
        <f>Q340/(R336/R337)</f>
        <v>823.2551594746717</v>
      </c>
    </row>
    <row r="342" spans="3:23" ht="14">
      <c r="C342" s="27" t="s">
        <v>619</v>
      </c>
      <c r="D342" s="75">
        <v>2018</v>
      </c>
      <c r="E342" s="27">
        <v>15.54</v>
      </c>
      <c r="F342" s="27">
        <v>13.47</v>
      </c>
      <c r="G342" s="27">
        <v>16.829999999999998</v>
      </c>
      <c r="H342" s="27">
        <v>16.75</v>
      </c>
      <c r="I342" s="27">
        <v>17.52</v>
      </c>
      <c r="J342" s="27">
        <v>13.29</v>
      </c>
      <c r="K342" s="27">
        <v>24.78</v>
      </c>
      <c r="L342" s="27">
        <v>22.01</v>
      </c>
      <c r="M342" s="27">
        <v>15.45</v>
      </c>
      <c r="N342" s="27">
        <v>21.32</v>
      </c>
      <c r="O342" s="27">
        <v>22.62</v>
      </c>
      <c r="P342" s="27">
        <v>19.079999999999998</v>
      </c>
      <c r="Q342" s="27">
        <f>SUM(E342:P342)</f>
        <v>218.65999999999997</v>
      </c>
      <c r="R342" s="27">
        <v>42.73</v>
      </c>
    </row>
    <row r="343" spans="3:23" ht="14">
      <c r="D343" s="75"/>
      <c r="Q343" s="27">
        <f>Q342/(R342/R343)</f>
        <v>307.03487011467348</v>
      </c>
      <c r="R343" s="27">
        <v>60</v>
      </c>
      <c r="S343" s="27" t="s">
        <v>737</v>
      </c>
      <c r="T343" s="26">
        <f>Q343+Q345</f>
        <v>721.8815820266791</v>
      </c>
    </row>
    <row r="344" spans="3:23" ht="14">
      <c r="D344" s="75">
        <v>2019</v>
      </c>
      <c r="E344" s="27">
        <v>24.23</v>
      </c>
      <c r="F344" s="27">
        <v>22.65</v>
      </c>
      <c r="G344" s="27">
        <v>26.85</v>
      </c>
      <c r="H344" s="27">
        <v>26.76</v>
      </c>
      <c r="I344" s="27">
        <v>23.18</v>
      </c>
      <c r="J344" s="27">
        <v>17.670000000000002</v>
      </c>
      <c r="K344" s="27">
        <v>28.51</v>
      </c>
      <c r="L344" s="27">
        <v>27.55</v>
      </c>
      <c r="M344" s="27">
        <v>30.26</v>
      </c>
      <c r="N344" s="27">
        <v>27.55</v>
      </c>
      <c r="O344" s="27">
        <v>18.190000000000001</v>
      </c>
      <c r="P344" s="27">
        <v>22.04</v>
      </c>
      <c r="Q344" s="27">
        <f>SUM(E344:P344)</f>
        <v>295.44</v>
      </c>
    </row>
    <row r="345" spans="3:23" ht="14">
      <c r="D345" s="75"/>
      <c r="Q345" s="27">
        <f>Q344/(R342/R343)</f>
        <v>414.84671191200562</v>
      </c>
      <c r="S345" s="27" t="s">
        <v>736</v>
      </c>
      <c r="T345" s="26">
        <f>Q347</f>
        <v>471.91200561666278</v>
      </c>
    </row>
    <row r="346" spans="3:23" ht="14">
      <c r="D346" s="75">
        <v>2020</v>
      </c>
      <c r="E346" s="27">
        <v>19.72</v>
      </c>
      <c r="F346" s="27">
        <v>19.72</v>
      </c>
      <c r="G346" s="27">
        <v>27.8</v>
      </c>
      <c r="H346" s="27">
        <v>31.71</v>
      </c>
      <c r="I346" s="27">
        <v>40.5</v>
      </c>
      <c r="J346" s="27">
        <v>34.01</v>
      </c>
      <c r="K346" s="27">
        <v>27.53</v>
      </c>
      <c r="L346" s="27">
        <v>19.010000000000002</v>
      </c>
      <c r="M346" s="27">
        <v>34.64</v>
      </c>
      <c r="N346" s="27">
        <v>22.03</v>
      </c>
      <c r="O346" s="27">
        <v>31.79</v>
      </c>
      <c r="P346" s="27">
        <v>27.62</v>
      </c>
      <c r="Q346" s="27">
        <f>SUM(E346:P346)</f>
        <v>336.08</v>
      </c>
    </row>
    <row r="347" spans="3:23" ht="14">
      <c r="Q347" s="27">
        <f>Q346/(R342/R343)</f>
        <v>471.91200561666278</v>
      </c>
    </row>
    <row r="348" spans="3:23" ht="14">
      <c r="S348" s="27" t="s">
        <v>706</v>
      </c>
      <c r="T348" s="27">
        <f>SUM(T335:T345)</f>
        <v>3311.2419928966256</v>
      </c>
    </row>
    <row r="387" spans="1:11" ht="14">
      <c r="A387" s="27" t="s">
        <v>735</v>
      </c>
      <c r="D387" s="27" t="s">
        <v>734</v>
      </c>
      <c r="E387" s="27" t="s">
        <v>733</v>
      </c>
      <c r="F387" s="27" t="s">
        <v>679</v>
      </c>
    </row>
    <row r="388" spans="1:11" ht="14">
      <c r="C388" s="27" t="s">
        <v>616</v>
      </c>
      <c r="D388" s="26">
        <v>28</v>
      </c>
      <c r="E388" s="26">
        <f>F388-D388</f>
        <v>17</v>
      </c>
      <c r="F388" s="27">
        <v>45</v>
      </c>
    </row>
    <row r="389" spans="1:11" ht="14">
      <c r="C389" s="27" t="s">
        <v>615</v>
      </c>
      <c r="D389" s="26">
        <v>18</v>
      </c>
      <c r="E389" s="26">
        <f>F389-D389</f>
        <v>114</v>
      </c>
      <c r="F389" s="27">
        <v>132</v>
      </c>
    </row>
    <row r="391" spans="1:11" ht="14">
      <c r="A391" s="27" t="s">
        <v>732</v>
      </c>
      <c r="C391" s="74" t="s">
        <v>731</v>
      </c>
      <c r="D391" s="73" t="s">
        <v>730</v>
      </c>
      <c r="E391" s="73" t="s">
        <v>729</v>
      </c>
      <c r="F391" s="27" t="s">
        <v>679</v>
      </c>
    </row>
    <row r="392" spans="1:11" ht="14">
      <c r="C392" s="70" t="s">
        <v>616</v>
      </c>
      <c r="D392" s="69" t="s">
        <v>728</v>
      </c>
      <c r="E392" s="69" t="s">
        <v>727</v>
      </c>
    </row>
    <row r="393" spans="1:11" ht="14">
      <c r="C393" s="72" t="s">
        <v>615</v>
      </c>
      <c r="D393" s="71" t="s">
        <v>726</v>
      </c>
      <c r="E393" s="71" t="s">
        <v>725</v>
      </c>
    </row>
    <row r="394" spans="1:11" ht="14">
      <c r="C394" s="72"/>
      <c r="D394" s="71"/>
      <c r="E394" s="71"/>
    </row>
    <row r="395" spans="1:11" ht="14">
      <c r="C395" s="70"/>
      <c r="D395" s="69"/>
      <c r="E395" s="69"/>
    </row>
    <row r="396" spans="1:11" ht="14">
      <c r="A396" s="27" t="s">
        <v>724</v>
      </c>
      <c r="C396" s="68"/>
      <c r="D396" s="27" t="s">
        <v>723</v>
      </c>
      <c r="E396" s="27" t="s">
        <v>698</v>
      </c>
      <c r="F396" s="27" t="s">
        <v>679</v>
      </c>
    </row>
    <row r="397" spans="1:11" ht="14">
      <c r="C397" s="27" t="s">
        <v>616</v>
      </c>
      <c r="D397" s="26">
        <v>2.77</v>
      </c>
      <c r="E397" s="26">
        <v>1.27</v>
      </c>
      <c r="F397" s="26">
        <f>0.469*96</f>
        <v>45.024000000000001</v>
      </c>
    </row>
    <row r="398" spans="1:11" ht="14">
      <c r="C398" s="27" t="s">
        <v>615</v>
      </c>
      <c r="D398" s="26">
        <v>3.42</v>
      </c>
      <c r="E398" s="26">
        <v>1.05</v>
      </c>
      <c r="F398" s="26">
        <f>0.531*96</f>
        <v>50.975999999999999</v>
      </c>
    </row>
    <row r="400" spans="1:11" ht="14">
      <c r="A400" s="27" t="s">
        <v>722</v>
      </c>
      <c r="D400" s="27" t="s">
        <v>721</v>
      </c>
      <c r="E400" s="27" t="s">
        <v>720</v>
      </c>
      <c r="F400" s="27" t="s">
        <v>719</v>
      </c>
      <c r="G400" s="27" t="s">
        <v>718</v>
      </c>
      <c r="H400" s="27" t="s">
        <v>717</v>
      </c>
      <c r="I400" s="27" t="s">
        <v>706</v>
      </c>
      <c r="J400" s="27" t="s">
        <v>699</v>
      </c>
      <c r="K400" s="27" t="s">
        <v>698</v>
      </c>
    </row>
    <row r="401" spans="1:14" ht="14">
      <c r="C401" s="27" t="s">
        <v>716</v>
      </c>
      <c r="D401" s="27">
        <v>1</v>
      </c>
      <c r="E401" s="27">
        <v>2</v>
      </c>
      <c r="F401" s="27">
        <v>3</v>
      </c>
      <c r="G401" s="27">
        <v>4</v>
      </c>
      <c r="H401" s="27">
        <v>5</v>
      </c>
    </row>
    <row r="402" spans="1:14" ht="14">
      <c r="C402" s="27" t="s">
        <v>715</v>
      </c>
      <c r="D402" s="27">
        <v>20</v>
      </c>
      <c r="E402" s="27">
        <v>61</v>
      </c>
      <c r="F402" s="27">
        <v>12</v>
      </c>
      <c r="G402" s="27">
        <v>8</v>
      </c>
      <c r="H402" s="27">
        <v>0</v>
      </c>
    </row>
    <row r="403" spans="1:14" ht="14">
      <c r="C403" s="27" t="s">
        <v>714</v>
      </c>
      <c r="D403" s="27">
        <v>22</v>
      </c>
      <c r="E403" s="27">
        <v>65</v>
      </c>
      <c r="F403" s="27">
        <v>6</v>
      </c>
      <c r="G403" s="27">
        <v>6</v>
      </c>
      <c r="H403" s="27">
        <v>0</v>
      </c>
    </row>
    <row r="404" spans="1:14" ht="14">
      <c r="C404" s="27" t="s">
        <v>713</v>
      </c>
      <c r="D404" s="27">
        <v>29</v>
      </c>
      <c r="E404" s="27">
        <v>52</v>
      </c>
      <c r="F404" s="27">
        <v>9</v>
      </c>
      <c r="G404" s="27">
        <v>10</v>
      </c>
      <c r="H404" s="27">
        <v>1</v>
      </c>
    </row>
    <row r="405" spans="1:14" ht="14">
      <c r="A405" s="27"/>
      <c r="C405" s="27" t="s">
        <v>712</v>
      </c>
      <c r="D405" s="27">
        <v>29</v>
      </c>
      <c r="E405" s="27">
        <v>53</v>
      </c>
      <c r="F405" s="27">
        <v>7</v>
      </c>
      <c r="G405" s="27">
        <v>10</v>
      </c>
      <c r="H405" s="27">
        <v>1</v>
      </c>
    </row>
    <row r="406" spans="1:14" ht="14">
      <c r="A406" s="27"/>
      <c r="C406" s="27" t="s">
        <v>616</v>
      </c>
      <c r="D406" s="27">
        <f>D403+D405</f>
        <v>51</v>
      </c>
      <c r="E406" s="27">
        <f>E403+E405</f>
        <v>118</v>
      </c>
      <c r="F406" s="27">
        <f>F403+F405</f>
        <v>13</v>
      </c>
      <c r="G406" s="27">
        <f>G403+G405</f>
        <v>16</v>
      </c>
      <c r="H406" s="27">
        <f>H403+H405</f>
        <v>1</v>
      </c>
      <c r="I406" s="26">
        <f>SUM(D406:H406)</f>
        <v>199</v>
      </c>
    </row>
    <row r="407" spans="1:14" ht="14">
      <c r="A407" s="27"/>
      <c r="C407" s="27" t="s">
        <v>615</v>
      </c>
      <c r="D407" s="27">
        <f>D402+D404</f>
        <v>49</v>
      </c>
      <c r="E407" s="27">
        <f>E402+E404</f>
        <v>113</v>
      </c>
      <c r="F407" s="27">
        <f>F402+F404</f>
        <v>21</v>
      </c>
      <c r="G407" s="27">
        <f>G402+G404</f>
        <v>18</v>
      </c>
      <c r="H407" s="27">
        <f>H402+H404</f>
        <v>1</v>
      </c>
      <c r="I407" s="26">
        <f>SUM(D407:H407)</f>
        <v>202</v>
      </c>
    </row>
    <row r="408" spans="1:14" ht="14">
      <c r="A408" s="27"/>
      <c r="C408" s="27" t="s">
        <v>711</v>
      </c>
      <c r="D408" s="27">
        <f>D406/$I$406</f>
        <v>0.25628140703517588</v>
      </c>
      <c r="E408" s="27">
        <f>E406/$I$406</f>
        <v>0.59296482412060303</v>
      </c>
      <c r="F408" s="27">
        <f>F406/$I$406</f>
        <v>6.5326633165829151E-2</v>
      </c>
      <c r="G408" s="27">
        <f>G406/$I$406</f>
        <v>8.0402010050251257E-2</v>
      </c>
      <c r="H408" s="27">
        <f>H406/$I$406</f>
        <v>5.0251256281407036E-3</v>
      </c>
    </row>
    <row r="409" spans="1:14" ht="14">
      <c r="A409" s="27"/>
      <c r="C409" s="27" t="s">
        <v>710</v>
      </c>
      <c r="D409" s="27">
        <f>D407/$I$407</f>
        <v>0.24257425742574257</v>
      </c>
      <c r="E409" s="27">
        <f>E407/$I$407</f>
        <v>0.55940594059405946</v>
      </c>
      <c r="F409" s="27">
        <f>F407/$I$407</f>
        <v>0.10396039603960396</v>
      </c>
      <c r="G409" s="27">
        <f>G407/$I$407</f>
        <v>8.9108910891089105E-2</v>
      </c>
      <c r="H409" s="27">
        <f>H407/$I$407</f>
        <v>4.9504950495049506E-3</v>
      </c>
    </row>
    <row r="410" spans="1:14" ht="14">
      <c r="C410" s="27" t="s">
        <v>616</v>
      </c>
      <c r="D410" s="27">
        <f>D408*D401</f>
        <v>0.25628140703517588</v>
      </c>
      <c r="E410" s="27">
        <f>E408*E401</f>
        <v>1.1859296482412061</v>
      </c>
      <c r="F410" s="27">
        <f>F408*F401</f>
        <v>0.19597989949748745</v>
      </c>
      <c r="G410" s="27">
        <f>G408*G401</f>
        <v>0.32160804020100503</v>
      </c>
      <c r="H410" s="27">
        <f>H408*H401</f>
        <v>2.5125628140703519E-2</v>
      </c>
      <c r="J410" s="26">
        <f>AVERAGE(D410:H410)</f>
        <v>0.39698492462311563</v>
      </c>
      <c r="K410" s="26">
        <f>STDEV(D410:H410)</f>
        <v>0.45458642962526324</v>
      </c>
    </row>
    <row r="411" spans="1:14" ht="14">
      <c r="C411" s="27" t="s">
        <v>615</v>
      </c>
      <c r="D411" s="27">
        <f>D409*D401</f>
        <v>0.24257425742574257</v>
      </c>
      <c r="E411" s="27">
        <f>E409*E401</f>
        <v>1.1188118811881189</v>
      </c>
      <c r="F411" s="27">
        <f>F409*F401</f>
        <v>0.31188118811881188</v>
      </c>
      <c r="G411" s="27">
        <f>G409*G401</f>
        <v>0.35643564356435642</v>
      </c>
      <c r="H411" s="27">
        <f>H409*H401</f>
        <v>2.4752475247524754E-2</v>
      </c>
      <c r="J411" s="26">
        <f>AVERAGE(D411:H411)</f>
        <v>0.41089108910891092</v>
      </c>
      <c r="K411" s="26">
        <f>STDEV(D411:H411)</f>
        <v>0.41573843605211414</v>
      </c>
    </row>
    <row r="413" spans="1:14" ht="14">
      <c r="A413" s="27" t="s">
        <v>709</v>
      </c>
      <c r="D413" s="27" t="s">
        <v>614</v>
      </c>
      <c r="G413" s="27" t="s">
        <v>613</v>
      </c>
    </row>
    <row r="414" spans="1:14" ht="14">
      <c r="D414" s="27" t="s">
        <v>708</v>
      </c>
      <c r="E414" s="27" t="s">
        <v>707</v>
      </c>
      <c r="F414" s="27" t="s">
        <v>706</v>
      </c>
      <c r="G414" s="27" t="s">
        <v>708</v>
      </c>
      <c r="H414" s="27" t="s">
        <v>707</v>
      </c>
      <c r="I414" s="27" t="s">
        <v>706</v>
      </c>
      <c r="N414" s="67"/>
    </row>
    <row r="415" spans="1:14" ht="14">
      <c r="C415" s="27" t="s">
        <v>616</v>
      </c>
      <c r="D415" s="27">
        <v>14</v>
      </c>
      <c r="E415" s="27">
        <v>19</v>
      </c>
      <c r="F415" s="26">
        <f>SUM(D415:E415)</f>
        <v>33</v>
      </c>
      <c r="G415" s="27">
        <v>35</v>
      </c>
      <c r="H415" s="27">
        <v>25</v>
      </c>
      <c r="I415" s="26">
        <f>G415+H415</f>
        <v>60</v>
      </c>
      <c r="K415" s="27">
        <f>F415+K416+I415+I416</f>
        <v>130</v>
      </c>
    </row>
    <row r="416" spans="1:14" ht="14">
      <c r="C416" s="27" t="s">
        <v>615</v>
      </c>
      <c r="D416" s="27">
        <v>11</v>
      </c>
      <c r="E416" s="27">
        <v>12</v>
      </c>
      <c r="F416" s="26">
        <f>D416+E416</f>
        <v>23</v>
      </c>
      <c r="G416" s="27">
        <v>15</v>
      </c>
      <c r="H416" s="27">
        <v>22</v>
      </c>
      <c r="I416" s="26">
        <f>G416+H416</f>
        <v>37</v>
      </c>
    </row>
    <row r="418" spans="1:19" ht="14">
      <c r="M418" s="27">
        <f>AVERAGE(E421,H421)</f>
        <v>3.4299999999999997</v>
      </c>
    </row>
    <row r="419" spans="1:19" ht="14">
      <c r="A419" s="27" t="s">
        <v>705</v>
      </c>
      <c r="D419" s="27" t="s">
        <v>704</v>
      </c>
      <c r="G419" s="27" t="s">
        <v>703</v>
      </c>
      <c r="J419" s="27" t="s">
        <v>702</v>
      </c>
    </row>
    <row r="420" spans="1:19" ht="14">
      <c r="D420" s="27" t="s">
        <v>699</v>
      </c>
      <c r="E420" s="27" t="s">
        <v>698</v>
      </c>
      <c r="F420" s="27" t="s">
        <v>701</v>
      </c>
      <c r="G420" s="27" t="s">
        <v>699</v>
      </c>
      <c r="H420" s="27" t="s">
        <v>698</v>
      </c>
      <c r="I420" s="27" t="s">
        <v>700</v>
      </c>
      <c r="J420" s="27" t="s">
        <v>699</v>
      </c>
      <c r="K420" s="27" t="s">
        <v>698</v>
      </c>
      <c r="L420" s="27" t="s">
        <v>679</v>
      </c>
      <c r="S420" s="66" t="s">
        <v>697</v>
      </c>
    </row>
    <row r="421" spans="1:19" ht="14">
      <c r="C421" s="27" t="s">
        <v>616</v>
      </c>
      <c r="D421" s="27">
        <v>3.58</v>
      </c>
      <c r="E421" s="27">
        <v>3.04</v>
      </c>
      <c r="F421" s="27">
        <v>66</v>
      </c>
      <c r="G421" s="27">
        <v>5.35</v>
      </c>
      <c r="H421" s="27">
        <v>3.82</v>
      </c>
      <c r="I421" s="27">
        <v>66</v>
      </c>
      <c r="J421" s="26">
        <f>AVERAGE(D421,G421)</f>
        <v>4.4649999999999999</v>
      </c>
      <c r="K421" s="26">
        <f>SQRT((((66-1)*E421^2)+((66-1)*H421^2)+(((66*66)/(66+66))*((D421^2+G421^2-(2*D421*G421)))))/(66+66-1))</f>
        <v>3.5517931177287112</v>
      </c>
      <c r="L421" s="26">
        <v>66</v>
      </c>
    </row>
    <row r="422" spans="1:19" ht="14">
      <c r="C422" s="27" t="s">
        <v>615</v>
      </c>
      <c r="D422" s="27">
        <v>3.25</v>
      </c>
      <c r="E422" s="27">
        <v>2.89</v>
      </c>
      <c r="F422" s="27">
        <v>48</v>
      </c>
      <c r="G422" s="27">
        <v>3.04</v>
      </c>
      <c r="H422" s="27">
        <v>3.27</v>
      </c>
      <c r="I422" s="27">
        <v>48</v>
      </c>
      <c r="J422" s="26">
        <f>AVERAGE(D422,G422)</f>
        <v>3.145</v>
      </c>
      <c r="K422" s="26">
        <f>SQRT((((48-1)*E422^2)+((48-1)*H422^2)+(((48*48)/(48+48))*((D422^2+G422^2-(2*D422*G422)))))/(48+48-1))</f>
        <v>3.0713847382778852</v>
      </c>
      <c r="L422" s="26">
        <v>48</v>
      </c>
    </row>
    <row r="430" spans="1:19" ht="14">
      <c r="J430" s="65"/>
    </row>
    <row r="433" spans="1:17" ht="14">
      <c r="A433" s="27" t="s">
        <v>696</v>
      </c>
      <c r="D433" s="27" t="s">
        <v>695</v>
      </c>
      <c r="F433" s="27" t="s">
        <v>694</v>
      </c>
      <c r="H433" s="27" t="s">
        <v>693</v>
      </c>
      <c r="K433" s="27" t="s">
        <v>692</v>
      </c>
      <c r="N433" s="27" t="s">
        <v>691</v>
      </c>
      <c r="O433" s="27" t="s">
        <v>690</v>
      </c>
    </row>
    <row r="434" spans="1:17" ht="14">
      <c r="D434" s="64" t="s">
        <v>689</v>
      </c>
      <c r="E434" s="28">
        <v>2020</v>
      </c>
      <c r="F434" s="28" t="s">
        <v>689</v>
      </c>
      <c r="G434" s="64">
        <v>2020</v>
      </c>
      <c r="H434" s="31" t="s">
        <v>612</v>
      </c>
      <c r="I434" s="28" t="s">
        <v>688</v>
      </c>
      <c r="J434" s="28" t="s">
        <v>687</v>
      </c>
      <c r="K434" s="31">
        <v>2019</v>
      </c>
      <c r="L434" s="31">
        <v>2020</v>
      </c>
    </row>
    <row r="435" spans="1:17" ht="14">
      <c r="C435" s="31" t="s">
        <v>686</v>
      </c>
      <c r="D435" s="63">
        <v>380</v>
      </c>
      <c r="E435" s="62">
        <v>461</v>
      </c>
      <c r="F435" s="62">
        <v>274</v>
      </c>
      <c r="G435" s="61">
        <v>403</v>
      </c>
      <c r="H435" s="61">
        <v>129</v>
      </c>
      <c r="I435" s="62">
        <v>55</v>
      </c>
      <c r="J435" s="62">
        <v>74</v>
      </c>
      <c r="K435" s="61">
        <v>217</v>
      </c>
      <c r="L435" s="61">
        <v>397</v>
      </c>
      <c r="N435" s="27">
        <f t="shared" ref="N435:O438" si="15">D435+F435+K435</f>
        <v>871</v>
      </c>
      <c r="O435" s="27">
        <f t="shared" si="15"/>
        <v>1261</v>
      </c>
    </row>
    <row r="436" spans="1:17" ht="14">
      <c r="C436" s="39" t="s">
        <v>685</v>
      </c>
      <c r="D436" s="60">
        <v>1026</v>
      </c>
      <c r="E436" s="58">
        <v>1318</v>
      </c>
      <c r="F436" s="58">
        <v>713</v>
      </c>
      <c r="G436" s="57">
        <v>1144</v>
      </c>
      <c r="H436" s="57">
        <v>240</v>
      </c>
      <c r="I436" s="59">
        <v>118</v>
      </c>
      <c r="J436" s="58">
        <v>122</v>
      </c>
      <c r="K436" s="57">
        <v>571</v>
      </c>
      <c r="L436" s="56">
        <v>1040</v>
      </c>
      <c r="N436" s="27">
        <f t="shared" si="15"/>
        <v>2310</v>
      </c>
      <c r="O436" s="27">
        <f t="shared" si="15"/>
        <v>3502</v>
      </c>
    </row>
    <row r="437" spans="1:17" ht="14">
      <c r="C437" s="36" t="s">
        <v>684</v>
      </c>
      <c r="D437" s="54">
        <f t="shared" ref="D437:L437" si="16">D436*D439</f>
        <v>210.32999999999998</v>
      </c>
      <c r="E437" s="54">
        <f t="shared" si="16"/>
        <v>279.416</v>
      </c>
      <c r="F437" s="54">
        <f t="shared" si="16"/>
        <v>141.17400000000001</v>
      </c>
      <c r="G437" s="54">
        <f t="shared" si="16"/>
        <v>223.08</v>
      </c>
      <c r="H437" s="54">
        <f t="shared" si="16"/>
        <v>24</v>
      </c>
      <c r="I437" s="54">
        <f t="shared" si="16"/>
        <v>8.0240000000000009</v>
      </c>
      <c r="J437" s="54">
        <f t="shared" si="16"/>
        <v>15.982000000000001</v>
      </c>
      <c r="K437" s="54">
        <f t="shared" si="16"/>
        <v>129.04599999999999</v>
      </c>
      <c r="L437" s="54">
        <f t="shared" si="16"/>
        <v>222.56</v>
      </c>
      <c r="N437" s="53">
        <f t="shared" si="15"/>
        <v>480.55</v>
      </c>
      <c r="O437" s="53">
        <f t="shared" si="15"/>
        <v>725.05600000000004</v>
      </c>
      <c r="Q437" s="55">
        <f>N437+O437+O438+N438</f>
        <v>5812</v>
      </c>
    </row>
    <row r="438" spans="1:17" ht="14">
      <c r="C438" s="36" t="s">
        <v>683</v>
      </c>
      <c r="D438" s="54">
        <f t="shared" ref="D438:L438" si="17">D436-D437</f>
        <v>815.67000000000007</v>
      </c>
      <c r="E438" s="54">
        <f t="shared" si="17"/>
        <v>1038.5840000000001</v>
      </c>
      <c r="F438" s="54">
        <f t="shared" si="17"/>
        <v>571.82600000000002</v>
      </c>
      <c r="G438" s="54">
        <f t="shared" si="17"/>
        <v>920.92</v>
      </c>
      <c r="H438" s="54">
        <f t="shared" si="17"/>
        <v>216</v>
      </c>
      <c r="I438" s="54">
        <f t="shared" si="17"/>
        <v>109.976</v>
      </c>
      <c r="J438" s="54">
        <f t="shared" si="17"/>
        <v>106.018</v>
      </c>
      <c r="K438" s="54">
        <f t="shared" si="17"/>
        <v>441.95400000000001</v>
      </c>
      <c r="L438" s="54">
        <f t="shared" si="17"/>
        <v>817.44</v>
      </c>
      <c r="N438" s="53">
        <f t="shared" si="15"/>
        <v>1829.45</v>
      </c>
      <c r="O438" s="53">
        <f t="shared" si="15"/>
        <v>2776.944</v>
      </c>
    </row>
    <row r="439" spans="1:17" ht="14">
      <c r="C439" s="31" t="s">
        <v>682</v>
      </c>
      <c r="D439" s="52">
        <v>0.20499999999999999</v>
      </c>
      <c r="E439" s="51">
        <v>0.21199999999999999</v>
      </c>
      <c r="F439" s="51">
        <v>0.19800000000000001</v>
      </c>
      <c r="G439" s="51">
        <v>0.19500000000000001</v>
      </c>
      <c r="H439" s="50">
        <v>0.1</v>
      </c>
      <c r="I439" s="51">
        <v>6.8000000000000005E-2</v>
      </c>
      <c r="J439" s="51">
        <v>0.13100000000000001</v>
      </c>
      <c r="K439" s="50">
        <v>0.22600000000000001</v>
      </c>
      <c r="L439" s="50">
        <v>0.214</v>
      </c>
      <c r="N439" s="27">
        <f>N437/N436</f>
        <v>0.20803030303030304</v>
      </c>
      <c r="O439" s="27">
        <f>O437/O436</f>
        <v>0.20704054825813822</v>
      </c>
    </row>
    <row r="442" spans="1:17" ht="14">
      <c r="A442" s="27" t="s">
        <v>681</v>
      </c>
      <c r="D442" s="27">
        <v>2018</v>
      </c>
      <c r="E442" s="27">
        <v>2019</v>
      </c>
      <c r="F442" s="27">
        <v>2020</v>
      </c>
      <c r="G442" s="27" t="s">
        <v>614</v>
      </c>
      <c r="H442" s="27" t="s">
        <v>613</v>
      </c>
    </row>
    <row r="443" spans="1:17" ht="14">
      <c r="C443" s="27" t="s">
        <v>680</v>
      </c>
      <c r="D443" s="27">
        <v>28.95</v>
      </c>
      <c r="E443" s="27">
        <v>31.1</v>
      </c>
      <c r="F443" s="27">
        <v>32.880000000000003</v>
      </c>
      <c r="K443" s="27" t="s">
        <v>608</v>
      </c>
      <c r="L443" s="27">
        <v>20000</v>
      </c>
      <c r="M443" s="27">
        <v>37.979999999999997</v>
      </c>
      <c r="N443" s="27">
        <f>L443/M443</f>
        <v>526.59294365455503</v>
      </c>
    </row>
    <row r="444" spans="1:17" ht="14">
      <c r="C444" s="27" t="s">
        <v>679</v>
      </c>
      <c r="D444" s="27">
        <f>D443*N443</f>
        <v>15244.865718799369</v>
      </c>
      <c r="E444" s="27">
        <f>E443*N443</f>
        <v>16377.040547656663</v>
      </c>
      <c r="F444" s="27">
        <f>F443*N443</f>
        <v>17314.375987361771</v>
      </c>
      <c r="G444" s="27">
        <f>D444+E444</f>
        <v>31621.906266456033</v>
      </c>
      <c r="I444" s="27">
        <f>SUM(D444:F444)</f>
        <v>48936.282253817801</v>
      </c>
    </row>
    <row r="445" spans="1:17" ht="14">
      <c r="C445" s="27" t="s">
        <v>678</v>
      </c>
      <c r="D445" s="27">
        <v>12.36</v>
      </c>
      <c r="E445" s="27">
        <v>12.01</v>
      </c>
      <c r="F445" s="27">
        <v>11.9</v>
      </c>
      <c r="K445" s="27" t="s">
        <v>608</v>
      </c>
      <c r="L445" s="49">
        <v>0.8</v>
      </c>
      <c r="M445" s="27">
        <v>42.72</v>
      </c>
      <c r="N445" s="27">
        <f>L445/M445</f>
        <v>1.8726591760299626E-2</v>
      </c>
    </row>
    <row r="446" spans="1:17" ht="14">
      <c r="C446" s="27" t="s">
        <v>677</v>
      </c>
      <c r="D446" s="27">
        <f>D445*N445</f>
        <v>0.23146067415730337</v>
      </c>
      <c r="E446" s="27">
        <f>E445*N445</f>
        <v>0.22490636704119851</v>
      </c>
      <c r="F446" s="27">
        <f>F445*N445</f>
        <v>0.22284644194756556</v>
      </c>
      <c r="G446" s="27">
        <f>G447/G444</f>
        <v>0.22806618704138559</v>
      </c>
    </row>
    <row r="447" spans="1:17" ht="14">
      <c r="C447" s="27" t="s">
        <v>667</v>
      </c>
      <c r="D447" s="27">
        <f>D444*D446</f>
        <v>3528.5868967108649</v>
      </c>
      <c r="E447" s="27">
        <f>E444*E446</f>
        <v>3683.3006924598603</v>
      </c>
      <c r="F447" s="27">
        <f>F444*F446</f>
        <v>3858.4470833259379</v>
      </c>
      <c r="G447" s="26">
        <f>D447+E447</f>
        <v>7211.8875891707248</v>
      </c>
      <c r="H447" s="26">
        <f>F447</f>
        <v>3858.4470833259379</v>
      </c>
    </row>
    <row r="448" spans="1:17" ht="14">
      <c r="C448" s="27" t="s">
        <v>669</v>
      </c>
      <c r="D448" s="27">
        <f>D444-D447</f>
        <v>11716.278822088503</v>
      </c>
      <c r="E448" s="27">
        <f>E444-E447</f>
        <v>12693.739855196804</v>
      </c>
      <c r="F448" s="27">
        <f>F444-F447</f>
        <v>13455.928904035833</v>
      </c>
      <c r="G448" s="26">
        <f>D448+E448</f>
        <v>24410.018677285305</v>
      </c>
      <c r="H448" s="26">
        <f>F448</f>
        <v>13455.928904035833</v>
      </c>
    </row>
    <row r="479" spans="1:10" ht="14">
      <c r="F479" s="27" t="s">
        <v>676</v>
      </c>
      <c r="H479" s="27" t="s">
        <v>613</v>
      </c>
      <c r="J479" s="27" t="s">
        <v>612</v>
      </c>
    </row>
    <row r="480" spans="1:10" ht="14">
      <c r="A480" s="27" t="s">
        <v>675</v>
      </c>
      <c r="C480" s="27" t="s">
        <v>674</v>
      </c>
      <c r="D480" s="27">
        <v>2018</v>
      </c>
      <c r="E480" s="27">
        <v>2019</v>
      </c>
      <c r="H480" s="27">
        <v>2020</v>
      </c>
    </row>
    <row r="481" spans="3:10" ht="14">
      <c r="C481" s="27" t="s">
        <v>670</v>
      </c>
      <c r="D481" s="27">
        <v>12.39</v>
      </c>
      <c r="E481" s="27">
        <v>11.91</v>
      </c>
      <c r="H481" s="27">
        <v>11.52</v>
      </c>
    </row>
    <row r="482" spans="3:10" ht="14">
      <c r="C482" s="27" t="s">
        <v>669</v>
      </c>
      <c r="D482" s="27">
        <f>D481/D485*D486</f>
        <v>499.8702483527623</v>
      </c>
      <c r="E482" s="27">
        <f>E481/E485*E486</f>
        <v>466.62088190572729</v>
      </c>
      <c r="F482" s="26">
        <f>D482+E482</f>
        <v>966.49113025848965</v>
      </c>
      <c r="H482" s="26">
        <f>H481/H485*H486</f>
        <v>544.1784085149518</v>
      </c>
    </row>
    <row r="483" spans="3:10" ht="14">
      <c r="C483" s="27" t="s">
        <v>668</v>
      </c>
      <c r="D483" s="27">
        <v>7.22</v>
      </c>
      <c r="E483" s="27">
        <v>7.84</v>
      </c>
      <c r="H483" s="27">
        <v>8.0399999999999991</v>
      </c>
    </row>
    <row r="484" spans="3:10" ht="14">
      <c r="C484" s="27" t="s">
        <v>667</v>
      </c>
      <c r="D484" s="27">
        <f>D483/D485*D486</f>
        <v>291.28839330968066</v>
      </c>
      <c r="E484" s="27">
        <f>E483/E485*E486</f>
        <v>307.16269640141917</v>
      </c>
      <c r="F484" s="26">
        <f>D484+E484</f>
        <v>598.45108971109983</v>
      </c>
      <c r="G484" s="27">
        <f>F484/F486</f>
        <v>0.38142198197010824</v>
      </c>
      <c r="H484" s="26">
        <f>H483/H485*H486</f>
        <v>379.79118094272673</v>
      </c>
      <c r="I484" s="27">
        <f>H484/H486</f>
        <v>0.40750126710592999</v>
      </c>
    </row>
    <row r="485" spans="3:10" ht="14">
      <c r="C485" s="27" t="s">
        <v>608</v>
      </c>
      <c r="D485" s="27">
        <v>19.73</v>
      </c>
      <c r="E485" s="27">
        <v>19.73</v>
      </c>
      <c r="H485" s="27">
        <v>19.73</v>
      </c>
    </row>
    <row r="486" spans="3:10" ht="14">
      <c r="C486" s="27" t="s">
        <v>666</v>
      </c>
      <c r="D486" s="27">
        <v>796</v>
      </c>
      <c r="E486" s="27">
        <v>773</v>
      </c>
      <c r="F486" s="27">
        <f>D486+E486</f>
        <v>1569</v>
      </c>
      <c r="H486" s="27">
        <v>932</v>
      </c>
      <c r="J486" s="27">
        <f>SUM(D486:H486)</f>
        <v>4070</v>
      </c>
    </row>
    <row r="488" spans="3:10" ht="14">
      <c r="C488" s="27" t="s">
        <v>673</v>
      </c>
      <c r="D488" s="27">
        <v>2018</v>
      </c>
      <c r="E488" s="27">
        <v>2019</v>
      </c>
      <c r="H488" s="27">
        <v>2020</v>
      </c>
    </row>
    <row r="489" spans="3:10" ht="14">
      <c r="C489" s="27" t="s">
        <v>670</v>
      </c>
      <c r="D489" s="27">
        <v>14.21</v>
      </c>
      <c r="E489" s="27">
        <v>14.21</v>
      </c>
      <c r="H489" s="27">
        <v>14.57</v>
      </c>
    </row>
    <row r="490" spans="3:10" ht="14">
      <c r="C490" s="27" t="s">
        <v>669</v>
      </c>
      <c r="D490" s="27">
        <f>D489/D493*D494</f>
        <v>573.2975164723772</v>
      </c>
      <c r="E490" s="27">
        <f>E489/E493*E494</f>
        <v>556.7323872275723</v>
      </c>
      <c r="F490" s="26">
        <f>D490+E490</f>
        <v>1130.0299036999495</v>
      </c>
      <c r="H490" s="26">
        <f>H489/H493*H494</f>
        <v>688.25342118601122</v>
      </c>
    </row>
    <row r="491" spans="3:10" ht="14">
      <c r="C491" s="27" t="s">
        <v>668</v>
      </c>
      <c r="D491" s="27">
        <v>5.09</v>
      </c>
      <c r="E491" s="27">
        <v>4.92</v>
      </c>
      <c r="H491" s="27">
        <v>4.4000000000000004</v>
      </c>
    </row>
    <row r="492" spans="3:10" ht="14">
      <c r="C492" s="27" t="s">
        <v>667</v>
      </c>
      <c r="D492" s="27">
        <f>D491/D493*D494</f>
        <v>205.35428281804357</v>
      </c>
      <c r="E492" s="27">
        <f>E491/E493*E494</f>
        <v>192.76026355803344</v>
      </c>
      <c r="F492" s="26">
        <f>D492+E492</f>
        <v>398.11454637607699</v>
      </c>
      <c r="G492" s="27">
        <f>F492/F494</f>
        <v>0.25373776059660741</v>
      </c>
      <c r="H492" s="26">
        <f>H491/H493*H494</f>
        <v>207.84591991890525</v>
      </c>
      <c r="I492" s="27">
        <f>H492/H494</f>
        <v>0.22301064368981249</v>
      </c>
    </row>
    <row r="493" spans="3:10" ht="14">
      <c r="C493" s="27" t="s">
        <v>608</v>
      </c>
      <c r="D493" s="27">
        <v>19.73</v>
      </c>
      <c r="E493" s="27">
        <v>19.73</v>
      </c>
      <c r="H493" s="27">
        <v>19.73</v>
      </c>
    </row>
    <row r="494" spans="3:10" ht="14">
      <c r="C494" s="27" t="s">
        <v>666</v>
      </c>
      <c r="D494" s="27">
        <v>796</v>
      </c>
      <c r="E494" s="27">
        <v>773</v>
      </c>
      <c r="F494" s="27">
        <f>D494+E494</f>
        <v>1569</v>
      </c>
      <c r="H494" s="27">
        <v>932</v>
      </c>
      <c r="J494" s="27">
        <f>SUM(D494:H494)</f>
        <v>4070</v>
      </c>
    </row>
    <row r="496" spans="3:10" ht="14">
      <c r="C496" s="27" t="s">
        <v>672</v>
      </c>
      <c r="D496" s="27">
        <v>2018</v>
      </c>
      <c r="E496" s="27">
        <v>2019</v>
      </c>
      <c r="H496" s="27">
        <v>2020</v>
      </c>
    </row>
    <row r="497" spans="1:10" ht="14">
      <c r="C497" s="27" t="s">
        <v>670</v>
      </c>
      <c r="D497" s="27">
        <v>10.210000000000001</v>
      </c>
      <c r="E497" s="27">
        <v>10.01</v>
      </c>
      <c r="H497" s="27">
        <v>10.83</v>
      </c>
    </row>
    <row r="498" spans="1:10" ht="14">
      <c r="C498" s="27" t="s">
        <v>669</v>
      </c>
      <c r="D498" s="27">
        <f>D497/D501*D502</f>
        <v>522.66092245311711</v>
      </c>
      <c r="E498" s="27">
        <f>E497/E501*E502</f>
        <v>450.52610238215914</v>
      </c>
      <c r="F498" s="26">
        <f>D498+E498</f>
        <v>973.18702483527625</v>
      </c>
      <c r="H498" s="26">
        <f>H497/H501*H502</f>
        <v>629.60010136847438</v>
      </c>
    </row>
    <row r="499" spans="1:10" ht="14">
      <c r="C499" s="27" t="s">
        <v>668</v>
      </c>
      <c r="D499" s="27">
        <v>9.42</v>
      </c>
      <c r="E499" s="27">
        <v>9.65</v>
      </c>
      <c r="H499" s="27">
        <v>8.83</v>
      </c>
    </row>
    <row r="500" spans="1:10" ht="14">
      <c r="C500" s="27" t="s">
        <v>667</v>
      </c>
      <c r="D500" s="27">
        <f>D499/D501*D502</f>
        <v>482.21996958945766</v>
      </c>
      <c r="E500" s="27">
        <f>E499/E501*E502</f>
        <v>434.32336543335026</v>
      </c>
      <c r="F500" s="26">
        <f>D500+E500</f>
        <v>916.54333502280792</v>
      </c>
      <c r="G500" s="27">
        <f>F500/F502</f>
        <v>0.48289954426912957</v>
      </c>
      <c r="H500" s="26">
        <f>H499/H501*H502</f>
        <v>513.33046122655855</v>
      </c>
      <c r="I500" s="27">
        <f>H500/H502</f>
        <v>0.44754181449569186</v>
      </c>
    </row>
    <row r="501" spans="1:10" ht="14">
      <c r="C501" s="27" t="s">
        <v>608</v>
      </c>
      <c r="D501" s="27">
        <v>19.73</v>
      </c>
      <c r="E501" s="27">
        <v>19.73</v>
      </c>
      <c r="H501" s="27">
        <v>19.73</v>
      </c>
    </row>
    <row r="502" spans="1:10" ht="14">
      <c r="C502" s="27" t="s">
        <v>666</v>
      </c>
      <c r="D502" s="27">
        <v>1010</v>
      </c>
      <c r="E502" s="27">
        <v>888</v>
      </c>
      <c r="F502" s="27">
        <f>D502+E502</f>
        <v>1898</v>
      </c>
      <c r="H502" s="27">
        <v>1147</v>
      </c>
      <c r="J502" s="27">
        <f>SUM(D502:H502)</f>
        <v>4943</v>
      </c>
    </row>
    <row r="504" spans="1:10" ht="14">
      <c r="C504" s="27" t="s">
        <v>671</v>
      </c>
      <c r="D504" s="27">
        <v>2018</v>
      </c>
      <c r="E504" s="27">
        <v>2019</v>
      </c>
      <c r="H504" s="27">
        <v>2020</v>
      </c>
    </row>
    <row r="505" spans="1:10" ht="14">
      <c r="C505" s="27" t="s">
        <v>670</v>
      </c>
      <c r="D505" s="27">
        <v>13.49</v>
      </c>
      <c r="E505" s="27">
        <v>13.23</v>
      </c>
      <c r="H505" s="27">
        <v>12.96</v>
      </c>
    </row>
    <row r="506" spans="1:10" ht="14">
      <c r="C506" s="27" t="s">
        <v>669</v>
      </c>
      <c r="D506" s="27">
        <f>D505/D509*D510</f>
        <v>690.56766345666506</v>
      </c>
      <c r="E506" s="27">
        <f>E505/E509*E510</f>
        <v>595.45058286872791</v>
      </c>
      <c r="F506" s="26">
        <f>D506+E506</f>
        <v>1286.018246325393</v>
      </c>
      <c r="H506" s="26">
        <f>H505/H509*H510</f>
        <v>753.42726811961484</v>
      </c>
    </row>
    <row r="507" spans="1:10" ht="14">
      <c r="C507" s="27" t="s">
        <v>668</v>
      </c>
      <c r="D507" s="27">
        <v>6.04</v>
      </c>
      <c r="E507" s="27">
        <v>6.24</v>
      </c>
      <c r="H507" s="27">
        <v>6.33</v>
      </c>
    </row>
    <row r="508" spans="1:10" ht="14">
      <c r="C508" s="27" t="s">
        <v>667</v>
      </c>
      <c r="D508" s="27">
        <f>D507/D509*D510</f>
        <v>309.19412062848448</v>
      </c>
      <c r="E508" s="27">
        <f>E507/E509*E510</f>
        <v>280.84744044602132</v>
      </c>
      <c r="F508" s="26">
        <f>D508+E508</f>
        <v>590.04156107450581</v>
      </c>
      <c r="G508" s="27">
        <f>F508/F510</f>
        <v>0.3108754273311411</v>
      </c>
      <c r="H508" s="26">
        <f>H507/H509*H510</f>
        <v>367.99341104916368</v>
      </c>
      <c r="I508" s="27">
        <f>H508/H510</f>
        <v>0.32083122149011656</v>
      </c>
    </row>
    <row r="509" spans="1:10" ht="14">
      <c r="C509" s="27" t="s">
        <v>608</v>
      </c>
      <c r="D509" s="27">
        <v>19.73</v>
      </c>
      <c r="E509" s="27">
        <v>19.73</v>
      </c>
      <c r="H509" s="27">
        <v>19.73</v>
      </c>
    </row>
    <row r="510" spans="1:10" ht="14">
      <c r="C510" s="27" t="s">
        <v>666</v>
      </c>
      <c r="D510" s="27">
        <v>1010</v>
      </c>
      <c r="E510" s="27">
        <v>888</v>
      </c>
      <c r="F510" s="27">
        <f>D510+E510</f>
        <v>1898</v>
      </c>
      <c r="H510" s="27">
        <v>1147</v>
      </c>
      <c r="J510" s="27">
        <f>SUM(D510:H510)</f>
        <v>4943</v>
      </c>
    </row>
    <row r="512" spans="1:10" ht="14">
      <c r="A512" s="27" t="s">
        <v>665</v>
      </c>
      <c r="D512" s="27" t="s">
        <v>664</v>
      </c>
      <c r="F512" s="27" t="s">
        <v>663</v>
      </c>
      <c r="H512" s="27" t="s">
        <v>662</v>
      </c>
    </row>
    <row r="513" spans="3:13" ht="14">
      <c r="D513" s="27" t="s">
        <v>618</v>
      </c>
      <c r="E513" s="27" t="s">
        <v>619</v>
      </c>
      <c r="F513" s="27" t="s">
        <v>618</v>
      </c>
      <c r="G513" s="27" t="s">
        <v>619</v>
      </c>
      <c r="H513" s="27" t="s">
        <v>618</v>
      </c>
      <c r="I513" s="27" t="s">
        <v>619</v>
      </c>
    </row>
    <row r="514" spans="3:13" ht="14">
      <c r="C514" s="27">
        <v>2017</v>
      </c>
    </row>
    <row r="517" spans="3:13" ht="14">
      <c r="C517" s="31" t="s">
        <v>661</v>
      </c>
      <c r="D517" s="31" t="s">
        <v>660</v>
      </c>
      <c r="E517" s="31" t="s">
        <v>659</v>
      </c>
      <c r="F517" s="31" t="s">
        <v>658</v>
      </c>
      <c r="H517" s="31" t="s">
        <v>657</v>
      </c>
      <c r="I517" s="31" t="s">
        <v>656</v>
      </c>
      <c r="K517" s="31" t="s">
        <v>655</v>
      </c>
      <c r="L517" s="31" t="s">
        <v>654</v>
      </c>
    </row>
    <row r="518" spans="3:13" ht="14">
      <c r="C518" s="31" t="s">
        <v>653</v>
      </c>
      <c r="D518" s="31">
        <v>60</v>
      </c>
      <c r="E518" s="31" t="s">
        <v>652</v>
      </c>
      <c r="H518" s="31" t="s">
        <v>651</v>
      </c>
      <c r="K518" s="31" t="s">
        <v>650</v>
      </c>
    </row>
    <row r="519" spans="3:13" ht="14">
      <c r="C519" s="39" t="s">
        <v>649</v>
      </c>
      <c r="D519" s="39">
        <v>57</v>
      </c>
      <c r="E519" s="39" t="s">
        <v>648</v>
      </c>
      <c r="H519" s="39" t="s">
        <v>647</v>
      </c>
      <c r="K519" s="39" t="s">
        <v>646</v>
      </c>
    </row>
    <row r="520" spans="3:13" ht="14">
      <c r="C520" s="39" t="s">
        <v>645</v>
      </c>
      <c r="D520" s="39">
        <v>56</v>
      </c>
      <c r="E520" s="39" t="s">
        <v>644</v>
      </c>
      <c r="H520" s="39" t="s">
        <v>640</v>
      </c>
      <c r="K520" s="39" t="s">
        <v>643</v>
      </c>
    </row>
    <row r="521" spans="3:13" ht="14">
      <c r="C521" s="39" t="s">
        <v>642</v>
      </c>
      <c r="D521" s="39">
        <v>59</v>
      </c>
      <c r="E521" s="39" t="s">
        <v>641</v>
      </c>
      <c r="H521" s="39" t="s">
        <v>640</v>
      </c>
      <c r="K521" s="39" t="s">
        <v>639</v>
      </c>
    </row>
    <row r="522" spans="3:13" ht="14">
      <c r="C522" s="39" t="s">
        <v>614</v>
      </c>
      <c r="D522" s="39">
        <f>SUM(D519:D521)</f>
        <v>172</v>
      </c>
      <c r="E522" s="48">
        <f>27+29+22</f>
        <v>78</v>
      </c>
      <c r="F522" s="26">
        <f>D522-E522</f>
        <v>94</v>
      </c>
      <c r="G522" s="27">
        <f>E522/D522</f>
        <v>0.45348837209302323</v>
      </c>
      <c r="H522" s="48">
        <f>28+23+23</f>
        <v>74</v>
      </c>
      <c r="I522" s="26">
        <f>D522-H522</f>
        <v>98</v>
      </c>
      <c r="J522" s="27">
        <f>H522/D522</f>
        <v>0.43023255813953487</v>
      </c>
      <c r="K522" s="48">
        <f>24+24+20</f>
        <v>68</v>
      </c>
      <c r="L522" s="26">
        <f>D522-K522</f>
        <v>104</v>
      </c>
      <c r="M522" s="27">
        <f>K522/D522</f>
        <v>0.39534883720930231</v>
      </c>
    </row>
    <row r="523" spans="3:13" ht="14">
      <c r="C523" s="39" t="s">
        <v>638</v>
      </c>
      <c r="D523" s="39">
        <v>49</v>
      </c>
      <c r="E523" s="39" t="s">
        <v>637</v>
      </c>
      <c r="H523" s="39" t="s">
        <v>636</v>
      </c>
      <c r="K523" s="39" t="s">
        <v>635</v>
      </c>
    </row>
    <row r="524" spans="3:13" ht="14">
      <c r="C524" s="39" t="s">
        <v>634</v>
      </c>
      <c r="D524" s="39">
        <v>105</v>
      </c>
      <c r="E524" s="39" t="s">
        <v>633</v>
      </c>
      <c r="H524" s="39" t="s">
        <v>632</v>
      </c>
      <c r="K524" s="39" t="s">
        <v>631</v>
      </c>
    </row>
    <row r="525" spans="3:13" ht="14">
      <c r="C525" s="39" t="s">
        <v>630</v>
      </c>
      <c r="D525" s="39">
        <v>67</v>
      </c>
      <c r="E525" s="39" t="s">
        <v>629</v>
      </c>
      <c r="H525" s="39" t="s">
        <v>628</v>
      </c>
      <c r="K525" s="39" t="s">
        <v>627</v>
      </c>
    </row>
    <row r="526" spans="3:13" ht="14">
      <c r="C526" s="31" t="s">
        <v>626</v>
      </c>
      <c r="D526" s="31">
        <v>59</v>
      </c>
      <c r="E526" s="31" t="s">
        <v>624</v>
      </c>
      <c r="H526" s="31" t="s">
        <v>625</v>
      </c>
      <c r="K526" s="31" t="s">
        <v>624</v>
      </c>
    </row>
    <row r="527" spans="3:13" ht="14">
      <c r="C527" s="47" t="s">
        <v>613</v>
      </c>
      <c r="D527" s="27">
        <f>SUM(D524:D526)</f>
        <v>231</v>
      </c>
      <c r="E527" s="26">
        <f>51+23+29</f>
        <v>103</v>
      </c>
      <c r="F527" s="26">
        <f>D527-E527</f>
        <v>128</v>
      </c>
      <c r="G527" s="27">
        <f>E527/D527</f>
        <v>0.44588744588744589</v>
      </c>
      <c r="H527" s="26">
        <f>31+19+28</f>
        <v>78</v>
      </c>
      <c r="I527" s="26">
        <f>D527-H527</f>
        <v>153</v>
      </c>
      <c r="J527" s="27">
        <f>H527/D527</f>
        <v>0.33766233766233766</v>
      </c>
      <c r="K527" s="26">
        <f>41+24+29</f>
        <v>94</v>
      </c>
      <c r="L527" s="26">
        <f>D527-K527</f>
        <v>137</v>
      </c>
      <c r="M527" s="27">
        <f>K527/D527</f>
        <v>0.40692640692640691</v>
      </c>
    </row>
    <row r="528" spans="3:13" ht="14">
      <c r="D528" s="27">
        <f>D522+D527</f>
        <v>403</v>
      </c>
    </row>
    <row r="529" spans="1:7" ht="14">
      <c r="E529" s="46" t="s">
        <v>623</v>
      </c>
    </row>
    <row r="532" spans="1:7" ht="14">
      <c r="A532" s="27" t="s">
        <v>622</v>
      </c>
    </row>
    <row r="533" spans="1:7" ht="14">
      <c r="C533" s="31"/>
      <c r="D533" s="45" t="s">
        <v>621</v>
      </c>
      <c r="E533" s="31"/>
    </row>
    <row r="534" spans="1:7" ht="14">
      <c r="C534" s="35" t="s">
        <v>620</v>
      </c>
      <c r="D534" s="44" t="s">
        <v>619</v>
      </c>
      <c r="E534" s="43" t="s">
        <v>618</v>
      </c>
    </row>
    <row r="535" spans="1:7" ht="14">
      <c r="C535" s="35">
        <v>2017</v>
      </c>
      <c r="D535" s="44">
        <v>87</v>
      </c>
      <c r="E535" s="43">
        <v>74</v>
      </c>
      <c r="F535" s="31"/>
    </row>
    <row r="536" spans="1:7" ht="14">
      <c r="C536" s="42">
        <v>2018</v>
      </c>
      <c r="D536" s="41">
        <v>130</v>
      </c>
      <c r="E536" s="40">
        <v>85</v>
      </c>
      <c r="F536" s="39"/>
    </row>
    <row r="537" spans="1:7" ht="14">
      <c r="C537" s="42">
        <v>2019</v>
      </c>
      <c r="D537" s="41">
        <v>88</v>
      </c>
      <c r="E537" s="40">
        <v>61</v>
      </c>
      <c r="F537" s="39"/>
    </row>
    <row r="538" spans="1:7" ht="14">
      <c r="C538" s="38" t="s">
        <v>614</v>
      </c>
      <c r="D538" s="37">
        <f>SUM(D535:D537)</f>
        <v>305</v>
      </c>
      <c r="E538" s="37">
        <f>SUM(E535:E537)</f>
        <v>220</v>
      </c>
      <c r="F538" s="36"/>
      <c r="G538" s="27">
        <f>D538/(D538+E538)</f>
        <v>0.580952380952381</v>
      </c>
    </row>
    <row r="539" spans="1:7" ht="14">
      <c r="C539" s="35">
        <v>2020</v>
      </c>
      <c r="D539" s="34">
        <v>108</v>
      </c>
      <c r="E539" s="33">
        <v>67</v>
      </c>
      <c r="F539" s="31"/>
      <c r="G539" s="27">
        <f>D539/(D539+E539)</f>
        <v>0.6171428571428571</v>
      </c>
    </row>
    <row r="540" spans="1:7" ht="14">
      <c r="G540" s="27">
        <f>D538+E538+E539+D539</f>
        <v>700</v>
      </c>
    </row>
    <row r="545" spans="1:9" ht="14">
      <c r="A545" s="27" t="s">
        <v>617</v>
      </c>
      <c r="D545" s="31" t="s">
        <v>616</v>
      </c>
      <c r="E545" s="31" t="s">
        <v>615</v>
      </c>
    </row>
    <row r="546" spans="1:9" ht="14">
      <c r="C546" s="27" t="s">
        <v>614</v>
      </c>
      <c r="D546" s="32">
        <v>56</v>
      </c>
      <c r="E546" s="32">
        <v>154</v>
      </c>
      <c r="G546" s="27">
        <f>D546/(D546+E546)</f>
        <v>0.26666666666666666</v>
      </c>
    </row>
    <row r="547" spans="1:9" ht="14">
      <c r="C547" s="31" t="s">
        <v>613</v>
      </c>
      <c r="D547" s="30">
        <f>D548-D546</f>
        <v>65</v>
      </c>
      <c r="E547" s="30">
        <f>E548-E546</f>
        <v>105</v>
      </c>
      <c r="G547" s="27">
        <f>D547/(D547+E547)</f>
        <v>0.38235294117647056</v>
      </c>
    </row>
    <row r="548" spans="1:9" ht="14">
      <c r="C548" s="29" t="s">
        <v>612</v>
      </c>
      <c r="D548" s="28">
        <v>121</v>
      </c>
      <c r="E548" s="28">
        <v>259</v>
      </c>
      <c r="H548" s="25"/>
      <c r="I548" s="25"/>
    </row>
    <row r="550" spans="1:9" ht="14">
      <c r="A550" s="27" t="s">
        <v>611</v>
      </c>
    </row>
    <row r="551" spans="1:9" ht="14">
      <c r="C551" s="27" t="s">
        <v>610</v>
      </c>
      <c r="D551" s="27" t="s">
        <v>609</v>
      </c>
      <c r="E551" s="27" t="s">
        <v>608</v>
      </c>
    </row>
    <row r="552" spans="1:9" ht="14">
      <c r="B552" s="27" t="s">
        <v>607</v>
      </c>
      <c r="C552" s="27">
        <v>6.56</v>
      </c>
      <c r="D552" s="27">
        <v>4.97</v>
      </c>
      <c r="E552" s="27">
        <v>25.64</v>
      </c>
    </row>
    <row r="553" spans="1:9" ht="14">
      <c r="B553" s="27" t="s">
        <v>606</v>
      </c>
      <c r="C553" s="26">
        <f>C552/E552*E553</f>
        <v>0.20468018720748829</v>
      </c>
      <c r="D553" s="26">
        <f>D552/E552*E553</f>
        <v>0.15507020280811235</v>
      </c>
      <c r="E553" s="25">
        <v>0.8</v>
      </c>
    </row>
  </sheetData>
  <mergeCells count="133">
    <mergeCell ref="L247:L252"/>
    <mergeCell ref="D232:D233"/>
    <mergeCell ref="D244:D245"/>
    <mergeCell ref="D246:D247"/>
    <mergeCell ref="C254:C259"/>
    <mergeCell ref="C260:C265"/>
    <mergeCell ref="C266:C271"/>
    <mergeCell ref="C272:C277"/>
    <mergeCell ref="L199:L204"/>
    <mergeCell ref="D200:D201"/>
    <mergeCell ref="D202:D203"/>
    <mergeCell ref="L205:L210"/>
    <mergeCell ref="L211:L216"/>
    <mergeCell ref="D234:D235"/>
    <mergeCell ref="D236:D237"/>
    <mergeCell ref="D238:D239"/>
    <mergeCell ref="D262:D263"/>
    <mergeCell ref="D206:D207"/>
    <mergeCell ref="D208:D209"/>
    <mergeCell ref="D210:D211"/>
    <mergeCell ref="D214:D215"/>
    <mergeCell ref="D240:D241"/>
    <mergeCell ref="D242:D243"/>
    <mergeCell ref="D252:D253"/>
    <mergeCell ref="C200:C205"/>
    <mergeCell ref="C206:C211"/>
    <mergeCell ref="C212:C217"/>
    <mergeCell ref="C218:C223"/>
    <mergeCell ref="C224:C229"/>
    <mergeCell ref="C230:C235"/>
    <mergeCell ref="C236:C241"/>
    <mergeCell ref="C242:C247"/>
    <mergeCell ref="C248:C253"/>
    <mergeCell ref="C296:C301"/>
    <mergeCell ref="C302:C305"/>
    <mergeCell ref="C306:C311"/>
    <mergeCell ref="C312:C317"/>
    <mergeCell ref="C318:C323"/>
    <mergeCell ref="C284:C289"/>
    <mergeCell ref="C290:C295"/>
    <mergeCell ref="D260:D261"/>
    <mergeCell ref="D268:D269"/>
    <mergeCell ref="D272:D273"/>
    <mergeCell ref="D274:D275"/>
    <mergeCell ref="D278:D279"/>
    <mergeCell ref="D280:D281"/>
    <mergeCell ref="D300:D301"/>
    <mergeCell ref="D302:D303"/>
    <mergeCell ref="D304:D305"/>
    <mergeCell ref="D306:D307"/>
    <mergeCell ref="D266:D267"/>
    <mergeCell ref="D270:D271"/>
    <mergeCell ref="D276:D277"/>
    <mergeCell ref="D282:D283"/>
    <mergeCell ref="C278:C283"/>
    <mergeCell ref="D318:D319"/>
    <mergeCell ref="D320:D321"/>
    <mergeCell ref="D322:D323"/>
    <mergeCell ref="D286:D287"/>
    <mergeCell ref="D308:D309"/>
    <mergeCell ref="D310:D311"/>
    <mergeCell ref="D290:D291"/>
    <mergeCell ref="D292:D293"/>
    <mergeCell ref="D248:D249"/>
    <mergeCell ref="D250:D251"/>
    <mergeCell ref="D254:D255"/>
    <mergeCell ref="D288:D289"/>
    <mergeCell ref="D284:D285"/>
    <mergeCell ref="D264:D265"/>
    <mergeCell ref="D312:D313"/>
    <mergeCell ref="D314:D315"/>
    <mergeCell ref="D316:D317"/>
    <mergeCell ref="D296:D297"/>
    <mergeCell ref="D298:D299"/>
    <mergeCell ref="D258:D259"/>
    <mergeCell ref="D256:D257"/>
    <mergeCell ref="L311:L316"/>
    <mergeCell ref="L317:L322"/>
    <mergeCell ref="L253:L258"/>
    <mergeCell ref="L259:L264"/>
    <mergeCell ref="L265:L270"/>
    <mergeCell ref="L271:L276"/>
    <mergeCell ref="L277:L282"/>
    <mergeCell ref="L283:L288"/>
    <mergeCell ref="L289:L294"/>
    <mergeCell ref="L295:L300"/>
    <mergeCell ref="L301:L304"/>
    <mergeCell ref="L305:L310"/>
    <mergeCell ref="D222:D223"/>
    <mergeCell ref="D224:D225"/>
    <mergeCell ref="D294:D295"/>
    <mergeCell ref="D3:H3"/>
    <mergeCell ref="I3:M3"/>
    <mergeCell ref="D4:E4"/>
    <mergeCell ref="H4:H5"/>
    <mergeCell ref="I4:J4"/>
    <mergeCell ref="K4:L4"/>
    <mergeCell ref="M4:M5"/>
    <mergeCell ref="F4:G4"/>
    <mergeCell ref="L235:L240"/>
    <mergeCell ref="L241:L246"/>
    <mergeCell ref="L217:L222"/>
    <mergeCell ref="L223:L228"/>
    <mergeCell ref="L229:L234"/>
    <mergeCell ref="D226:D227"/>
    <mergeCell ref="D228:D229"/>
    <mergeCell ref="D230:D231"/>
    <mergeCell ref="D204:D205"/>
    <mergeCell ref="D212:D213"/>
    <mergeCell ref="D216:D217"/>
    <mergeCell ref="D218:D219"/>
    <mergeCell ref="D220:D221"/>
    <mergeCell ref="X68:X71"/>
    <mergeCell ref="D15:G15"/>
    <mergeCell ref="H15:K15"/>
    <mergeCell ref="L15:O15"/>
    <mergeCell ref="R106:U106"/>
    <mergeCell ref="J16:K16"/>
    <mergeCell ref="L16:M16"/>
    <mergeCell ref="D21:G21"/>
    <mergeCell ref="H21:K21"/>
    <mergeCell ref="L21:O21"/>
    <mergeCell ref="D22:E22"/>
    <mergeCell ref="F22:G22"/>
    <mergeCell ref="D16:E16"/>
    <mergeCell ref="F16:G16"/>
    <mergeCell ref="H16:I16"/>
    <mergeCell ref="N16:O16"/>
    <mergeCell ref="L22:M22"/>
    <mergeCell ref="N22:O22"/>
    <mergeCell ref="H22:I22"/>
    <mergeCell ref="J22:K22"/>
    <mergeCell ref="N106:Q106"/>
  </mergeCells>
  <hyperlinks>
    <hyperlink ref="S420" r:id="rId1" xr:uid="{B165A182-5DC9-6245-ADB9-EB734615A12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Data</vt:lpstr>
      <vt:lpstr>Variables</vt:lpstr>
      <vt:lpstr>Scoping search</vt:lpstr>
      <vt:lpstr>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Kiran</dc:creator>
  <cp:lastModifiedBy>Lee, Kiran</cp:lastModifiedBy>
  <dcterms:created xsi:type="dcterms:W3CDTF">2022-05-23T15:37:36Z</dcterms:created>
  <dcterms:modified xsi:type="dcterms:W3CDTF">2023-06-13T09:34:37Z</dcterms:modified>
</cp:coreProperties>
</file>