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5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table+xml" PartName="/xl/tables/table7.xml"/>
  <Override ContentType="application/vnd.openxmlformats-officedocument.spreadsheetml.table+xml" PartName="/xl/tables/table6.xml"/>
  <Override ContentType="application/vnd.openxmlformats-officedocument.spreadsheetml.table+xml" PartName="/xl/tables/table8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general_data" sheetId="1" r:id="rId4"/>
    <sheet state="visible" name="cfDNA_conc_Meddeb_2019" sheetId="2" r:id="rId5"/>
    <sheet state="visible" name="conc_variaion_Madsen_2019" sheetId="3" r:id="rId6"/>
    <sheet state="visible" name="Moss_2018_total_conc" sheetId="4" r:id="rId7"/>
    <sheet state="visible" name="fractions" sheetId="5" r:id="rId8"/>
    <sheet state="visible" name="daily_turnover" sheetId="6" r:id="rId9"/>
    <sheet state="visible" name="more_turnover" sheetId="7" r:id="rId10"/>
    <sheet state="visible" name="DNA_per_cell" sheetId="8" r:id="rId11"/>
    <sheet state="visible" name="pancreas" sheetId="9" r:id="rId12"/>
    <sheet state="visible" name="mammary_turnover" sheetId="10" r:id="rId13"/>
    <sheet state="visible" name="Megakaryocytes_turnover" sheetId="11" r:id="rId14"/>
    <sheet state="visible" name="Hepatocytes_nums" sheetId="12" r:id="rId15"/>
    <sheet state="visible" name="Hepatocytes_turnover" sheetId="13" r:id="rId16"/>
    <sheet state="visible" name="Megakaryocyte_ploidy" sheetId="14" r:id="rId17"/>
  </sheets>
  <definedNames/>
  <calcPr/>
  <extLst>
    <ext uri="GoogleSheetsCustomDataVersion1">
      <go:sheetsCustomData xmlns:go="http://customooxmlschemas.google.com/" r:id="rId18" roundtripDataSignature="AMtx7miAYr7GVVYdE5F7i33cuSnd1aVdSA=="/>
    </ext>
  </extLst>
</workbook>
</file>

<file path=xl/sharedStrings.xml><?xml version="1.0" encoding="utf-8"?>
<sst xmlns="http://schemas.openxmlformats.org/spreadsheetml/2006/main" count="727" uniqueCount="465">
  <si>
    <t>parameter</t>
  </si>
  <si>
    <t>value</t>
  </si>
  <si>
    <t>lower_bound</t>
  </si>
  <si>
    <t>upper_bound</t>
  </si>
  <si>
    <t>units</t>
  </si>
  <si>
    <t>references</t>
  </si>
  <si>
    <t>comments</t>
  </si>
  <si>
    <t>plasma volume</t>
  </si>
  <si>
    <t>ml</t>
  </si>
  <si>
    <t>ICRP, 2002</t>
  </si>
  <si>
    <t>haploid genome equivalent</t>
  </si>
  <si>
    <t>grams</t>
  </si>
  <si>
    <t>Piovesan et al., 2019</t>
  </si>
  <si>
    <t>lifespan of cfDNA in blood</t>
  </si>
  <si>
    <t>hours</t>
  </si>
  <si>
    <t>Diehl et al., 2008; Lo et al., 1999; To et al., 2003; Yao et al., 2016</t>
  </si>
  <si>
    <t>factor for small fragments</t>
  </si>
  <si>
    <t>unitless</t>
  </si>
  <si>
    <t>Hisano et al. 2021</t>
  </si>
  <si>
    <t>~50bp, see Methods</t>
  </si>
  <si>
    <t>population</t>
  </si>
  <si>
    <t>description</t>
  </si>
  <si>
    <t>N</t>
  </si>
  <si>
    <t>median</t>
  </si>
  <si>
    <t>min</t>
  </si>
  <si>
    <t>max</t>
  </si>
  <si>
    <t>95%_CI_median_lower</t>
  </si>
  <si>
    <t>95%_CI_median_upper</t>
  </si>
  <si>
    <t>mean</t>
  </si>
  <si>
    <t>sem</t>
  </si>
  <si>
    <t>all</t>
  </si>
  <si>
    <t>healthy individuals</t>
  </si>
  <si>
    <t>copy number per ml</t>
  </si>
  <si>
    <t>males</t>
  </si>
  <si>
    <t>male healthy individuals</t>
  </si>
  <si>
    <t>females</t>
  </si>
  <si>
    <t>female healthy individuals</t>
  </si>
  <si>
    <t>young</t>
  </si>
  <si>
    <t>under 47y healthy individuals</t>
  </si>
  <si>
    <t>old</t>
  </si>
  <si>
    <t>over 47y healthy individuals</t>
  </si>
  <si>
    <t>type of CV</t>
  </si>
  <si>
    <t>B2M</t>
  </si>
  <si>
    <t>EIF2C1</t>
  </si>
  <si>
    <t>RNaseP</t>
  </si>
  <si>
    <t>TERT</t>
  </si>
  <si>
    <t>geomean</t>
  </si>
  <si>
    <t>analytic</t>
  </si>
  <si>
    <t>within subject</t>
  </si>
  <si>
    <t>between subject</t>
  </si>
  <si>
    <t>between days within subject</t>
  </si>
  <si>
    <t>between days between subject</t>
  </si>
  <si>
    <t>within day within subject</t>
  </si>
  <si>
    <t>within day between subject</t>
  </si>
  <si>
    <t>age</t>
  </si>
  <si>
    <t>sex</t>
  </si>
  <si>
    <t>GE/ml</t>
  </si>
  <si>
    <t>Young M1 pooled</t>
  </si>
  <si>
    <t>Young</t>
  </si>
  <si>
    <t>Male</t>
  </si>
  <si>
    <t>Young M2 pooled</t>
  </si>
  <si>
    <t>Young F1 pooled</t>
  </si>
  <si>
    <t>Female</t>
  </si>
  <si>
    <t>Young F2 pooled</t>
  </si>
  <si>
    <t>Old M1 pooled</t>
  </si>
  <si>
    <t>Old</t>
  </si>
  <si>
    <t>Old M2 pooled</t>
  </si>
  <si>
    <t>Old F1 pooled</t>
  </si>
  <si>
    <t>Old F2 pooled</t>
  </si>
  <si>
    <t>cell_type</t>
  </si>
  <si>
    <t>fraction</t>
  </si>
  <si>
    <t>sd</t>
  </si>
  <si>
    <t>comment</t>
  </si>
  <si>
    <t>color</t>
  </si>
  <si>
    <t>erythrocytes</t>
  </si>
  <si>
    <t>progenitors</t>
  </si>
  <si>
    <t>#9c0000</t>
  </si>
  <si>
    <t>monocytes / macrophages</t>
  </si>
  <si>
    <t>#a16969</t>
  </si>
  <si>
    <t>megakaryocytes</t>
  </si>
  <si>
    <t>#f29b8a</t>
  </si>
  <si>
    <t>granulocytes</t>
  </si>
  <si>
    <t>#e69696</t>
  </si>
  <si>
    <t>hepatocytes</t>
  </si>
  <si>
    <t>#b68d52</t>
  </si>
  <si>
    <t>endothelial cells</t>
  </si>
  <si>
    <t>#d9cb4a</t>
  </si>
  <si>
    <t>lymphocytes</t>
  </si>
  <si>
    <t>#a63c51</t>
  </si>
  <si>
    <t>other</t>
  </si>
  <si>
    <t>cell type</t>
  </si>
  <si>
    <t>group</t>
  </si>
  <si>
    <t>trillion_of_cells</t>
  </si>
  <si>
    <t>number_delta</t>
  </si>
  <si>
    <t>number_upper</t>
  </si>
  <si>
    <t>mouse lifespan</t>
  </si>
  <si>
    <t>average life span</t>
  </si>
  <si>
    <t>lifespan delta</t>
  </si>
  <si>
    <t>lifespan upper</t>
  </si>
  <si>
    <t>based on mouse</t>
  </si>
  <si>
    <t>cellular turnover rate (10^12/d)</t>
  </si>
  <si>
    <t>delta low turnover rate (10^12/d)</t>
  </si>
  <si>
    <t>delta high turnover rate (10^12/d)</t>
  </si>
  <si>
    <t>ref</t>
  </si>
  <si>
    <t>neutrophils</t>
  </si>
  <si>
    <t/>
  </si>
  <si>
    <t>monocytes</t>
  </si>
  <si>
    <t>thymocytes</t>
  </si>
  <si>
    <t>mature T cells</t>
  </si>
  <si>
    <t>B cells progenitors</t>
  </si>
  <si>
    <t>transitional B cells</t>
  </si>
  <si>
    <t>mature B cells</t>
  </si>
  <si>
    <t>see dedicated sheet</t>
  </si>
  <si>
    <t>dermal fibroblasts</t>
  </si>
  <si>
    <t>skin cells</t>
  </si>
  <si>
    <t>epidermal cells</t>
  </si>
  <si>
    <t>alveolar epithelial cells</t>
  </si>
  <si>
    <t>lung cells</t>
  </si>
  <si>
    <t>bronchial epithelial cells</t>
  </si>
  <si>
    <t>lung interstitial cells</t>
  </si>
  <si>
    <t>alveolar macrophages</t>
  </si>
  <si>
    <t>stomach epithelia</t>
  </si>
  <si>
    <t>gut epithelial cells</t>
  </si>
  <si>
    <t>small intestine epithelia</t>
  </si>
  <si>
    <t xml:space="preserve"> </t>
  </si>
  <si>
    <t>colon epithelia</t>
  </si>
  <si>
    <t>Heinke et al. 2022</t>
  </si>
  <si>
    <t>glial cells</t>
  </si>
  <si>
    <t>glial and neurons</t>
  </si>
  <si>
    <t>neurons</t>
  </si>
  <si>
    <t>adipocytes</t>
  </si>
  <si>
    <t>myocytes</t>
  </si>
  <si>
    <t>cardiomyocytes</t>
  </si>
  <si>
    <t>Organ/system</t>
  </si>
  <si>
    <t>Tissue</t>
  </si>
  <si>
    <t>Cell type</t>
  </si>
  <si>
    <t>Group</t>
  </si>
  <si>
    <t>trillion_cells</t>
  </si>
  <si>
    <t>mean lifespan in human [d]</t>
  </si>
  <si>
    <t>ref. for lifspan in human</t>
  </si>
  <si>
    <t>mean lifespan in rodents [d]</t>
  </si>
  <si>
    <t>ref. for lifspan in mouse</t>
  </si>
  <si>
    <t>cellular turnover [10^12 cell/d]</t>
  </si>
  <si>
    <t>SEM cellular turnover [10^12 cell/d]</t>
  </si>
  <si>
    <t>cellular turnover bound by mouse [10^12 cell/d]</t>
  </si>
  <si>
    <t>method of measurments in humans</t>
  </si>
  <si>
    <t>method of measurments in rodents</t>
  </si>
  <si>
    <t>ploidy</t>
  </si>
  <si>
    <t>Blood</t>
  </si>
  <si>
    <t>Erythrocytes</t>
  </si>
  <si>
    <t>erythrocytes progenitors</t>
  </si>
  <si>
    <t>Shrestha et al., 2016</t>
  </si>
  <si>
    <t>Landaw et al., 1970, van Putten and Croon, 1958</t>
  </si>
  <si>
    <t>RBCs labeled with several densities of biotin (BioRBCs).</t>
  </si>
  <si>
    <t>DFP32 , 14C0 in the breath following  glycine-2-14C</t>
  </si>
  <si>
    <t>Neutrophils</t>
  </si>
  <si>
    <t>Lahoz-beneytez et al.,2016</t>
  </si>
  <si>
    <t>Pillay et al., 2010</t>
  </si>
  <si>
    <t>deuterium labeling 2H</t>
  </si>
  <si>
    <t>in vivo labeling with 2H2O</t>
  </si>
  <si>
    <t xml:space="preserve">Small intestine  </t>
  </si>
  <si>
    <t>Gastrointestinal</t>
  </si>
  <si>
    <t>Small intestine epithelial cells</t>
  </si>
  <si>
    <t>Macdonald et al., 1964, , Shorter et al., 1964, Weinstein, 1974</t>
  </si>
  <si>
    <t>Darwich et al., 2014</t>
  </si>
  <si>
    <t>in vivo deuterium (glucose) labeling</t>
  </si>
  <si>
    <t xml:space="preserve">Large intestine  </t>
  </si>
  <si>
    <t>Colon epithelial cells</t>
  </si>
  <si>
    <t>Lipkin et al., 1963a, Lipkin et al., 1963b, Bleiberg and Galand, 1976, Potten et al., 1992</t>
  </si>
  <si>
    <t>meta-analysis based on 2H20 (D20) labeling</t>
  </si>
  <si>
    <t>Borghans et al., 2018; Macallan et al., 2005; Defoiche et al., 2008; Westra et al., 2013;  Vrisekoop et al., 2008; Westra et al., 2015</t>
  </si>
  <si>
    <t>40-70</t>
  </si>
  <si>
    <t>Borghans et al., 2018;</t>
  </si>
  <si>
    <t xml:space="preserve">Stomach </t>
  </si>
  <si>
    <t>Stomach epithelial cells</t>
  </si>
  <si>
    <t>Macdonald et al., 1964, Patel et al., 1993</t>
  </si>
  <si>
    <t>meta-analysis based on H-Thymidine, BrdUrd lablelings or histoligical studies\</t>
  </si>
  <si>
    <t>Skin</t>
  </si>
  <si>
    <t>Epidermal cells</t>
  </si>
  <si>
    <t>Halprin, 1972; Bergstresser  and Taylor, 1977; Weinstein et al., 1984</t>
  </si>
  <si>
    <t>Potten et al., 1987</t>
  </si>
  <si>
    <t>[14C]TdR, [I125]TdR</t>
  </si>
  <si>
    <t>Monocytes</t>
  </si>
  <si>
    <t>Patel et al., 2017</t>
  </si>
  <si>
    <t>Vessels</t>
  </si>
  <si>
    <t>Cardiovascular</t>
  </si>
  <si>
    <t>Endothelial cells</t>
  </si>
  <si>
    <t>Bergmann et al., 2015</t>
  </si>
  <si>
    <t>Hobson and Denekamp, 1984</t>
  </si>
  <si>
    <t>Analysis of the integration of nuclear bomb test-derived 14C</t>
  </si>
  <si>
    <t>continuous labelling with [3H]dT</t>
  </si>
  <si>
    <t xml:space="preserve">Lungs, bronchi, bronchioles </t>
  </si>
  <si>
    <t>Airways</t>
  </si>
  <si>
    <t>Alveolar macrophages</t>
  </si>
  <si>
    <t>Uebelhoer et al., 1995; Pforte et al., 1993</t>
  </si>
  <si>
    <t>Ki-67 labeling</t>
  </si>
  <si>
    <t>Bronchial epithelial cells</t>
  </si>
  <si>
    <t>Boers et al., 1996; Boers et al., 1998; Boers et al., 1999</t>
  </si>
  <si>
    <t>Adipose tissue</t>
  </si>
  <si>
    <t>Adipocytes</t>
  </si>
  <si>
    <t>Spalding et al., 2008</t>
  </si>
  <si>
    <t>Rigamonti et al., 2011</t>
  </si>
  <si>
    <t>C14 aging by comparison to atmospheric conc.</t>
  </si>
  <si>
    <t>Ki67 calibrated by comparison to human</t>
  </si>
  <si>
    <t xml:space="preserve">Nervous system  </t>
  </si>
  <si>
    <t>Nervous system</t>
  </si>
  <si>
    <t>Glial cells</t>
  </si>
  <si>
    <t>Spalding et al., 2005; Bhardwaj et al., 2006; Bergmann et al., 2012; Spalding et al., 2013; Ernst et al., 2014; Reu et al., 2017</t>
  </si>
  <si>
    <t>Neurons</t>
  </si>
  <si>
    <t>Heart</t>
  </si>
  <si>
    <t>Cardiomyocytes</t>
  </si>
  <si>
    <t>Malliaras et al., 2013</t>
  </si>
  <si>
    <t xml:space="preserve">Skeletal Muscle  </t>
  </si>
  <si>
    <t>Musculoskeletal</t>
  </si>
  <si>
    <t>Myocytes</t>
  </si>
  <si>
    <t>Spalding et al., 2005</t>
  </si>
  <si>
    <t>Schmalbruch et al., 2000</t>
  </si>
  <si>
    <t>continuous labelling with BrdU</t>
  </si>
  <si>
    <t>Bone</t>
  </si>
  <si>
    <t>Osteocytes</t>
  </si>
  <si>
    <t>few years - decades</t>
  </si>
  <si>
    <t>Parfitt, 1994</t>
  </si>
  <si>
    <t>&gt;100</t>
  </si>
  <si>
    <t>Weinstein et al., 1998</t>
  </si>
  <si>
    <t>Apoptosis lableing index using TUNEL</t>
  </si>
  <si>
    <t>for human given few years to decades. Used 1000 days for upper bound. In mice no apoptosic cells found from ~1000 cells. assuming 2 hours apoptosis-&gt;83 days</t>
  </si>
  <si>
    <t>Eosinophils</t>
  </si>
  <si>
    <t>Park and Bochner, 2010</t>
  </si>
  <si>
    <t>number was estimated by blood concentration and assuming 10 times more in tissues (some sources say 100, but the ratio of lifespans 0.5d:2-4d, blood:tissue, indicate smaller ratio. cellular mass is 200pg</t>
  </si>
  <si>
    <t>Megakaryocyte</t>
  </si>
  <si>
    <t>Harker and Finch, 1969; Trowbridge et al., 1984; Deutsch et al., 2006; Machlus and Italiano, 2013</t>
  </si>
  <si>
    <t>51Cr-labeled platelets</t>
  </si>
  <si>
    <t>Turnover of megakaryocyte base on measurements of platelets turnover and estimate of 1100-3000 platelets per megakarpyocyte</t>
  </si>
  <si>
    <t>Kidney</t>
  </si>
  <si>
    <t>Internal organs</t>
  </si>
  <si>
    <t xml:space="preserve">Glomerulus total cells </t>
  </si>
  <si>
    <t>Nadasdy et al., 1994</t>
  </si>
  <si>
    <t>Pabst and Sterzel, 1983</t>
  </si>
  <si>
    <t>PCNA, Ki67 labeling</t>
  </si>
  <si>
    <t>flash/continous labeling of 3H-TdR</t>
  </si>
  <si>
    <t>from rats. Seems that some cells are faster and some slower</t>
  </si>
  <si>
    <t>Sperm</t>
  </si>
  <si>
    <t>Reproductive system</t>
  </si>
  <si>
    <t>Sperm cells</t>
  </si>
  <si>
    <t>Misell et al., 2006</t>
  </si>
  <si>
    <t>continuous labelling with 2H20</t>
  </si>
  <si>
    <t>Osteoblast</t>
  </si>
  <si>
    <t>&lt;90</t>
  </si>
  <si>
    <t xml:space="preserve">number were calculated from Gruber et al., 1986 densities. Lifspan pg few days fo 3 month. For bound of turnover we took 10 days </t>
  </si>
  <si>
    <t>Pancreas</t>
  </si>
  <si>
    <t>Beta cells</t>
  </si>
  <si>
    <t>Wang et al. 2016</t>
  </si>
  <si>
    <t>Teta et al., 2005</t>
  </si>
  <si>
    <t>thymidine analogs [iododeoxyuridine (IdU) or bromodeoxyuridine (BrdU)] given weeks to years before death</t>
  </si>
  <si>
    <t>Alpha cells</t>
  </si>
  <si>
    <t>Delta cells</t>
  </si>
  <si>
    <t>Thyroid</t>
  </si>
  <si>
    <t xml:space="preserve">Follicular cells </t>
  </si>
  <si>
    <t>Coclet et al., 1989</t>
  </si>
  <si>
    <t>Christov, 1985</t>
  </si>
  <si>
    <t>3H thymidine labelling</t>
  </si>
  <si>
    <t>13HlTdR labelling index</t>
  </si>
  <si>
    <t xml:space="preserve">Connective tissue cells </t>
  </si>
  <si>
    <t>Breast</t>
  </si>
  <si>
    <t>Breast epithelial cells</t>
  </si>
  <si>
    <t>Meyer 1977</t>
  </si>
  <si>
    <t>Osteoclast</t>
  </si>
  <si>
    <t>number were calculated from Gruber et al., 1986 densities</t>
  </si>
  <si>
    <t>Liver</t>
  </si>
  <si>
    <t xml:space="preserve">Stellate cells  </t>
  </si>
  <si>
    <t>Bouwens et al., 1986</t>
  </si>
  <si>
    <t xml:space="preserve">Metaphase Index using Vinblastine sulfate </t>
  </si>
  <si>
    <t xml:space="preserve">Interstitial cells  </t>
  </si>
  <si>
    <t>Seyed-Razavi et al., 2013</t>
  </si>
  <si>
    <t>labeled with BrdU+</t>
  </si>
  <si>
    <t>Alveolar cells (type II)</t>
  </si>
  <si>
    <t>Shorteret al., 1964; Bowden, 1983</t>
  </si>
  <si>
    <t>thymide labeling experiments from the 60's</t>
  </si>
  <si>
    <t>Alveolar cells (type I)</t>
  </si>
  <si>
    <t>Hepatocytes</t>
  </si>
  <si>
    <t>200-400</t>
  </si>
  <si>
    <t>MacDonald, 1961</t>
  </si>
  <si>
    <t>H3-thymidine  label by inginjection</t>
  </si>
  <si>
    <t>Dermal fibroblasts</t>
  </si>
  <si>
    <t>Ruchti et al., 1983</t>
  </si>
  <si>
    <t>Paneth cells</t>
  </si>
  <si>
    <t>20-60</t>
  </si>
  <si>
    <t>Cheng and Leblond, 1974; Ireland et al., 2005</t>
  </si>
  <si>
    <t>H-Thymidine labeling; Locus-specific recombination controlled by Cre recombinase</t>
  </si>
  <si>
    <t xml:space="preserve">number was estimated as 8% of crypt cells of the small intestine, based on  Di Sabatino, 2008 </t>
  </si>
  <si>
    <t xml:space="preserve">Kupffer cells  </t>
  </si>
  <si>
    <t>Crofton et al., 1978 ;Bouwens et al., 1986,</t>
  </si>
  <si>
    <t>there is still knowledge gaps regarding their lifespan. Studies on animals gave resutls from days to more than a year. Recent studies sugges that at steady state differentiated macrophages are renew from slow proliferation inside the tissue (and not from monocytes).Hence, for human seems that a year is a reasnoble to take as a upper bound</t>
  </si>
  <si>
    <t xml:space="preserve">Supradrenal gland  </t>
  </si>
  <si>
    <t xml:space="preserve">Zona reticularis cells </t>
  </si>
  <si>
    <t>Baxter, 1946</t>
  </si>
  <si>
    <t>trypan blue with colchicin to arrest mitosis</t>
  </si>
  <si>
    <t>from study on rats.  About 100 cell were under mitosis, after treatment with colchicine - suppose to stop mitosis for 16 h</t>
  </si>
  <si>
    <t>Basophils</t>
  </si>
  <si>
    <t xml:space="preserve">Ohnmacht and Voehringer, 2009 </t>
  </si>
  <si>
    <t xml:space="preserve">Zona fasciculata cells </t>
  </si>
  <si>
    <t xml:space="preserve">Satellite cells  </t>
  </si>
  <si>
    <t>Morgan and Partridge, 2003; Decary et al., 1997</t>
  </si>
  <si>
    <t>there is little or no turnover in non-damaged, non-myopathic adult skeletal muscle, satellite cells are activated by injury. We estimate a rate in which their turnover equal to that of myocytes (using the proportion of cell numbers)</t>
  </si>
  <si>
    <t xml:space="preserve">Zona glomerularis cells </t>
  </si>
  <si>
    <t xml:space="preserve">Ciliated cells  </t>
  </si>
  <si>
    <t>Rawlins and Hogan, 2008</t>
  </si>
  <si>
    <t>Cre/loxP genetic technology to indelibly label a random fraction of ciliated cells throughout</t>
  </si>
  <si>
    <t>From mice.6 months in bronchi, 14 months in bronchioles ,18 months in lungs</t>
  </si>
  <si>
    <t xml:space="preserve">Medullary cells  </t>
  </si>
  <si>
    <t>Verhofstad, 1993</t>
  </si>
  <si>
    <t>Thomas-Vaslin et al., 2008</t>
  </si>
  <si>
    <t>Osmond, 1991; Rolink et al.,1998;Thomas-Vaslin et al., 2008;Benitez et al., 2014;Shahaf et al.,2016</t>
  </si>
  <si>
    <t>Rolink et al., 1998; Shahaf et al.,2016</t>
  </si>
  <si>
    <t>Ploidy</t>
  </si>
  <si>
    <t>see relevant sheet</t>
  </si>
  <si>
    <t>number of cells</t>
  </si>
  <si>
    <t>Meier et al. 2008</t>
  </si>
  <si>
    <t>total beta cells mass</t>
  </si>
  <si>
    <t>g</t>
  </si>
  <si>
    <t>beta cell diameter</t>
  </si>
  <si>
    <t>mu</t>
  </si>
  <si>
    <t>beta cell volume</t>
  </si>
  <si>
    <t>fL</t>
  </si>
  <si>
    <t>beta cell mass</t>
  </si>
  <si>
    <t>ng</t>
  </si>
  <si>
    <t>total beta cells</t>
  </si>
  <si>
    <t>from the paper</t>
  </si>
  <si>
    <t>"check-sum"</t>
  </si>
  <si>
    <t>fractions of other cells in islets</t>
  </si>
  <si>
    <t>Pisania et al. 2010</t>
  </si>
  <si>
    <t>beta cells fraction in islets</t>
  </si>
  <si>
    <t>from single cells</t>
  </si>
  <si>
    <t>KI67 + cells</t>
  </si>
  <si>
    <t>fractions</t>
  </si>
  <si>
    <t>PP cells</t>
  </si>
  <si>
    <t>Epsilon cells</t>
  </si>
  <si>
    <t>20y</t>
  </si>
  <si>
    <t>33y</t>
  </si>
  <si>
    <t>&lt;0.29%</t>
  </si>
  <si>
    <t>36y</t>
  </si>
  <si>
    <t>38y</t>
  </si>
  <si>
    <t>47y</t>
  </si>
  <si>
    <t>49y</t>
  </si>
  <si>
    <t>&lt;0.02%</t>
  </si>
  <si>
    <t>&lt;0.13%</t>
  </si>
  <si>
    <t>55y</t>
  </si>
  <si>
    <t>57y</t>
  </si>
  <si>
    <t>&lt;0.18%</t>
  </si>
  <si>
    <t>59y</t>
  </si>
  <si>
    <t>&lt;0.24%</t>
  </si>
  <si>
    <t>42yT2D</t>
  </si>
  <si>
    <t>59yT2D</t>
  </si>
  <si>
    <t>65yT2D</t>
  </si>
  <si>
    <t>average</t>
  </si>
  <si>
    <t>might mean there is an overestimation of alpha and delta</t>
  </si>
  <si>
    <t>assuming Tc=1d</t>
  </si>
  <si>
    <t>reference fracions</t>
  </si>
  <si>
    <t>total cells</t>
  </si>
  <si>
    <t>lifespan [d]</t>
  </si>
  <si>
    <t>turnover [cells/day]</t>
  </si>
  <si>
    <t>number</t>
  </si>
  <si>
    <t>ICRP 2002</t>
  </si>
  <si>
    <t>(adult women)</t>
  </si>
  <si>
    <t>average breast volume</t>
  </si>
  <si>
    <t>% glandular tissue</t>
  </si>
  <si>
    <t>Mass of glandular tissue</t>
  </si>
  <si>
    <t>cellular precentage</t>
  </si>
  <si>
    <t>assuming similar to other epithelial tissues</t>
  </si>
  <si>
    <t>fraction of cellular population could be approximated according to Tabula Sapiens 2022 (mRNA single cell analysis)</t>
  </si>
  <si>
    <t>comment: some biases may occur, making the fractions of cell type different from what is given by single cells analysis. Expected change is not great</t>
  </si>
  <si>
    <t>mammary gland epithelial cells</t>
  </si>
  <si>
    <t>47% luminal, 4% basal</t>
  </si>
  <si>
    <t>fibroblasts</t>
  </si>
  <si>
    <t>immune cells</t>
  </si>
  <si>
    <t xml:space="preserve">T cells mainly </t>
  </si>
  <si>
    <t>assuming similar mass for the different cell types</t>
  </si>
  <si>
    <t>epithelial cells total mass</t>
  </si>
  <si>
    <t>epithelial cells mass</t>
  </si>
  <si>
    <t>assuming similar mass to other epithelial cells</t>
  </si>
  <si>
    <t>total epithelial cells</t>
  </si>
  <si>
    <t>lifespan</t>
  </si>
  <si>
    <t>following Meyer 1977</t>
  </si>
  <si>
    <t>age [y]</t>
  </si>
  <si>
    <t>turnover [d]</t>
  </si>
  <si>
    <t>TLI</t>
  </si>
  <si>
    <t>assuming Ts=12h</t>
  </si>
  <si>
    <t>for reference</t>
  </si>
  <si>
    <t xml:space="preserve">lifespan </t>
  </si>
  <si>
    <t>days</t>
  </si>
  <si>
    <t>total turnover</t>
  </si>
  <si>
    <t>cells/day</t>
  </si>
  <si>
    <t>from MK prespective</t>
  </si>
  <si>
    <t>unit</t>
  </si>
  <si>
    <t>reference</t>
  </si>
  <si>
    <t>MK % of BM nuceleated cells</t>
  </si>
  <si>
    <t>Noetzli et al. 2019</t>
  </si>
  <si>
    <t>total BM nuceleated cells</t>
  </si>
  <si>
    <t>cells</t>
  </si>
  <si>
    <t>Harrison 1962</t>
  </si>
  <si>
    <t>total MK</t>
  </si>
  <si>
    <t>calculation</t>
  </si>
  <si>
    <t>Harker and Finch, 1969</t>
  </si>
  <si>
    <t>from table I</t>
  </si>
  <si>
    <t>MK maturation time = lifespan</t>
  </si>
  <si>
    <t>Machlus &amp; Italiano 2013</t>
  </si>
  <si>
    <t>sem isn't known</t>
  </si>
  <si>
    <t>MK turnover</t>
  </si>
  <si>
    <t>from platelets perspective</t>
  </si>
  <si>
    <t>production of platelets per muL per d</t>
  </si>
  <si>
    <t>pl/muL/d</t>
  </si>
  <si>
    <t>total blood volume</t>
  </si>
  <si>
    <t>L</t>
  </si>
  <si>
    <t>Sender &amp; Milo, 2021</t>
  </si>
  <si>
    <t>total pl tunover</t>
  </si>
  <si>
    <t>pl/d</t>
  </si>
  <si>
    <t>plateles per MK</t>
  </si>
  <si>
    <t>pl/MK</t>
  </si>
  <si>
    <t>geomen of 3 sources</t>
  </si>
  <si>
    <t>total MK turnover</t>
  </si>
  <si>
    <t>number of platelets per MK</t>
  </si>
  <si>
    <t>platelets/MK</t>
  </si>
  <si>
    <t>Trowbridge et al. 1984</t>
  </si>
  <si>
    <t>Kaufman et al. 1965</t>
  </si>
  <si>
    <t>number of platelets per nuclear unit</t>
  </si>
  <si>
    <t>platelets/nuclear unit</t>
  </si>
  <si>
    <t>nuclear units/MK</t>
  </si>
  <si>
    <t>number of platelets per MK per day</t>
  </si>
  <si>
    <t>platelets/MK/d</t>
  </si>
  <si>
    <t>following</t>
  </si>
  <si>
    <t>m</t>
  </si>
  <si>
    <t>b</t>
  </si>
  <si>
    <t>seb</t>
  </si>
  <si>
    <t>R2</t>
  </si>
  <si>
    <t>sey</t>
  </si>
  <si>
    <t>df</t>
  </si>
  <si>
    <t>t095</t>
  </si>
  <si>
    <t>deltam</t>
  </si>
  <si>
    <t>deltab</t>
  </si>
  <si>
    <t>deltay</t>
  </si>
  <si>
    <t>a</t>
  </si>
  <si>
    <t>y</t>
  </si>
  <si>
    <t>delta</t>
  </si>
  <si>
    <t>lower</t>
  </si>
  <si>
    <t>upper</t>
  </si>
  <si>
    <t>subpopulation</t>
  </si>
  <si>
    <t>polidy</t>
  </si>
  <si>
    <t>fraction_at_age_30</t>
  </si>
  <si>
    <t>tot_nums</t>
  </si>
  <si>
    <t>death_rate_per_y</t>
  </si>
  <si>
    <t>lower_bound_death_rate</t>
  </si>
  <si>
    <t>upper_bound_death_rate</t>
  </si>
  <si>
    <t>daily_cellular_turnover</t>
  </si>
  <si>
    <t>lower_daily_turnover</t>
  </si>
  <si>
    <t>upper_daily_turnover</t>
  </si>
  <si>
    <t>2n</t>
  </si>
  <si>
    <t>2nx2n</t>
  </si>
  <si>
    <t>4n</t>
  </si>
  <si>
    <t>Total</t>
  </si>
  <si>
    <t>source</t>
  </si>
  <si>
    <t>mean ploidy</t>
  </si>
  <si>
    <t>Levine et al. 1982</t>
  </si>
  <si>
    <t>Kristensen et al. 1988</t>
  </si>
  <si>
    <t>Bessman et al. 1984</t>
  </si>
  <si>
    <t>Deutsch &amp; Tomer 2006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</si>
</sst>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0.0E+00"/>
    <numFmt numFmtId="165" formatCode="0.0%"/>
    <numFmt numFmtId="166" formatCode="0.0"/>
    <numFmt numFmtId="167" formatCode="0.000"/>
    <numFmt numFmtId="168" formatCode="0E+00"/>
    <numFmt numFmtId="169" formatCode="0.0000"/>
  </numFmts>
  <fonts count="12">
    <font>
      <sz val="11.0"/>
      <color theme="1"/>
      <name val="Calibri"/>
      <scheme val="minor"/>
    </font>
    <font>
      <color theme="1"/>
      <name val="Calibri"/>
      <scheme val="minor"/>
    </font>
    <font>
      <sz val="11.0"/>
      <color theme="1"/>
      <name val="Calibri"/>
    </font>
    <font>
      <sz val="10.0"/>
      <color rgb="FF000000"/>
      <name val="Droid Sans Mono"/>
    </font>
    <font>
      <u/>
      <sz val="11.0"/>
      <color theme="10"/>
      <name val="Calibri"/>
    </font>
    <font>
      <b/>
      <sz val="11.0"/>
      <color theme="0"/>
      <name val="Calibri"/>
    </font>
    <font>
      <i/>
      <sz val="11.0"/>
      <color theme="1"/>
      <name val="Calibri"/>
    </font>
    <font>
      <sz val="11.0"/>
      <color rgb="FF333F4F"/>
      <name val="Calibri"/>
    </font>
    <font>
      <i/>
      <sz val="11.0"/>
      <color rgb="FF333F4F"/>
      <name val="Calibri"/>
    </font>
    <font>
      <i/>
      <u/>
      <sz val="11.0"/>
      <color theme="1"/>
      <name val="Calibri"/>
    </font>
    <font>
      <u/>
      <sz val="11.0"/>
      <color theme="10"/>
      <name val="Calibri"/>
    </font>
    <font>
      <b/>
      <sz val="11.0"/>
      <color theme="1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DEEAF6"/>
        <bgColor rgb="FFDEEAF6"/>
      </patternFill>
    </fill>
  </fills>
  <borders count="12">
    <border/>
    <border>
      <right style="medium">
        <color rgb="FF000000"/>
      </righ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top style="dotted">
        <color rgb="FF000000"/>
      </top>
      <bottom style="dotted">
        <color rgb="FF000000"/>
      </bottom>
    </border>
    <border>
      <left style="medium">
        <color rgb="FF000000"/>
      </left>
      <top style="thin">
        <color rgb="FF9CC2E5"/>
      </top>
      <bottom style="dotted">
        <color rgb="FF000000"/>
      </bottom>
    </border>
    <border>
      <bottom style="dotted">
        <color rgb="FF000000"/>
      </bottom>
    </border>
    <border>
      <left/>
      <right/>
      <top style="thin">
        <color rgb="FF9CC2E5"/>
      </top>
      <bottom style="thin">
        <color rgb="FF9CC2E5"/>
      </bottom>
    </border>
    <border>
      <left style="medium">
        <color rgb="FF000000"/>
      </left>
      <right style="medium">
        <color rgb="FF000000"/>
      </right>
      <top style="thin">
        <color rgb="FF9CC2E5"/>
      </top>
      <bottom style="dotted">
        <color rgb="FF000000"/>
      </bottom>
    </border>
    <border>
      <top style="thin">
        <color rgb="FF9CC2E5"/>
      </top>
      <bottom style="thin">
        <color rgb="FF9CC2E5"/>
      </bottom>
    </border>
    <border>
      <top style="dotted">
        <color rgb="FF000000"/>
      </top>
      <bottom style="dotted">
        <color rgb="FF000000"/>
      </bottom>
    </border>
    <border>
      <left style="medium">
        <color rgb="FF000000"/>
      </left>
      <top style="thin">
        <color rgb="FF9CC2E5"/>
      </top>
      <bottom style="thin">
        <color rgb="FF9CC2E5"/>
      </bottom>
    </border>
    <border>
      <top style="thin">
        <color rgb="FF9CC2E5"/>
      </top>
    </border>
  </borders>
  <cellStyleXfs count="1">
    <xf borderId="0" fillId="0" fontId="0" numFmtId="0" applyAlignment="1" applyFont="1"/>
  </cellStyleXfs>
  <cellXfs count="112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readingOrder="0"/>
    </xf>
    <xf borderId="0" fillId="0" fontId="1" numFmtId="164" xfId="0" applyFont="1" applyNumberFormat="1"/>
    <xf borderId="0" fillId="0" fontId="1" numFmtId="0" xfId="0" applyAlignment="1" applyFont="1">
      <alignment readingOrder="0"/>
    </xf>
    <xf borderId="0" fillId="0" fontId="1" numFmtId="165" xfId="0" applyAlignment="1" applyFont="1" applyNumberFormat="1">
      <alignment readingOrder="0"/>
    </xf>
    <xf borderId="0" fillId="0" fontId="1" numFmtId="165" xfId="0" applyFont="1" applyNumberFormat="1"/>
    <xf borderId="0" fillId="0" fontId="2" numFmtId="0" xfId="0" applyFont="1"/>
    <xf borderId="0" fillId="0" fontId="2" numFmtId="1" xfId="0" applyFont="1" applyNumberFormat="1"/>
    <xf borderId="0" fillId="0" fontId="2" numFmtId="0" xfId="0" applyFont="1"/>
    <xf borderId="0" fillId="0" fontId="2" numFmtId="9" xfId="0" applyFont="1" applyNumberFormat="1"/>
    <xf borderId="0" fillId="0" fontId="3" numFmtId="0" xfId="0" applyAlignment="1" applyFont="1">
      <alignment horizontal="left" vertical="center"/>
    </xf>
    <xf borderId="0" fillId="0" fontId="2" numFmtId="2" xfId="0" applyFont="1" applyNumberFormat="1"/>
    <xf borderId="0" fillId="0" fontId="2" numFmtId="166" xfId="0" applyFont="1" applyNumberFormat="1"/>
    <xf borderId="0" fillId="0" fontId="2" numFmtId="167" xfId="0" applyFont="1" applyNumberFormat="1"/>
    <xf borderId="0" fillId="0" fontId="2" numFmtId="168" xfId="0" applyFont="1" applyNumberFormat="1"/>
    <xf borderId="0" fillId="0" fontId="2" numFmtId="164" xfId="0" applyFont="1" applyNumberFormat="1"/>
    <xf borderId="0" fillId="0" fontId="4" numFmtId="0" xfId="0" applyFont="1"/>
    <xf borderId="0" fillId="0" fontId="2" numFmtId="2" xfId="0" applyFont="1" applyNumberFormat="1"/>
    <xf borderId="0" fillId="0" fontId="2" numFmtId="166" xfId="0" applyFont="1" applyNumberFormat="1"/>
    <xf borderId="0" fillId="0" fontId="2" numFmtId="1" xfId="0" applyFont="1" applyNumberFormat="1"/>
    <xf borderId="0" fillId="0" fontId="2" numFmtId="168" xfId="0" applyFont="1" applyNumberForma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2" fillId="0" fontId="5" numFmtId="0" xfId="0" applyAlignment="1" applyBorder="1" applyFont="1">
      <alignment horizontal="center" shrinkToFit="0" vertical="center" wrapText="1"/>
    </xf>
    <xf borderId="2" fillId="0" fontId="5" numFmtId="0" xfId="0" applyAlignment="1" applyBorder="1" applyFont="1">
      <alignment horizontal="center" vertical="center"/>
    </xf>
    <xf borderId="0" fillId="0" fontId="5" numFmtId="0" xfId="0" applyAlignment="1" applyFont="1">
      <alignment horizontal="center" vertical="center"/>
    </xf>
    <xf borderId="0" fillId="0" fontId="2" numFmtId="0" xfId="0" applyAlignment="1" applyFont="1">
      <alignment horizontal="center" vertical="center"/>
    </xf>
    <xf borderId="3" fillId="0" fontId="2" numFmtId="0" xfId="0" applyBorder="1" applyFont="1"/>
    <xf borderId="3" fillId="0" fontId="2" numFmtId="0" xfId="0" applyAlignment="1" applyBorder="1" applyFont="1">
      <alignment horizontal="left" vertical="center"/>
    </xf>
    <xf borderId="4" fillId="0" fontId="2" numFmtId="166" xfId="0" applyAlignment="1" applyBorder="1" applyFont="1" applyNumberFormat="1">
      <alignment horizontal="center" vertical="center"/>
    </xf>
    <xf borderId="4" fillId="0" fontId="2" numFmtId="1" xfId="0" applyAlignment="1" applyBorder="1" applyFont="1" applyNumberFormat="1">
      <alignment horizontal="center" vertical="center"/>
    </xf>
    <xf borderId="4" fillId="0" fontId="6" numFmtId="166" xfId="0" applyAlignment="1" applyBorder="1" applyFont="1" applyNumberFormat="1">
      <alignment vertical="center"/>
    </xf>
    <xf borderId="4" fillId="0" fontId="6" numFmtId="166" xfId="0" applyAlignment="1" applyBorder="1" applyFont="1" applyNumberFormat="1">
      <alignment horizontal="center" vertical="center"/>
    </xf>
    <xf borderId="4" fillId="0" fontId="6" numFmtId="2" xfId="0" applyAlignment="1" applyBorder="1" applyFont="1" applyNumberFormat="1">
      <alignment horizontal="left" vertical="center"/>
    </xf>
    <xf borderId="4" fillId="0" fontId="6" numFmtId="2" xfId="0" applyAlignment="1" applyBorder="1" applyFont="1" applyNumberFormat="1">
      <alignment horizontal="center" vertical="center"/>
    </xf>
    <xf borderId="4" fillId="0" fontId="6" numFmtId="9" xfId="0" applyAlignment="1" applyBorder="1" applyFont="1" applyNumberFormat="1">
      <alignment horizontal="center" vertical="center"/>
    </xf>
    <xf borderId="4" fillId="0" fontId="6" numFmtId="9" xfId="0" applyAlignment="1" applyBorder="1" applyFont="1" applyNumberFormat="1">
      <alignment horizontal="left" vertical="center"/>
    </xf>
    <xf borderId="4" fillId="0" fontId="6" numFmtId="2" xfId="0" applyAlignment="1" applyBorder="1" applyFont="1" applyNumberFormat="1">
      <alignment vertical="center"/>
    </xf>
    <xf borderId="4" fillId="0" fontId="6" numFmtId="167" xfId="0" applyAlignment="1" applyBorder="1" applyFont="1" applyNumberFormat="1">
      <alignment horizontal="center" vertical="center"/>
    </xf>
    <xf borderId="5" fillId="0" fontId="7" numFmtId="0" xfId="0" applyBorder="1" applyFont="1"/>
    <xf borderId="4" fillId="0" fontId="2" numFmtId="2" xfId="0" applyAlignment="1" applyBorder="1" applyFont="1" applyNumberFormat="1">
      <alignment horizontal="center" vertical="center"/>
    </xf>
    <xf borderId="4" fillId="0" fontId="6" numFmtId="166" xfId="0" applyAlignment="1" applyBorder="1" applyFont="1" applyNumberFormat="1">
      <alignment horizontal="left" vertical="center"/>
    </xf>
    <xf borderId="4" fillId="0" fontId="2" numFmtId="168" xfId="0" applyAlignment="1" applyBorder="1" applyFont="1" applyNumberFormat="1">
      <alignment horizontal="left" vertical="center"/>
    </xf>
    <xf borderId="4" fillId="0" fontId="2" numFmtId="9" xfId="0" applyAlignment="1" applyBorder="1" applyFont="1" applyNumberFormat="1">
      <alignment horizontal="center" vertical="center"/>
    </xf>
    <xf borderId="3" fillId="0" fontId="7" numFmtId="0" xfId="0" applyBorder="1" applyFont="1"/>
    <xf borderId="6" fillId="2" fontId="2" numFmtId="2" xfId="0" applyAlignment="1" applyBorder="1" applyFill="1" applyFont="1" applyNumberFormat="1">
      <alignment horizontal="center" vertical="center"/>
    </xf>
    <xf borderId="7" fillId="0" fontId="7" numFmtId="166" xfId="0" applyAlignment="1" applyBorder="1" applyFont="1" applyNumberFormat="1">
      <alignment horizontal="center" vertical="center"/>
    </xf>
    <xf borderId="8" fillId="0" fontId="8" numFmtId="166" xfId="0" applyAlignment="1" applyBorder="1" applyFont="1" applyNumberFormat="1">
      <alignment horizontal="left" vertical="center"/>
    </xf>
    <xf borderId="4" fillId="0" fontId="8" numFmtId="2" xfId="0" applyAlignment="1" applyBorder="1" applyFont="1" applyNumberFormat="1">
      <alignment horizontal="center" vertical="center"/>
    </xf>
    <xf borderId="7" fillId="0" fontId="8" numFmtId="166" xfId="0" applyAlignment="1" applyBorder="1" applyFont="1" applyNumberFormat="1">
      <alignment horizontal="left" vertical="center"/>
    </xf>
    <xf borderId="4" fillId="0" fontId="2" numFmtId="167" xfId="0" applyAlignment="1" applyBorder="1" applyFont="1" applyNumberFormat="1">
      <alignment horizontal="center" vertical="center"/>
    </xf>
    <xf borderId="4" fillId="0" fontId="2" numFmtId="9" xfId="0" applyAlignment="1" applyBorder="1" applyFont="1" applyNumberFormat="1">
      <alignment horizontal="left" vertical="center"/>
    </xf>
    <xf borderId="8" fillId="0" fontId="2" numFmtId="2" xfId="0" applyAlignment="1" applyBorder="1" applyFont="1" applyNumberFormat="1">
      <alignment horizontal="center" vertical="center"/>
    </xf>
    <xf borderId="4" fillId="0" fontId="7" numFmtId="166" xfId="0" applyAlignment="1" applyBorder="1" applyFont="1" applyNumberFormat="1">
      <alignment horizontal="center" vertical="center"/>
    </xf>
    <xf borderId="4" fillId="0" fontId="8" numFmtId="166" xfId="0" applyAlignment="1" applyBorder="1" applyFont="1" applyNumberFormat="1">
      <alignment horizontal="left" vertical="center"/>
    </xf>
    <xf borderId="5" fillId="0" fontId="2" numFmtId="0" xfId="0" applyBorder="1" applyFont="1"/>
    <xf borderId="5" fillId="0" fontId="2" numFmtId="0" xfId="0" applyAlignment="1" applyBorder="1" applyFont="1">
      <alignment horizontal="left" vertical="center"/>
    </xf>
    <xf borderId="4" fillId="0" fontId="2" numFmtId="169" xfId="0" applyAlignment="1" applyBorder="1" applyFont="1" applyNumberFormat="1">
      <alignment horizontal="center" vertical="center"/>
    </xf>
    <xf borderId="9" fillId="0" fontId="2" numFmtId="0" xfId="0" applyBorder="1" applyFont="1"/>
    <xf borderId="9" fillId="0" fontId="7" numFmtId="0" xfId="0" applyBorder="1" applyFont="1"/>
    <xf borderId="4" fillId="0" fontId="6" numFmtId="168" xfId="0" applyAlignment="1" applyBorder="1" applyFont="1" applyNumberFormat="1">
      <alignment horizontal="center" vertical="center"/>
    </xf>
    <xf borderId="4" fillId="0" fontId="2" numFmtId="2" xfId="0" applyAlignment="1" applyBorder="1" applyFont="1" applyNumberFormat="1">
      <alignment horizontal="left" vertical="center"/>
    </xf>
    <xf borderId="10" fillId="0" fontId="2" numFmtId="2" xfId="0" applyAlignment="1" applyBorder="1" applyFont="1" applyNumberFormat="1">
      <alignment horizontal="center" vertical="center"/>
    </xf>
    <xf borderId="8" fillId="0" fontId="2" numFmtId="0" xfId="0" applyAlignment="1" applyBorder="1" applyFont="1">
      <alignment horizontal="left" vertical="center"/>
    </xf>
    <xf borderId="11" fillId="0" fontId="2" numFmtId="0" xfId="0" applyAlignment="1" applyBorder="1" applyFont="1">
      <alignment horizontal="left" vertical="center"/>
    </xf>
    <xf borderId="4" fillId="0" fontId="6" numFmtId="168" xfId="0" applyAlignment="1" applyBorder="1" applyFont="1" applyNumberFormat="1">
      <alignment horizontal="left" vertical="center"/>
    </xf>
    <xf borderId="7" fillId="0" fontId="2" numFmtId="168" xfId="0" applyAlignment="1" applyBorder="1" applyFont="1" applyNumberFormat="1">
      <alignment horizontal="center" vertical="center"/>
    </xf>
    <xf borderId="7" fillId="0" fontId="6" numFmtId="9" xfId="0" applyAlignment="1" applyBorder="1" applyFont="1" applyNumberFormat="1">
      <alignment horizontal="center" vertical="center"/>
    </xf>
    <xf borderId="7" fillId="0" fontId="6" numFmtId="166" xfId="0" applyAlignment="1" applyBorder="1" applyFont="1" applyNumberFormat="1">
      <alignment horizontal="center" vertical="center"/>
    </xf>
    <xf borderId="4" fillId="0" fontId="2" numFmtId="168" xfId="0" applyAlignment="1" applyBorder="1" applyFont="1" applyNumberFormat="1">
      <alignment horizontal="center" vertical="center"/>
    </xf>
    <xf borderId="7" fillId="0" fontId="2" numFmtId="2" xfId="0" applyAlignment="1" applyBorder="1" applyFont="1" applyNumberFormat="1">
      <alignment horizontal="left" vertical="center"/>
    </xf>
    <xf borderId="4" fillId="0" fontId="2" numFmtId="164" xfId="0" applyAlignment="1" applyBorder="1" applyFont="1" applyNumberFormat="1">
      <alignment horizontal="center" vertical="center"/>
    </xf>
    <xf borderId="4" fillId="0" fontId="2" numFmtId="10" xfId="0" applyAlignment="1" applyBorder="1" applyFont="1" applyNumberFormat="1">
      <alignment horizontal="left" vertical="center"/>
    </xf>
    <xf borderId="4" fillId="0" fontId="6" numFmtId="1" xfId="0" applyAlignment="1" applyBorder="1" applyFont="1" applyNumberFormat="1">
      <alignment horizontal="center" vertical="center"/>
    </xf>
    <xf borderId="4" fillId="0" fontId="6" numFmtId="9" xfId="0" applyAlignment="1" applyBorder="1" applyFont="1" applyNumberFormat="1">
      <alignment vertical="center"/>
    </xf>
    <xf borderId="8" fillId="0" fontId="2" numFmtId="0" xfId="0" applyBorder="1" applyFont="1"/>
    <xf borderId="4" fillId="0" fontId="2" numFmtId="9" xfId="0" applyAlignment="1" applyBorder="1" applyFont="1" applyNumberFormat="1">
      <alignment vertical="center"/>
    </xf>
    <xf borderId="0" fillId="0" fontId="2" numFmtId="168" xfId="0" applyAlignment="1" applyFont="1" applyNumberFormat="1">
      <alignment horizontal="center" vertical="center"/>
    </xf>
    <xf borderId="4" fillId="0" fontId="2" numFmtId="2" xfId="0" applyAlignment="1" applyBorder="1" applyFont="1" applyNumberFormat="1">
      <alignment vertical="center"/>
    </xf>
    <xf borderId="4" fillId="0" fontId="2" numFmtId="0" xfId="0" applyAlignment="1" applyBorder="1" applyFont="1">
      <alignment horizontal="center" vertical="center"/>
    </xf>
    <xf borderId="4" fillId="0" fontId="6" numFmtId="168" xfId="0" applyAlignment="1" applyBorder="1" applyFont="1" applyNumberFormat="1">
      <alignment vertical="center"/>
    </xf>
    <xf borderId="7" fillId="0" fontId="2" numFmtId="166" xfId="0" applyAlignment="1" applyBorder="1" applyFont="1" applyNumberFormat="1">
      <alignment horizontal="center" vertical="center"/>
    </xf>
    <xf borderId="7" fillId="0" fontId="6" numFmtId="166" xfId="0" applyAlignment="1" applyBorder="1" applyFont="1" applyNumberFormat="1">
      <alignment horizontal="left" vertical="center"/>
    </xf>
    <xf borderId="4" fillId="0" fontId="7" numFmtId="1" xfId="0" applyAlignment="1" applyBorder="1" applyFont="1" applyNumberFormat="1">
      <alignment horizontal="center" vertical="center"/>
    </xf>
    <xf borderId="8" fillId="0" fontId="2" numFmtId="2" xfId="0" applyAlignment="1" applyBorder="1" applyFont="1" applyNumberFormat="1">
      <alignment vertical="center"/>
    </xf>
    <xf borderId="4" fillId="0" fontId="7" numFmtId="2" xfId="0" applyAlignment="1" applyBorder="1" applyFont="1" applyNumberFormat="1">
      <alignment horizontal="center" vertical="center"/>
    </xf>
    <xf borderId="7" fillId="0" fontId="2" numFmtId="2" xfId="0" applyAlignment="1" applyBorder="1" applyFont="1" applyNumberFormat="1">
      <alignment horizontal="center" vertical="center"/>
    </xf>
    <xf borderId="4" fillId="0" fontId="2" numFmtId="167" xfId="0" applyAlignment="1" applyBorder="1" applyFont="1" applyNumberFormat="1">
      <alignment vertical="center"/>
    </xf>
    <xf borderId="4" fillId="0" fontId="6" numFmtId="0" xfId="0" applyAlignment="1" applyBorder="1" applyFont="1">
      <alignment horizontal="center" vertical="center"/>
    </xf>
    <xf borderId="0" fillId="0" fontId="2" numFmtId="2" xfId="0" applyAlignment="1" applyFont="1" applyNumberFormat="1">
      <alignment horizontal="center" vertical="center"/>
    </xf>
    <xf borderId="4" fillId="0" fontId="9" numFmtId="2" xfId="0" applyAlignment="1" applyBorder="1" applyFont="1" applyNumberFormat="1">
      <alignment vertical="center"/>
    </xf>
    <xf borderId="4" fillId="0" fontId="2" numFmtId="167" xfId="0" applyAlignment="1" applyBorder="1" applyFont="1" applyNumberFormat="1">
      <alignment horizontal="left" vertical="center"/>
    </xf>
    <xf borderId="4" fillId="0" fontId="2" numFmtId="0" xfId="0" applyAlignment="1" applyBorder="1" applyFont="1">
      <alignment horizontal="left" vertical="center"/>
    </xf>
    <xf borderId="7" fillId="0" fontId="6" numFmtId="2" xfId="0" applyAlignment="1" applyBorder="1" applyFont="1" applyNumberFormat="1">
      <alignment horizontal="left" vertical="center"/>
    </xf>
    <xf borderId="7" fillId="0" fontId="2" numFmtId="166" xfId="0" applyAlignment="1" applyBorder="1" applyFont="1" applyNumberFormat="1">
      <alignment horizontal="left" vertical="center"/>
    </xf>
    <xf borderId="7" fillId="0" fontId="2" numFmtId="1" xfId="0" applyAlignment="1" applyBorder="1" applyFont="1" applyNumberFormat="1">
      <alignment horizontal="center" vertical="center"/>
    </xf>
    <xf borderId="4" fillId="0" fontId="7" numFmtId="2" xfId="0" applyAlignment="1" applyBorder="1" applyFont="1" applyNumberFormat="1">
      <alignment vertical="center"/>
    </xf>
    <xf borderId="4" fillId="0" fontId="8" numFmtId="2" xfId="0" applyAlignment="1" applyBorder="1" applyFont="1" applyNumberFormat="1">
      <alignment vertical="center"/>
    </xf>
    <xf borderId="7" fillId="0" fontId="8" numFmtId="0" xfId="0" applyAlignment="1" applyBorder="1" applyFont="1">
      <alignment horizontal="left"/>
    </xf>
    <xf borderId="0" fillId="0" fontId="2" numFmtId="164" xfId="0" applyFont="1" applyNumberFormat="1"/>
    <xf borderId="0" fillId="0" fontId="2" numFmtId="11" xfId="0" applyFont="1" applyNumberFormat="1"/>
    <xf borderId="0" fillId="0" fontId="2" numFmtId="167" xfId="0" applyFont="1" applyNumberFormat="1"/>
    <xf borderId="0" fillId="0" fontId="10" numFmtId="0" xfId="0" applyFont="1"/>
    <xf borderId="0" fillId="0" fontId="1" numFmtId="0" xfId="0" applyFont="1"/>
    <xf borderId="0" fillId="0" fontId="11" numFmtId="0" xfId="0" applyFont="1"/>
    <xf borderId="0" fillId="0" fontId="2" numFmtId="10" xfId="0" applyFont="1" applyNumberFormat="1"/>
    <xf borderId="0" fillId="0" fontId="2" numFmtId="9" xfId="0" applyFont="1" applyNumberFormat="1"/>
    <xf borderId="0" fillId="0" fontId="2" numFmtId="165" xfId="0" applyFont="1" applyNumberFormat="1"/>
    <xf borderId="0" fillId="0" fontId="11" numFmtId="1" xfId="0" applyFont="1" applyNumberFormat="1"/>
    <xf borderId="0" fillId="0" fontId="11" numFmtId="168" xfId="0" applyFont="1" applyNumberFormat="1"/>
    <xf borderId="0" fillId="0" fontId="2" numFmtId="165" xfId="0" applyFont="1" applyNumberFormat="1"/>
  </cellXfs>
  <cellStyles count="1">
    <cellStyle xfId="0" name="Normal" builtinId="0"/>
  </cellStyles>
  <dxfs count="4">
    <dxf>
      <font/>
      <fill>
        <patternFill patternType="none"/>
      </fill>
      <border/>
    </dxf>
    <dxf>
      <font/>
      <fill>
        <patternFill patternType="solid">
          <fgColor theme="4"/>
          <bgColor theme="4"/>
        </patternFill>
      </fill>
      <border/>
    </dxf>
    <dxf>
      <font/>
      <fill>
        <patternFill patternType="solid">
          <fgColor rgb="FFDEEAF6"/>
          <bgColor rgb="FFDEEAF6"/>
        </patternFill>
      </fill>
      <border/>
    </dxf>
    <dxf>
      <font/>
      <fill>
        <patternFill patternType="solid">
          <fgColor theme="0"/>
          <bgColor theme="0"/>
        </patternFill>
      </fill>
      <border/>
    </dxf>
  </dxfs>
  <tableStyles count="8">
    <tableStyle count="3" pivot="0" name="general_data-style">
      <tableStyleElement dxfId="1" type="headerRow"/>
      <tableStyleElement dxfId="2" type="firstRowStripe"/>
      <tableStyleElement dxfId="2" type="secondRowStripe"/>
    </tableStyle>
    <tableStyle count="3" pivot="0" name="Moss_2018_total_conc-style">
      <tableStyleElement dxfId="1" type="headerRow"/>
      <tableStyleElement dxfId="2" type="firstRowStripe"/>
      <tableStyleElement dxfId="2" type="secondRowStripe"/>
    </tableStyle>
    <tableStyle count="3" pivot="0" name="fractions-style">
      <tableStyleElement dxfId="1" type="headerRow"/>
      <tableStyleElement dxfId="2" type="firstRowStripe"/>
      <tableStyleElement dxfId="2" type="secondRowStripe"/>
    </tableStyle>
    <tableStyle count="3" pivot="0" name="daily_turnover-style">
      <tableStyleElement dxfId="1" type="headerRow"/>
      <tableStyleElement dxfId="2" type="firstRowStripe"/>
      <tableStyleElement dxfId="2" type="secondRowStripe"/>
    </tableStyle>
    <tableStyle count="3" pivot="0" name="more_turnover-style">
      <tableStyleElement dxfId="1" type="headerRow"/>
      <tableStyleElement dxfId="2" type="firstRowStripe"/>
      <tableStyleElement dxfId="2" type="secondRowStripe"/>
    </tableStyle>
    <tableStyle count="3" pivot="0" name="DNA_per_cell-style">
      <tableStyleElement dxfId="1" type="headerRow"/>
      <tableStyleElement dxfId="2" type="firstRowStripe"/>
      <tableStyleElement dxfId="2" type="secondRowStripe"/>
    </tableStyle>
    <tableStyle count="4" pivot="0" name="Hepatocytes_turnover-style">
      <tableStyleElement dxfId="1" type="headerRow"/>
      <tableStyleElement dxfId="2" type="firstRowStripe"/>
      <tableStyleElement dxfId="2" type="secondRowStripe"/>
      <tableStyleElement dxfId="3" type="totalRow"/>
    </tableStyle>
    <tableStyle count="4" pivot="0" name="Megakaryocyte_ploidy-style">
      <tableStyleElement dxfId="1" type="headerRow"/>
      <tableStyleElement dxfId="2" type="firstRowStripe"/>
      <tableStyleElement dxfId="2" type="secondRowStripe"/>
      <tableStyleElement dxfId="3" type="totalRow"/>
    </tableStyle>
  </tableStyle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18" Type="http://customschemas.google.com/relationships/workbookmetadata" Target="metadata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scatterChart>
        <c:scatterStyle val="lineMarker"/>
        <c:varyColors val="0"/>
        <c:ser>
          <c:idx val="0"/>
          <c:order val="0"/>
          <c:tx>
            <c:v>hepatocytes</c:v>
          </c:tx>
          <c:spPr>
            <a:ln>
              <a:noFill/>
            </a:ln>
          </c:spPr>
          <c:marker>
            <c:symbol val="circle"/>
            <c:size val="7"/>
            <c:spPr>
              <a:solidFill>
                <a:schemeClr val="accent1"/>
              </a:solidFill>
              <a:ln cmpd="sng">
                <a:solidFill>
                  <a:schemeClr val="accent1"/>
                </a:solidFill>
              </a:ln>
            </c:spPr>
          </c:marker>
          <c:trendline>
            <c:name>Linear (hepatocytes)</c:name>
            <c:spPr>
              <a:ln w="19050">
                <a:solidFill>
                  <a:srgbClr val="000000">
                    <a:alpha val="0"/>
                  </a:srgbClr>
                </a:solidFill>
              </a:ln>
            </c:spPr>
            <c:trendlineType val="linear"/>
            <c:dispRSqr val="0"/>
            <c:dispEq val="0"/>
          </c:trendline>
          <c:xVal>
            <c:numRef>
              <c:f>Hepatocytes_nums!$F$7:$F$19</c:f>
            </c:numRef>
          </c:xVal>
          <c:yVal>
            <c:numRef>
              <c:f>Hepatocytes_nums!$G$7:$G$19</c:f>
              <c:numCache/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7348392"/>
        <c:axId val="112596700"/>
      </c:scatterChart>
      <c:valAx>
        <c:axId val="347348392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12596700"/>
      </c:valAx>
      <c:valAx>
        <c:axId val="11259670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347348392"/>
      </c:valAx>
    </c:plotArea>
    <c:plotVisOnly val="1"/>
  </c:chart>
</c:chartSpace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104775</xdr:colOff>
      <xdr:row>6</xdr:row>
      <xdr:rowOff>76200</xdr:rowOff>
    </xdr:from>
    <xdr:ext cx="3495675" cy="2295525"/>
    <xdr:graphicFrame>
      <xdr:nvGraphicFramePr>
        <xdr:cNvPr id="1760622325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A1:G5" displayName="Table_1" id="1">
  <tableColumns count="7">
    <tableColumn name="parameter" id="1"/>
    <tableColumn name="value" id="2"/>
    <tableColumn name="lower_bound" id="3"/>
    <tableColumn name="upper_bound" id="4"/>
    <tableColumn name="units" id="5"/>
    <tableColumn name="references" id="6"/>
    <tableColumn name="comments" id="7"/>
  </tableColumns>
  <tableStyleInfo name="general_data-style" showColumnStripes="0" showFirstColumn="1" showLastColumn="1" showRowStripes="1"/>
</table>
</file>

<file path=xl/tables/table2.xml><?xml version="1.0" encoding="utf-8"?>
<table xmlns="http://schemas.openxmlformats.org/spreadsheetml/2006/main" ref="A1:D9" displayName="Table_2" id="2">
  <tableColumns count="4">
    <tableColumn name="population" id="1"/>
    <tableColumn name="age" id="2"/>
    <tableColumn name="sex" id="3"/>
    <tableColumn name="GE/ml" id="4"/>
  </tableColumns>
  <tableStyleInfo name="Moss_2018_total_conc-style" showColumnStripes="0" showFirstColumn="1" showLastColumn="1" showRowStripes="1"/>
</table>
</file>

<file path=xl/tables/table3.xml><?xml version="1.0" encoding="utf-8"?>
<table xmlns="http://schemas.openxmlformats.org/spreadsheetml/2006/main" ref="A1:E9" displayName="Table_3" id="3">
  <tableColumns count="5">
    <tableColumn name="cell_type" id="1"/>
    <tableColumn name="fraction" id="2"/>
    <tableColumn name="sd" id="3"/>
    <tableColumn name="comment" id="4"/>
    <tableColumn name="color" id="5"/>
  </tableColumns>
  <tableStyleInfo name="fractions-style" showColumnStripes="0" showFirstColumn="1" showLastColumn="1" showRowStripes="1"/>
</table>
</file>

<file path=xl/tables/table4.xml><?xml version="1.0" encoding="utf-8"?>
<table xmlns="http://schemas.openxmlformats.org/spreadsheetml/2006/main" ref="A1:N26" displayName="Table_4" id="4">
  <tableColumns count="14">
    <tableColumn name="cell type" id="1"/>
    <tableColumn name="group" id="2"/>
    <tableColumn name="trillion_of_cells" id="3"/>
    <tableColumn name="number_delta" id="4"/>
    <tableColumn name="number_upper" id="5"/>
    <tableColumn name="mouse lifespan" id="6"/>
    <tableColumn name="average life span" id="7"/>
    <tableColumn name="lifespan delta" id="8"/>
    <tableColumn name="lifespan upper" id="9"/>
    <tableColumn name="based on mouse" id="10"/>
    <tableColumn name="cellular turnover rate (10^12/d)" id="11"/>
    <tableColumn name="delta low turnover rate (10^12/d)" id="12"/>
    <tableColumn name="delta high turnover rate (10^12/d)" id="13"/>
    <tableColumn name="ref" id="14"/>
  </tableColumns>
  <tableStyleInfo name="daily_turnover-style" showColumnStripes="0" showFirstColumn="1" showLastColumn="1" showRowStripes="1"/>
</table>
</file>

<file path=xl/tables/table5.xml><?xml version="1.0" encoding="utf-8"?>
<table xmlns="http://schemas.openxmlformats.org/spreadsheetml/2006/main" ref="A1:P49" displayName="Table_5" id="5">
  <tableColumns count="16">
    <tableColumn name="Organ/system" id="1"/>
    <tableColumn name="Tissue" id="2"/>
    <tableColumn name="Cell type" id="3"/>
    <tableColumn name="Group" id="4"/>
    <tableColumn name="trillion_cells" id="5"/>
    <tableColumn name="mean lifespan in human [d]" id="6"/>
    <tableColumn name="ref. for lifspan in human" id="7"/>
    <tableColumn name="mean lifespan in rodents [d]" id="8"/>
    <tableColumn name="ref. for lifspan in mouse" id="9"/>
    <tableColumn name="cellular turnover [10^12 cell/d]" id="10"/>
    <tableColumn name="SEM cellular turnover [10^12 cell/d]" id="11"/>
    <tableColumn name="cellular turnover bound by mouse [10^12 cell/d]" id="12"/>
    <tableColumn name="method of measurments in humans" id="13"/>
    <tableColumn name="method of measurments in rodents" id="14"/>
    <tableColumn name="comments" id="15"/>
    <tableColumn name="ploidy" id="16"/>
  </tableColumns>
  <tableStyleInfo name="more_turnover-style" showColumnStripes="0" showFirstColumn="1" showLastColumn="1" showRowStripes="1"/>
</table>
</file>

<file path=xl/tables/table6.xml><?xml version="1.0" encoding="utf-8"?>
<table xmlns="http://schemas.openxmlformats.org/spreadsheetml/2006/main" ref="A1:E8" displayName="Table_6" id="6">
  <tableColumns count="5">
    <tableColumn name="cell_type" id="1"/>
    <tableColumn name="Ploidy" id="2"/>
    <tableColumn name="sem" id="3"/>
    <tableColumn name="ref" id="4"/>
    <tableColumn name="comment" id="5"/>
  </tableColumns>
  <tableStyleInfo name="DNA_per_cell-style" showColumnStripes="0" showFirstColumn="1" showLastColumn="1" showRowStripes="1"/>
</table>
</file>

<file path=xl/tables/table7.xml><?xml version="1.0" encoding="utf-8"?>
<table xmlns="http://schemas.openxmlformats.org/spreadsheetml/2006/main" ref="A2:J6" displayName="Table_7" id="7">
  <tableColumns count="10">
    <tableColumn name="subpopulation" id="1"/>
    <tableColumn name="polidy" id="2"/>
    <tableColumn name="fraction_at_age_30" id="3"/>
    <tableColumn name="tot_nums" id="4"/>
    <tableColumn name="death_rate_per_y" id="5"/>
    <tableColumn name="lower_bound_death_rate" id="6"/>
    <tableColumn name="upper_bound_death_rate" id="7"/>
    <tableColumn name="daily_cellular_turnover" id="8"/>
    <tableColumn name="lower_daily_turnover" id="9"/>
    <tableColumn name="upper_daily_turnover" id="10"/>
  </tableColumns>
  <tableStyleInfo name="Hepatocytes_turnover-style" showColumnStripes="0" showFirstColumn="1" showLastColumn="1" showRowStripes="1"/>
</table>
</file>

<file path=xl/tables/table8.xml><?xml version="1.0" encoding="utf-8"?>
<table xmlns="http://schemas.openxmlformats.org/spreadsheetml/2006/main" ref="A1:C7" displayName="Table_8" id="8">
  <tableColumns count="3">
    <tableColumn name="source" id="1"/>
    <tableColumn name="mean ploidy" id="2"/>
    <tableColumn name="sem" id="3"/>
  </tableColumns>
  <tableStyleInfo name="Megakaryocyte_ploidy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hyperlink" Target="http://dx.doi.org/10.1016/j.cels.2022.05.001" TargetMode="External"/><Relationship Id="rId2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hyperlink" Target="http://dx.doi.org/10.1016/j.cels.2022.05.001" TargetMode="External"/><Relationship Id="rId2" Type="http://schemas.openxmlformats.org/officeDocument/2006/relationships/drawing" Target="../drawings/drawing13.xml"/><Relationship Id="rId4" Type="http://schemas.openxmlformats.org/officeDocument/2006/relationships/table" Target="../tables/table7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Relationship Id="rId3" Type="http://schemas.openxmlformats.org/officeDocument/2006/relationships/table" Target="../tables/table8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3" Type="http://schemas.openxmlformats.org/officeDocument/2006/relationships/table" Target="../tables/table2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Relationship Id="rId3" Type="http://schemas.openxmlformats.org/officeDocument/2006/relationships/table" Target="../tables/table3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://dx.doi.org/10.1016/j.cels.2022.05.001" TargetMode="External"/><Relationship Id="rId2" Type="http://schemas.openxmlformats.org/officeDocument/2006/relationships/drawing" Target="../drawings/drawing6.xml"/><Relationship Id="rId4" Type="http://schemas.openxmlformats.org/officeDocument/2006/relationships/table" Target="../tables/table4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://dx.doi.org/10.1016/j.cels.2022.05.001" TargetMode="External"/><Relationship Id="rId2" Type="http://schemas.openxmlformats.org/officeDocument/2006/relationships/drawing" Target="../drawings/drawing7.xml"/><Relationship Id="rId4" Type="http://schemas.openxmlformats.org/officeDocument/2006/relationships/table" Target="../tables/table5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hyperlink" Target="http://dx.doi.org/10.1016/j.cels.2022.05.001" TargetMode="External"/><Relationship Id="rId2" Type="http://schemas.openxmlformats.org/officeDocument/2006/relationships/drawing" Target="../drawings/drawing8.xml"/><Relationship Id="rId4" Type="http://schemas.openxmlformats.org/officeDocument/2006/relationships/table" Target="../tables/table6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5.57"/>
    <col customWidth="1" min="2" max="2" width="8.71"/>
    <col customWidth="1" min="3" max="3" width="13.57"/>
    <col customWidth="1" min="4" max="4" width="13.71"/>
    <col customWidth="1" min="5" max="5" width="8.71"/>
    <col customWidth="1" min="6" max="6" width="55.29"/>
    <col customWidth="1" min="7" max="7" width="11.14"/>
    <col customWidth="1" min="8" max="26" width="8.71"/>
  </cols>
  <sheetData>
    <row r="1" ht="14.2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ht="14.25" customHeight="1">
      <c r="A2" s="1" t="s">
        <v>7</v>
      </c>
      <c r="B2" s="1">
        <v>3000.0</v>
      </c>
      <c r="C2" s="1"/>
      <c r="D2" s="1"/>
      <c r="E2" s="1" t="s">
        <v>8</v>
      </c>
      <c r="F2" s="2" t="s">
        <v>9</v>
      </c>
      <c r="G2" s="1"/>
    </row>
    <row r="3" ht="14.25" customHeight="1">
      <c r="A3" s="1" t="s">
        <v>10</v>
      </c>
      <c r="B3" s="3">
        <v>3.2999999999999997E-12</v>
      </c>
      <c r="C3" s="1"/>
      <c r="D3" s="1"/>
      <c r="E3" s="1" t="s">
        <v>11</v>
      </c>
      <c r="F3" s="2" t="s">
        <v>12</v>
      </c>
      <c r="G3" s="1"/>
    </row>
    <row r="4" ht="14.25" customHeight="1">
      <c r="A4" s="1" t="s">
        <v>13</v>
      </c>
      <c r="B4" s="1">
        <v>0.5</v>
      </c>
      <c r="C4" s="1">
        <v>0.25</v>
      </c>
      <c r="D4" s="1">
        <v>1.0</v>
      </c>
      <c r="E4" s="1" t="s">
        <v>14</v>
      </c>
      <c r="F4" s="2" t="s">
        <v>15</v>
      </c>
      <c r="G4" s="1"/>
    </row>
    <row r="5" ht="14.25" customHeight="1">
      <c r="A5" s="2" t="s">
        <v>16</v>
      </c>
      <c r="B5" s="1"/>
      <c r="C5" s="2">
        <v>1.0</v>
      </c>
      <c r="D5" s="2">
        <v>2.0</v>
      </c>
      <c r="E5" s="2" t="s">
        <v>17</v>
      </c>
      <c r="F5" s="2" t="s">
        <v>18</v>
      </c>
      <c r="G5" s="2" t="s">
        <v>19</v>
      </c>
    </row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landscape"/>
  <drawing r:id="rId1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8.71"/>
    <col customWidth="1" min="2" max="2" width="11.71"/>
    <col customWidth="1" min="3" max="26" width="8.71"/>
  </cols>
  <sheetData>
    <row r="1" ht="14.25" customHeight="1">
      <c r="A1" s="104" t="s">
        <v>264</v>
      </c>
    </row>
    <row r="2" ht="14.25" customHeight="1"/>
    <row r="3" ht="14.25" customHeight="1">
      <c r="A3" s="105" t="s">
        <v>361</v>
      </c>
    </row>
    <row r="4" ht="14.25" customHeight="1">
      <c r="A4" s="104" t="s">
        <v>362</v>
      </c>
      <c r="D4" s="104" t="s">
        <v>363</v>
      </c>
    </row>
    <row r="5" ht="14.25" customHeight="1">
      <c r="A5" s="104" t="s">
        <v>364</v>
      </c>
      <c r="B5" s="104">
        <v>500.0</v>
      </c>
      <c r="C5" s="104" t="s">
        <v>8</v>
      </c>
    </row>
    <row r="6" ht="14.25" customHeight="1">
      <c r="A6" s="104" t="s">
        <v>365</v>
      </c>
      <c r="B6" s="107">
        <v>0.4</v>
      </c>
    </row>
    <row r="7" ht="14.25" customHeight="1">
      <c r="A7" s="104" t="s">
        <v>366</v>
      </c>
      <c r="B7" s="104">
        <f>B5*B6</f>
        <v>200</v>
      </c>
      <c r="C7" s="104" t="s">
        <v>8</v>
      </c>
    </row>
    <row r="8" ht="14.25" customHeight="1">
      <c r="A8" s="104" t="s">
        <v>367</v>
      </c>
      <c r="B8" s="107">
        <v>0.5</v>
      </c>
      <c r="C8" s="104" t="s">
        <v>368</v>
      </c>
    </row>
    <row r="9" ht="14.25" customHeight="1"/>
    <row r="10" ht="14.25" customHeight="1">
      <c r="A10" s="104" t="s">
        <v>369</v>
      </c>
      <c r="I10" s="104" t="s">
        <v>370</v>
      </c>
    </row>
    <row r="11" ht="14.25" customHeight="1">
      <c r="A11" s="104" t="s">
        <v>90</v>
      </c>
      <c r="B11" s="104" t="s">
        <v>72</v>
      </c>
      <c r="C11" s="104" t="s">
        <v>70</v>
      </c>
    </row>
    <row r="12" ht="14.25" customHeight="1">
      <c r="A12" s="104" t="s">
        <v>371</v>
      </c>
      <c r="B12" s="104" t="s">
        <v>372</v>
      </c>
      <c r="C12" s="107">
        <v>0.51</v>
      </c>
      <c r="D12" s="107"/>
    </row>
    <row r="13" ht="14.25" customHeight="1">
      <c r="A13" s="104" t="s">
        <v>373</v>
      </c>
      <c r="C13" s="107">
        <v>0.181626</v>
      </c>
    </row>
    <row r="14" ht="14.25" customHeight="1">
      <c r="A14" s="104" t="s">
        <v>85</v>
      </c>
      <c r="B14" s="104" t="s">
        <v>85</v>
      </c>
      <c r="C14" s="107">
        <v>0.040703</v>
      </c>
    </row>
    <row r="15" ht="14.25" customHeight="1">
      <c r="A15" s="104" t="s">
        <v>374</v>
      </c>
      <c r="B15" s="104" t="s">
        <v>375</v>
      </c>
      <c r="C15" s="107">
        <v>0.25</v>
      </c>
    </row>
    <row r="16" ht="14.25" customHeight="1"/>
    <row r="17" ht="14.25" customHeight="1"/>
    <row r="18" ht="14.25" customHeight="1">
      <c r="A18" s="104" t="s">
        <v>376</v>
      </c>
    </row>
    <row r="19" ht="14.25" customHeight="1">
      <c r="A19" s="104" t="s">
        <v>377</v>
      </c>
      <c r="B19" s="104">
        <f>B7*B8*1.05*C12</f>
        <v>53.55</v>
      </c>
      <c r="C19" s="104" t="s">
        <v>319</v>
      </c>
    </row>
    <row r="20" ht="14.25" customHeight="1">
      <c r="A20" s="104" t="s">
        <v>378</v>
      </c>
      <c r="B20" s="21">
        <f>10^-9</f>
        <v>0.000000001</v>
      </c>
      <c r="C20" s="104" t="s">
        <v>319</v>
      </c>
      <c r="D20" s="104" t="s">
        <v>379</v>
      </c>
    </row>
    <row r="21" ht="14.25" customHeight="1">
      <c r="A21" s="104" t="s">
        <v>380</v>
      </c>
      <c r="B21" s="21">
        <f>B19/B20</f>
        <v>53550000000</v>
      </c>
    </row>
    <row r="22" ht="14.25" customHeight="1"/>
    <row r="23" ht="14.25" customHeight="1"/>
    <row r="24" ht="14.25" customHeight="1">
      <c r="A24" s="105" t="s">
        <v>381</v>
      </c>
    </row>
    <row r="25" ht="14.25" customHeight="1">
      <c r="A25" s="104" t="s">
        <v>382</v>
      </c>
    </row>
    <row r="26" ht="14.25" customHeight="1"/>
    <row r="27" ht="14.25" customHeight="1">
      <c r="A27" s="104" t="s">
        <v>383</v>
      </c>
      <c r="B27" s="104" t="s">
        <v>384</v>
      </c>
      <c r="C27" s="104" t="s">
        <v>385</v>
      </c>
      <c r="E27" s="104" t="s">
        <v>386</v>
      </c>
    </row>
    <row r="28" ht="14.25" customHeight="1">
      <c r="A28" s="104">
        <v>20.0</v>
      </c>
      <c r="B28" s="104">
        <v>22.0</v>
      </c>
      <c r="C28" s="106">
        <v>0.023</v>
      </c>
    </row>
    <row r="29" ht="14.25" customHeight="1">
      <c r="A29" s="104">
        <v>30.0</v>
      </c>
      <c r="B29" s="104">
        <v>70.0</v>
      </c>
      <c r="C29" s="106">
        <v>0.0071</v>
      </c>
    </row>
    <row r="30" ht="14.25" customHeight="1">
      <c r="A30" s="104">
        <v>40.0</v>
      </c>
      <c r="B30" s="104">
        <v>147.0</v>
      </c>
      <c r="C30" s="106">
        <v>0.0034</v>
      </c>
    </row>
    <row r="31" ht="14.25" customHeight="1"/>
    <row r="32" ht="14.25" customHeight="1">
      <c r="A32" s="104" t="s">
        <v>387</v>
      </c>
    </row>
    <row r="33" ht="14.25" customHeight="1">
      <c r="A33" s="105" t="s">
        <v>388</v>
      </c>
      <c r="B33" s="109">
        <f>GEOMEAN(B28:B30)</f>
        <v>60.94611384</v>
      </c>
      <c r="C33" s="105" t="s">
        <v>389</v>
      </c>
    </row>
    <row r="34" ht="14.25" customHeight="1"/>
    <row r="35" ht="14.25" customHeight="1"/>
    <row r="36" ht="14.25" customHeight="1">
      <c r="A36" s="104" t="s">
        <v>390</v>
      </c>
      <c r="B36" s="21">
        <f>B21/B33</f>
        <v>878645029.6</v>
      </c>
      <c r="C36" s="104" t="s">
        <v>391</v>
      </c>
    </row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0"/>
    <col customWidth="1" min="2" max="2" width="11.14"/>
    <col customWidth="1" min="3" max="3" width="10.71"/>
    <col customWidth="1" min="4" max="4" width="8.71"/>
    <col customWidth="1" min="5" max="5" width="14.57"/>
    <col customWidth="1" min="6" max="6" width="9.0"/>
    <col customWidth="1" min="7" max="26" width="8.71"/>
  </cols>
  <sheetData>
    <row r="1" ht="14.25" customHeight="1">
      <c r="A1" s="105" t="s">
        <v>392</v>
      </c>
    </row>
    <row r="2" ht="14.25" customHeight="1">
      <c r="B2" s="104" t="s">
        <v>1</v>
      </c>
      <c r="C2" s="104" t="s">
        <v>29</v>
      </c>
      <c r="D2" s="104" t="s">
        <v>393</v>
      </c>
      <c r="E2" s="104" t="s">
        <v>394</v>
      </c>
      <c r="F2" s="104" t="s">
        <v>72</v>
      </c>
    </row>
    <row r="3" ht="14.25" customHeight="1">
      <c r="A3" s="104" t="s">
        <v>395</v>
      </c>
      <c r="B3" s="106">
        <v>5.0E-4</v>
      </c>
      <c r="C3" s="106">
        <v>3.0E-5</v>
      </c>
      <c r="E3" s="104" t="s">
        <v>396</v>
      </c>
    </row>
    <row r="4" ht="14.25" customHeight="1">
      <c r="A4" s="104" t="s">
        <v>397</v>
      </c>
      <c r="B4" s="100">
        <f>AVERAGE(11.1,10.4)*70*10^9</f>
        <v>752500000000</v>
      </c>
      <c r="C4" s="100">
        <f>STDEV(11.1,10.4)*70*10^9</f>
        <v>34648232278</v>
      </c>
      <c r="D4" s="104" t="s">
        <v>398</v>
      </c>
      <c r="E4" s="104" t="s">
        <v>399</v>
      </c>
    </row>
    <row r="5" ht="14.25" customHeight="1">
      <c r="A5" s="104" t="s">
        <v>400</v>
      </c>
      <c r="B5" s="21">
        <f>B3*B4</f>
        <v>376250000</v>
      </c>
      <c r="C5" s="21">
        <f>SQRT(SUMSQ(C4*B3,C3*B4))</f>
        <v>28456205.39</v>
      </c>
      <c r="D5" s="104" t="s">
        <v>398</v>
      </c>
      <c r="E5" s="104" t="s">
        <v>401</v>
      </c>
    </row>
    <row r="6" ht="14.25" customHeight="1">
      <c r="A6" s="104" t="s">
        <v>400</v>
      </c>
      <c r="B6" s="21">
        <f>6.1*70*10^6</f>
        <v>427000000</v>
      </c>
      <c r="C6" s="21">
        <f>0.7*70*10^6/SQRT(15-1)</f>
        <v>13095800.85</v>
      </c>
      <c r="D6" s="104" t="s">
        <v>398</v>
      </c>
      <c r="E6" s="104" t="s">
        <v>402</v>
      </c>
      <c r="F6" s="104" t="s">
        <v>403</v>
      </c>
    </row>
    <row r="7" ht="14.25" customHeight="1">
      <c r="A7" s="104" t="s">
        <v>404</v>
      </c>
      <c r="B7" s="104">
        <v>5.0</v>
      </c>
      <c r="C7" s="104">
        <v>1.0</v>
      </c>
      <c r="D7" s="104" t="s">
        <v>389</v>
      </c>
      <c r="E7" s="104" t="s">
        <v>405</v>
      </c>
      <c r="F7" s="104" t="s">
        <v>406</v>
      </c>
    </row>
    <row r="8" ht="14.25" customHeight="1">
      <c r="A8" s="105" t="s">
        <v>407</v>
      </c>
      <c r="B8" s="110">
        <f>B5/B7</f>
        <v>75250000</v>
      </c>
      <c r="C8" s="110">
        <f>SQRT(SUMSQ(C5/B7,B5/B7*C7/B7))</f>
        <v>16090143.72</v>
      </c>
      <c r="D8" s="105" t="s">
        <v>391</v>
      </c>
    </row>
    <row r="9" ht="14.25" customHeight="1"/>
    <row r="10" ht="14.25" customHeight="1">
      <c r="A10" s="105" t="s">
        <v>408</v>
      </c>
    </row>
    <row r="11" ht="14.25" customHeight="1">
      <c r="A11" s="104" t="s">
        <v>409</v>
      </c>
      <c r="B11" s="104">
        <v>35000.0</v>
      </c>
      <c r="C11" s="20">
        <f>4300/SQRT(15-1)</f>
        <v>1149.22334</v>
      </c>
      <c r="D11" s="104" t="s">
        <v>410</v>
      </c>
      <c r="E11" s="104" t="s">
        <v>402</v>
      </c>
    </row>
    <row r="12" ht="14.25" customHeight="1">
      <c r="A12" s="104" t="s">
        <v>411</v>
      </c>
      <c r="B12" s="104">
        <v>5.0</v>
      </c>
      <c r="C12" s="104">
        <v>0.2</v>
      </c>
      <c r="D12" s="104" t="s">
        <v>412</v>
      </c>
      <c r="E12" s="104" t="s">
        <v>413</v>
      </c>
    </row>
    <row r="13" ht="14.25" customHeight="1">
      <c r="A13" s="104" t="s">
        <v>414</v>
      </c>
      <c r="B13" s="104">
        <f>B12*10^6*B11</f>
        <v>175000000000</v>
      </c>
      <c r="C13" s="21">
        <f>10^6*SQRT(SUMSQ(B11*C12,C11*B12))</f>
        <v>9056371080</v>
      </c>
      <c r="D13" s="104" t="s">
        <v>415</v>
      </c>
      <c r="E13" s="104" t="s">
        <v>401</v>
      </c>
    </row>
    <row r="14" ht="14.25" customHeight="1">
      <c r="A14" s="104" t="s">
        <v>416</v>
      </c>
      <c r="B14" s="20">
        <f>ROUND(GEOMEAN(B17,B18,B22),-3)</f>
        <v>2000</v>
      </c>
      <c r="C14" s="19">
        <v>500.0</v>
      </c>
      <c r="D14" s="104" t="s">
        <v>417</v>
      </c>
      <c r="E14" s="104" t="s">
        <v>418</v>
      </c>
    </row>
    <row r="15" ht="14.25" customHeight="1">
      <c r="A15" s="104" t="s">
        <v>419</v>
      </c>
      <c r="B15" s="110">
        <f>B13/B14</f>
        <v>87500000</v>
      </c>
      <c r="C15" s="110">
        <f>SQRT(SUMSQ(B13/B14*C14/B14,C13/B14))</f>
        <v>22338757.56</v>
      </c>
      <c r="D15" s="105" t="s">
        <v>391</v>
      </c>
    </row>
    <row r="16" ht="14.25" customHeight="1">
      <c r="B16" s="110"/>
      <c r="C16" s="110"/>
      <c r="D16" s="105"/>
    </row>
    <row r="17" ht="14.25" customHeight="1">
      <c r="A17" s="104" t="s">
        <v>420</v>
      </c>
      <c r="B17" s="104">
        <v>1088.0</v>
      </c>
      <c r="D17" s="104" t="s">
        <v>421</v>
      </c>
      <c r="E17" s="104" t="s">
        <v>422</v>
      </c>
    </row>
    <row r="18" ht="14.25" customHeight="1">
      <c r="A18" s="104" t="s">
        <v>420</v>
      </c>
      <c r="B18" s="20">
        <v>4000.0</v>
      </c>
      <c r="C18" s="20"/>
      <c r="D18" s="104" t="s">
        <v>421</v>
      </c>
      <c r="E18" s="104" t="s">
        <v>423</v>
      </c>
    </row>
    <row r="19" ht="14.25" customHeight="1">
      <c r="A19" s="9" t="s">
        <v>424</v>
      </c>
      <c r="B19" s="9">
        <v>49.0</v>
      </c>
      <c r="C19" s="9">
        <v>5.0</v>
      </c>
      <c r="D19" s="9" t="s">
        <v>425</v>
      </c>
      <c r="E19" s="104" t="s">
        <v>402</v>
      </c>
    </row>
    <row r="20" ht="14.25" customHeight="1">
      <c r="A20" s="9" t="s">
        <v>426</v>
      </c>
      <c r="B20" s="19">
        <f>4700/520</f>
        <v>9.038461538</v>
      </c>
      <c r="C20" s="19">
        <f>SQRT(SUMSQ(100/520, 4700/520*20/520))</f>
        <v>0.3972795563</v>
      </c>
      <c r="D20" s="9"/>
      <c r="E20" s="104" t="s">
        <v>402</v>
      </c>
    </row>
    <row r="21" ht="14.25" customHeight="1">
      <c r="A21" s="9" t="s">
        <v>427</v>
      </c>
      <c r="B21" s="20">
        <f>B20*B19</f>
        <v>442.8846154</v>
      </c>
      <c r="C21" s="20">
        <f>SQRT(SUMSQ(B20*C19,C20*B19))</f>
        <v>49.20667653</v>
      </c>
      <c r="D21" s="9" t="s">
        <v>428</v>
      </c>
      <c r="E21" s="104" t="s">
        <v>401</v>
      </c>
    </row>
    <row r="22" ht="14.25" customHeight="1">
      <c r="A22" s="9" t="s">
        <v>420</v>
      </c>
      <c r="B22" s="20">
        <f>B21*B7</f>
        <v>2214.423077</v>
      </c>
      <c r="C22" s="20">
        <f>C21*B7</f>
        <v>246.0333827</v>
      </c>
      <c r="D22" s="9"/>
      <c r="E22" s="104" t="s">
        <v>401</v>
      </c>
    </row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 ht="14.25" customHeight="1">
      <c r="A1" s="104" t="s">
        <v>429</v>
      </c>
      <c r="B1" s="103" t="s">
        <v>126</v>
      </c>
    </row>
    <row r="2" ht="14.25" customHeight="1"/>
    <row r="3" ht="14.25" customHeight="1"/>
    <row r="4" ht="14.25" customHeight="1"/>
    <row r="5" ht="14.25" customHeight="1"/>
    <row r="6" ht="14.25" customHeight="1">
      <c r="F6" s="104" t="s">
        <v>54</v>
      </c>
      <c r="G6" s="104" t="s">
        <v>83</v>
      </c>
    </row>
    <row r="7" ht="14.25" customHeight="1">
      <c r="F7" s="104">
        <v>20.9366391184573</v>
      </c>
      <c r="G7" s="104">
        <v>2.0392561983471</v>
      </c>
      <c r="H7" s="104" t="s">
        <v>430</v>
      </c>
      <c r="I7" s="104">
        <f t="array" ref="I7:J11">LINEST(G7:G19,F7:F19,TRUE,TRUE)</f>
        <v>-0.01555020986</v>
      </c>
      <c r="J7" s="104">
        <v>3.297750282427817</v>
      </c>
      <c r="K7" s="104" t="s">
        <v>431</v>
      </c>
    </row>
    <row r="8" ht="14.25" customHeight="1">
      <c r="F8" s="104">
        <v>30.1652892561983</v>
      </c>
      <c r="G8" s="104">
        <v>2.27479338842975</v>
      </c>
      <c r="H8" s="104" t="s">
        <v>29</v>
      </c>
      <c r="I8" s="104">
        <v>0.0075606677554447025</v>
      </c>
      <c r="J8" s="104">
        <v>0.4255360217786099</v>
      </c>
      <c r="K8" s="104" t="s">
        <v>432</v>
      </c>
    </row>
    <row r="9" ht="14.25" customHeight="1">
      <c r="F9" s="104">
        <v>30.99173553719</v>
      </c>
      <c r="G9" s="104">
        <v>3.57024793388429</v>
      </c>
      <c r="H9" s="104" t="s">
        <v>433</v>
      </c>
      <c r="I9" s="104">
        <v>0.2777467660048826</v>
      </c>
      <c r="J9" s="104">
        <v>0.5280208645242768</v>
      </c>
      <c r="K9" s="104" t="s">
        <v>434</v>
      </c>
    </row>
    <row r="10" ht="14.25" customHeight="1">
      <c r="F10" s="104">
        <v>34.090909090909</v>
      </c>
      <c r="G10" s="104">
        <v>3.11157024793388</v>
      </c>
      <c r="I10" s="104">
        <v>4.230115259095347</v>
      </c>
      <c r="J10" s="104">
        <v>11.0</v>
      </c>
      <c r="K10" s="104" t="s">
        <v>435</v>
      </c>
    </row>
    <row r="11" ht="14.25" customHeight="1">
      <c r="F11" s="104">
        <v>42.0798898071625</v>
      </c>
      <c r="G11" s="104">
        <v>3.19834710743801</v>
      </c>
      <c r="I11" s="104">
        <v>1.1793816560988244</v>
      </c>
      <c r="J11" s="104">
        <v>3.0668663671026115</v>
      </c>
    </row>
    <row r="12" ht="14.25" customHeight="1">
      <c r="F12" s="104">
        <v>53.030303030303</v>
      </c>
      <c r="G12" s="104">
        <v>2.63429752066115</v>
      </c>
    </row>
    <row r="13" ht="14.25" customHeight="1">
      <c r="F13" s="104">
        <v>56.3360881542699</v>
      </c>
      <c r="G13" s="104">
        <v>2.9194214876033</v>
      </c>
    </row>
    <row r="14" ht="14.25" customHeight="1">
      <c r="F14" s="104">
        <v>59.090909090909</v>
      </c>
      <c r="G14" s="104">
        <v>2.51033057851239</v>
      </c>
    </row>
    <row r="15" ht="14.25" customHeight="1">
      <c r="F15" s="104">
        <v>57.1625344352617</v>
      </c>
      <c r="G15" s="104">
        <v>1.94628099173553</v>
      </c>
      <c r="I15" s="104" t="s">
        <v>436</v>
      </c>
      <c r="J15" s="104">
        <f>TINV(1-0.95,J10)</f>
        <v>2.20098516</v>
      </c>
    </row>
    <row r="16" ht="14.25" customHeight="1">
      <c r="F16" s="104">
        <v>71.0055096418732</v>
      </c>
      <c r="G16" s="104">
        <v>1.76652892561983</v>
      </c>
      <c r="I16" s="104" t="s">
        <v>437</v>
      </c>
      <c r="J16" s="104">
        <f>I8*J15</f>
        <v>0.01664091753</v>
      </c>
    </row>
    <row r="17" ht="14.25" customHeight="1">
      <c r="F17" s="104">
        <v>65.9779614325068</v>
      </c>
      <c r="G17" s="104">
        <v>2.49173553719008</v>
      </c>
      <c r="I17" s="104" t="s">
        <v>438</v>
      </c>
      <c r="J17" s="104">
        <f>J8*J15</f>
        <v>0.936598469</v>
      </c>
    </row>
    <row r="18" ht="14.25" customHeight="1">
      <c r="F18" s="104">
        <v>82.0936639118457</v>
      </c>
      <c r="G18" s="104">
        <v>2.1198347107438</v>
      </c>
      <c r="I18" s="104" t="s">
        <v>439</v>
      </c>
      <c r="J18" s="104">
        <f>J15*J9/SQRT(J10+2)</f>
        <v>0.3223268783</v>
      </c>
    </row>
    <row r="19" ht="14.25" customHeight="1">
      <c r="F19" s="104">
        <v>84.0220385674931</v>
      </c>
      <c r="G19" s="104">
        <v>1.60537190082644</v>
      </c>
    </row>
    <row r="20" ht="14.25" customHeight="1"/>
    <row r="21" ht="14.25" customHeight="1">
      <c r="G21" s="104" t="s">
        <v>440</v>
      </c>
      <c r="H21" s="104" t="s">
        <v>441</v>
      </c>
      <c r="I21" s="104" t="s">
        <v>442</v>
      </c>
      <c r="J21" s="104" t="s">
        <v>443</v>
      </c>
      <c r="K21" s="104" t="s">
        <v>444</v>
      </c>
    </row>
    <row r="22" ht="14.25" customHeight="1">
      <c r="G22" s="104">
        <v>10.0</v>
      </c>
      <c r="H22" s="104">
        <f t="shared" ref="H22:H30" si="1">G22*$I$7+$J$7</f>
        <v>3.142248184</v>
      </c>
      <c r="I22" s="104">
        <f t="array" ref="I22">$J$15*$J$9*SQRT(1/($J$10+2) + ($G22-AVERAGE($F$7:$F$19))^2/SUMSQ($F$7:$F$19-AVERAGE($F$7:$F$19)))</f>
        <v>0.7824528517</v>
      </c>
      <c r="J22" s="104">
        <f t="shared" ref="J22:J30" si="2">H22-I22</f>
        <v>2.359795332</v>
      </c>
      <c r="K22" s="104">
        <f t="shared" ref="K22:K30" si="3">H22+I22</f>
        <v>3.924701036</v>
      </c>
    </row>
    <row r="23" ht="14.25" customHeight="1">
      <c r="G23" s="104">
        <v>20.0</v>
      </c>
      <c r="H23" s="104">
        <f t="shared" si="1"/>
        <v>2.986746085</v>
      </c>
      <c r="I23" s="104">
        <f t="array" ref="I23">$J$15*$J$9*SQRT(1/($J$10+2) + ($G23-AVERAGE($F$7:$F$19))^2/SUMSQ($F$7:$F$19-AVERAGE($F$7:$F$19)))</f>
        <v>0.6345331082</v>
      </c>
      <c r="J23" s="104">
        <f t="shared" si="2"/>
        <v>2.352212977</v>
      </c>
      <c r="K23" s="104">
        <f t="shared" si="3"/>
        <v>3.621279194</v>
      </c>
    </row>
    <row r="24" ht="14.25" customHeight="1">
      <c r="G24" s="104">
        <v>30.0</v>
      </c>
      <c r="H24" s="104">
        <f t="shared" si="1"/>
        <v>2.831243987</v>
      </c>
      <c r="I24" s="104">
        <f t="array" ref="I24">$J$15*$J$9*SQRT(1/($J$10+2) + ($G24-AVERAGE($F$7:$F$19))^2/SUMSQ($F$7:$F$19-AVERAGE($F$7:$F$19)))</f>
        <v>0.4984135762</v>
      </c>
      <c r="J24" s="104">
        <f t="shared" si="2"/>
        <v>2.332830411</v>
      </c>
      <c r="K24" s="104">
        <f t="shared" si="3"/>
        <v>3.329657563</v>
      </c>
    </row>
    <row r="25" ht="14.25" customHeight="1">
      <c r="F25" s="104">
        <f>STDEV(G7:G19)</f>
        <v>0.5948562868</v>
      </c>
      <c r="G25" s="104">
        <v>40.0</v>
      </c>
      <c r="H25" s="104">
        <f t="shared" si="1"/>
        <v>2.675741888</v>
      </c>
      <c r="I25" s="104">
        <f t="array" ref="I25">$J$15*$J$9*SQRT(1/($J$10+2) + ($G25-AVERAGE($F$7:$F$19))^2/SUMSQ($F$7:$F$19-AVERAGE($F$7:$F$19)))</f>
        <v>0.3867608404</v>
      </c>
      <c r="J25" s="104">
        <f t="shared" si="2"/>
        <v>2.288981048</v>
      </c>
      <c r="K25" s="104">
        <f t="shared" si="3"/>
        <v>3.062502729</v>
      </c>
    </row>
    <row r="26" ht="14.25" customHeight="1">
      <c r="G26" s="104">
        <v>50.0</v>
      </c>
      <c r="H26" s="104">
        <f t="shared" si="1"/>
        <v>2.52023979</v>
      </c>
      <c r="I26" s="104">
        <f t="array" ref="I26">$J$15*$J$9*SQRT(1/($J$10+2) + ($G26-AVERAGE($F$7:$F$19))^2/SUMSQ($F$7:$F$19-AVERAGE($F$7:$F$19)))</f>
        <v>0.3257849439</v>
      </c>
      <c r="J26" s="104">
        <f t="shared" si="2"/>
        <v>2.194454846</v>
      </c>
      <c r="K26" s="104">
        <f t="shared" si="3"/>
        <v>2.846024733</v>
      </c>
    </row>
    <row r="27" ht="14.25" customHeight="1">
      <c r="G27" s="104">
        <v>60.0</v>
      </c>
      <c r="H27" s="104">
        <f t="shared" si="1"/>
        <v>2.364737691</v>
      </c>
      <c r="I27" s="104">
        <f t="array" ref="I27">$J$15*$J$9*SQRT(1/($J$10+2) + ($G27-AVERAGE($F$7:$F$19))^2/SUMSQ($F$7:$F$19-AVERAGE($F$7:$F$19)))</f>
        <v>0.3436156849</v>
      </c>
      <c r="J27" s="104">
        <f t="shared" si="2"/>
        <v>2.021122006</v>
      </c>
      <c r="K27" s="104">
        <f t="shared" si="3"/>
        <v>2.708353376</v>
      </c>
    </row>
    <row r="28" ht="14.25" customHeight="1">
      <c r="G28" s="104">
        <v>70.0</v>
      </c>
      <c r="H28" s="104">
        <f t="shared" si="1"/>
        <v>2.209235593</v>
      </c>
      <c r="I28" s="104">
        <f t="array" ref="I28">$J$15*$J$9*SQRT(1/($J$10+2) + ($G28-AVERAGE($F$7:$F$19))^2/SUMSQ($F$7:$F$19-AVERAGE($F$7:$F$19)))</f>
        <v>0.430571336</v>
      </c>
      <c r="J28" s="104">
        <f t="shared" si="2"/>
        <v>1.778664257</v>
      </c>
      <c r="K28" s="104">
        <f t="shared" si="3"/>
        <v>2.639806929</v>
      </c>
    </row>
    <row r="29" ht="14.25" customHeight="1">
      <c r="G29" s="104">
        <v>80.0</v>
      </c>
      <c r="H29" s="104">
        <f t="shared" si="1"/>
        <v>2.053733494</v>
      </c>
      <c r="I29" s="104">
        <f t="array" ref="I29">$J$15*$J$9*SQRT(1/($J$10+2) + ($G29-AVERAGE($F$7:$F$19))^2/SUMSQ($F$7:$F$19-AVERAGE($F$7:$F$19)))</f>
        <v>0.5550636352</v>
      </c>
      <c r="J29" s="104">
        <f t="shared" si="2"/>
        <v>1.498669859</v>
      </c>
      <c r="K29" s="104">
        <f t="shared" si="3"/>
        <v>2.608797129</v>
      </c>
    </row>
    <row r="30" ht="14.25" customHeight="1">
      <c r="G30" s="104">
        <v>90.0</v>
      </c>
      <c r="H30" s="104">
        <f t="shared" si="1"/>
        <v>1.898231395</v>
      </c>
      <c r="I30" s="104">
        <f t="array" ref="I30">$J$15*$J$9*SQRT(1/($J$10+2) + ($G30-AVERAGE($F$7:$F$19))^2/SUMSQ($F$7:$F$19-AVERAGE($F$7:$F$19)))</f>
        <v>0.6972686929</v>
      </c>
      <c r="J30" s="104">
        <f t="shared" si="2"/>
        <v>1.200962703</v>
      </c>
      <c r="K30" s="104">
        <f t="shared" si="3"/>
        <v>2.595500088</v>
      </c>
    </row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hyperlinks>
    <hyperlink r:id="rId1" ref="B1"/>
  </hyperlinks>
  <printOptions/>
  <pageMargins bottom="0.75" footer="0.0" header="0.0" left="0.7" right="0.7" top="0.75"/>
  <pageSetup orientation="landscape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4.43"/>
    <col customWidth="1" min="2" max="6" width="9.86"/>
    <col customWidth="1" min="7" max="7" width="8.71"/>
    <col customWidth="1" min="8" max="9" width="11.71"/>
    <col customWidth="1" min="10" max="26" width="8.71"/>
  </cols>
  <sheetData>
    <row r="1" ht="14.25" customHeight="1">
      <c r="A1" s="104" t="s">
        <v>429</v>
      </c>
      <c r="B1" s="103" t="s">
        <v>126</v>
      </c>
    </row>
    <row r="2" ht="14.25" customHeight="1">
      <c r="A2" s="1" t="s">
        <v>445</v>
      </c>
      <c r="B2" s="1" t="s">
        <v>446</v>
      </c>
      <c r="C2" s="1" t="s">
        <v>447</v>
      </c>
      <c r="D2" s="1" t="s">
        <v>448</v>
      </c>
      <c r="E2" s="1" t="s">
        <v>449</v>
      </c>
      <c r="F2" s="1" t="s">
        <v>450</v>
      </c>
      <c r="G2" s="1" t="s">
        <v>451</v>
      </c>
      <c r="H2" s="1" t="s">
        <v>452</v>
      </c>
      <c r="I2" s="1" t="s">
        <v>453</v>
      </c>
      <c r="J2" s="1" t="s">
        <v>454</v>
      </c>
    </row>
    <row r="3" ht="14.25" customHeight="1">
      <c r="A3" s="1" t="s">
        <v>455</v>
      </c>
      <c r="B3" s="1">
        <v>2.0</v>
      </c>
      <c r="C3" s="10">
        <f>0.921-5.16*10^-3*30</f>
        <v>0.7662</v>
      </c>
      <c r="D3" s="16">
        <f>Hepatocytes_turnover!$C3*Hepatocytes_turnover!$D$6</f>
        <v>214536000000</v>
      </c>
      <c r="E3" s="10">
        <v>0.72</v>
      </c>
      <c r="F3" s="10">
        <v>0.23</v>
      </c>
      <c r="G3" s="10">
        <v>1.62</v>
      </c>
      <c r="H3" s="16">
        <f>Hepatocytes_turnover!$E3*Hepatocytes_turnover!$D3/365</f>
        <v>423194301.4</v>
      </c>
      <c r="I3" s="16">
        <f>Hepatocytes_turnover!$D3*Hepatocytes_turnover!$F3/365</f>
        <v>135187068.5</v>
      </c>
      <c r="J3" s="16">
        <f>Hepatocytes_turnover!$D3*Hepatocytes_turnover!$G3/365</f>
        <v>952187178.1</v>
      </c>
    </row>
    <row r="4" ht="14.25" customHeight="1">
      <c r="A4" s="1" t="s">
        <v>456</v>
      </c>
      <c r="B4" s="1">
        <v>4.0</v>
      </c>
      <c r="C4" s="10">
        <f>0.0736+ 1.67*10^-3*30</f>
        <v>0.1237</v>
      </c>
      <c r="D4" s="16">
        <f>Hepatocytes_turnover!$C4*Hepatocytes_turnover!$D$6</f>
        <v>34636000000</v>
      </c>
      <c r="E4" s="111">
        <v>0.001</v>
      </c>
      <c r="F4" s="10">
        <v>0.0</v>
      </c>
      <c r="G4" s="10">
        <v>0.42</v>
      </c>
      <c r="H4" s="16">
        <f>Hepatocytes_turnover!$E4*Hepatocytes_turnover!$D4/365</f>
        <v>94893.15068</v>
      </c>
      <c r="I4" s="16">
        <f>Hepatocytes_turnover!$D4*Hepatocytes_turnover!$F4/365</f>
        <v>0</v>
      </c>
      <c r="J4" s="16">
        <f>Hepatocytes_turnover!$D4*Hepatocytes_turnover!$G4/365</f>
        <v>39855123.29</v>
      </c>
    </row>
    <row r="5" ht="14.25" customHeight="1">
      <c r="A5" s="1" t="s">
        <v>457</v>
      </c>
      <c r="B5" s="1">
        <v>4.0</v>
      </c>
      <c r="C5" s="10">
        <f>1-C4-C3</f>
        <v>0.1101</v>
      </c>
      <c r="D5" s="16">
        <f>Hepatocytes_turnover!$C5*Hepatocytes_turnover!$D$6</f>
        <v>30828000000</v>
      </c>
      <c r="E5" s="10">
        <v>0.19</v>
      </c>
      <c r="F5" s="10">
        <v>0.14</v>
      </c>
      <c r="G5" s="10">
        <v>0.29</v>
      </c>
      <c r="H5" s="16">
        <f>Hepatocytes_turnover!$E5*Hepatocytes_turnover!$D5/365</f>
        <v>16047452.05</v>
      </c>
      <c r="I5" s="16">
        <f>Hepatocytes_turnover!$D5*Hepatocytes_turnover!$F5/365</f>
        <v>11824438.36</v>
      </c>
      <c r="J5" s="16">
        <f>Hepatocytes_turnover!$D5*Hepatocytes_turnover!$G5/365</f>
        <v>24493479.45</v>
      </c>
    </row>
    <row r="6" ht="14.25" customHeight="1">
      <c r="A6" s="1" t="s">
        <v>458</v>
      </c>
      <c r="B6" s="13">
        <f>SUMPRODUCT(Hepatocytes_turnover!$B$3:$B$5,Hepatocytes_turnover!$C$3:$C$5)</f>
        <v>2.4676</v>
      </c>
      <c r="C6" s="10">
        <f>SUBTOTAL(109,Hepatocytes_turnover!$C$3:$C$5)</f>
        <v>1</v>
      </c>
      <c r="D6" s="1">
        <f>2.8*10^11</f>
        <v>280000000000</v>
      </c>
      <c r="E6" s="10">
        <f>Hepatocytes_turnover!$H$6*365/Hepatocytes_turnover!$D$6</f>
        <v>0.5727067</v>
      </c>
      <c r="F6" s="10">
        <f>Hepatocytes_turnover!$I$6*365/Hepatocytes_turnover!$D$6</f>
        <v>0.19164</v>
      </c>
      <c r="G6" s="10">
        <f>Hepatocytes_turnover!$J$6*365/Hepatocytes_turnover!$D$6</f>
        <v>1.325127</v>
      </c>
      <c r="H6" s="16">
        <f>SUBTOTAL(109,Hepatocytes_turnover!$H$3:$H$5)</f>
        <v>439336646.6</v>
      </c>
      <c r="I6" s="16">
        <f>SUBTOTAL(109,Hepatocytes_turnover!$I$3:$I$5)</f>
        <v>147011506.8</v>
      </c>
      <c r="J6" s="16">
        <f>SUBTOTAL(109,Hepatocytes_turnover!$J$3:$J$5)</f>
        <v>1016535781</v>
      </c>
    </row>
    <row r="7" ht="14.25" customHeight="1"/>
    <row r="8" ht="14.25" customHeight="1"/>
    <row r="9" ht="14.25" customHeight="1">
      <c r="G9" s="100"/>
    </row>
    <row r="10" ht="14.25" customHeight="1">
      <c r="G10" s="100"/>
    </row>
    <row r="11" ht="14.25" customHeight="1">
      <c r="G11" s="100"/>
    </row>
    <row r="12" ht="14.25" customHeight="1">
      <c r="G12" s="100"/>
    </row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hyperlinks>
    <hyperlink r:id="rId1" ref="B1"/>
  </hyperlinks>
  <printOptions/>
  <pageMargins bottom="0.75" footer="0.0" header="0.0" left="0.7" right="0.7" top="0.75"/>
  <pageSetup orientation="landscape"/>
  <drawing r:id="rId2"/>
  <tableParts count="1">
    <tablePart r:id="rId4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9.86"/>
    <col customWidth="1" min="4" max="26" width="8.71"/>
  </cols>
  <sheetData>
    <row r="1" ht="14.25" customHeight="1">
      <c r="A1" s="1" t="s">
        <v>459</v>
      </c>
      <c r="B1" s="1" t="s">
        <v>460</v>
      </c>
      <c r="C1" s="1" t="s">
        <v>29</v>
      </c>
    </row>
    <row r="2" ht="14.25" customHeight="1">
      <c r="A2" s="1" t="s">
        <v>461</v>
      </c>
      <c r="B2" s="13">
        <f t="array" ref="B2">SUMPRODUCT({4,8,16,32},{0.05,0.186,0.573,0.189})</f>
        <v>16.904</v>
      </c>
      <c r="C2" s="1"/>
    </row>
    <row r="3" ht="14.25" customHeight="1">
      <c r="A3" s="1" t="s">
        <v>462</v>
      </c>
      <c r="B3" s="13">
        <f t="array" ref="B3">AVERAGE({38,26.8,18.6,18.5,19.9,20.1,17.4,17.4,15.9,14.2,12.4})</f>
        <v>19.92727273</v>
      </c>
      <c r="C3" s="13">
        <f t="array" ref="C3">STDEV({38,26.8,18.6,18.5,19.9,20.1,17.4,17.4,15.9,14.2,12.4})/SQRT(10)</f>
        <v>2.227424114</v>
      </c>
    </row>
    <row r="4" ht="14.25" customHeight="1">
      <c r="A4" s="1" t="s">
        <v>463</v>
      </c>
      <c r="B4" s="1">
        <v>12.0</v>
      </c>
      <c r="C4" s="1"/>
    </row>
    <row r="5" ht="14.25" customHeight="1">
      <c r="A5" s="1" t="s">
        <v>464</v>
      </c>
      <c r="B5" s="13">
        <f t="array" ref="B5">SUMPRODUCT({8,16,32},{0.23,0.55,0.22})</f>
        <v>17.68</v>
      </c>
      <c r="C5" s="1"/>
    </row>
    <row r="6" ht="14.25" customHeight="1">
      <c r="A6" s="1"/>
      <c r="B6" s="1"/>
      <c r="C6" s="1"/>
    </row>
    <row r="7" ht="14.25" customHeight="1">
      <c r="A7" s="1" t="s">
        <v>458</v>
      </c>
      <c r="B7" s="13">
        <f>SUBTOTAL(101,Megakaryocyte_ploidy!$B$2:$B$6)</f>
        <v>16.62781818</v>
      </c>
      <c r="C7" s="13">
        <f>SQRT(SUMSQ(STDEV(Megakaryocyte_ploidy!$B$2:$B$6)/SQRT(COUNT(Megakaryocyte_ploidy!$B$2:$B$6)-1),AVERAGE(Megakaryocyte_ploidy!$C$2:$C$6)))</f>
        <v>2.946546529</v>
      </c>
    </row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landscape"/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2" max="2" width="26.14"/>
    <col customWidth="1" min="7" max="7" width="20.71"/>
  </cols>
  <sheetData>
    <row r="1">
      <c r="A1" s="4" t="s">
        <v>20</v>
      </c>
      <c r="B1" s="4" t="s">
        <v>21</v>
      </c>
      <c r="C1" s="4" t="s">
        <v>22</v>
      </c>
      <c r="D1" s="4" t="s">
        <v>23</v>
      </c>
      <c r="E1" s="4" t="s">
        <v>24</v>
      </c>
      <c r="F1" s="4" t="s">
        <v>25</v>
      </c>
      <c r="G1" s="4" t="s">
        <v>26</v>
      </c>
      <c r="H1" s="4" t="s">
        <v>27</v>
      </c>
      <c r="I1" s="4" t="s">
        <v>28</v>
      </c>
      <c r="J1" s="4" t="s">
        <v>29</v>
      </c>
      <c r="K1" s="4" t="s">
        <v>4</v>
      </c>
    </row>
    <row r="2">
      <c r="A2" s="4" t="s">
        <v>30</v>
      </c>
      <c r="B2" s="4" t="s">
        <v>31</v>
      </c>
      <c r="C2" s="4">
        <v>104.0</v>
      </c>
      <c r="D2" s="4">
        <v>1650.0</v>
      </c>
      <c r="E2" s="4">
        <v>110.0</v>
      </c>
      <c r="F2" s="4">
        <v>7000.0</v>
      </c>
      <c r="G2" s="4">
        <v>1440.0</v>
      </c>
      <c r="H2" s="4">
        <v>1750.0</v>
      </c>
      <c r="I2" s="4">
        <v>1790.0</v>
      </c>
      <c r="J2" s="4">
        <v>110.0</v>
      </c>
      <c r="K2" s="4" t="s">
        <v>32</v>
      </c>
    </row>
    <row r="3">
      <c r="A3" s="4" t="s">
        <v>33</v>
      </c>
      <c r="B3" s="4" t="s">
        <v>34</v>
      </c>
      <c r="C3" s="4">
        <v>62.0</v>
      </c>
      <c r="D3" s="4">
        <v>1690.0</v>
      </c>
      <c r="E3" s="4">
        <v>150.0</v>
      </c>
      <c r="F3" s="4">
        <v>7000.0</v>
      </c>
      <c r="G3" s="4">
        <v>1490.0</v>
      </c>
      <c r="H3" s="4">
        <v>2060.0</v>
      </c>
      <c r="I3" s="4">
        <v>1950.0</v>
      </c>
      <c r="J3" s="4">
        <v>150.0</v>
      </c>
      <c r="K3" s="4" t="s">
        <v>32</v>
      </c>
    </row>
    <row r="4">
      <c r="A4" s="4" t="s">
        <v>35</v>
      </c>
      <c r="B4" s="4" t="s">
        <v>36</v>
      </c>
      <c r="C4" s="4">
        <v>42.0</v>
      </c>
      <c r="D4" s="4">
        <v>1490.0</v>
      </c>
      <c r="E4" s="4">
        <v>110.0</v>
      </c>
      <c r="F4" s="4">
        <v>4000.0</v>
      </c>
      <c r="G4" s="4">
        <v>990.0</v>
      </c>
      <c r="H4" s="4">
        <v>1670.0</v>
      </c>
      <c r="I4" s="4">
        <v>1540.0</v>
      </c>
      <c r="J4" s="4">
        <v>160.0</v>
      </c>
      <c r="K4" s="4" t="s">
        <v>32</v>
      </c>
    </row>
    <row r="5">
      <c r="A5" s="4" t="s">
        <v>37</v>
      </c>
      <c r="B5" s="4" t="s">
        <v>38</v>
      </c>
      <c r="C5" s="4">
        <v>52.0</v>
      </c>
      <c r="D5" s="4">
        <v>1360.0</v>
      </c>
      <c r="E5" s="4">
        <v>110.0</v>
      </c>
      <c r="F5" s="4">
        <v>4400.0</v>
      </c>
      <c r="G5" s="4">
        <v>1040.0</v>
      </c>
      <c r="H5" s="4">
        <v>1670.0</v>
      </c>
      <c r="I5" s="4">
        <v>1540.0</v>
      </c>
      <c r="J5" s="4">
        <v>140.0</v>
      </c>
      <c r="K5" s="4" t="s">
        <v>32</v>
      </c>
    </row>
    <row r="6">
      <c r="A6" s="4" t="s">
        <v>39</v>
      </c>
      <c r="B6" s="4" t="s">
        <v>40</v>
      </c>
      <c r="C6" s="4">
        <v>52.0</v>
      </c>
      <c r="D6" s="4">
        <v>1730.0</v>
      </c>
      <c r="E6" s="4">
        <v>300.0</v>
      </c>
      <c r="F6" s="4">
        <v>7000.0</v>
      </c>
      <c r="G6" s="4">
        <v>1640.0</v>
      </c>
      <c r="H6" s="4">
        <v>2200.0</v>
      </c>
      <c r="I6" s="4">
        <v>2040.0</v>
      </c>
      <c r="J6" s="4">
        <v>160.0</v>
      </c>
      <c r="K6" s="4" t="s">
        <v>32</v>
      </c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27.57"/>
  </cols>
  <sheetData>
    <row r="1">
      <c r="A1" s="4" t="s">
        <v>41</v>
      </c>
      <c r="B1" s="4" t="s">
        <v>42</v>
      </c>
      <c r="C1" s="4" t="s">
        <v>43</v>
      </c>
      <c r="D1" s="4" t="s">
        <v>44</v>
      </c>
      <c r="E1" s="4" t="s">
        <v>45</v>
      </c>
      <c r="F1" s="4" t="s">
        <v>46</v>
      </c>
    </row>
    <row r="2">
      <c r="A2" s="4" t="s">
        <v>47</v>
      </c>
      <c r="B2" s="5">
        <v>0.066</v>
      </c>
      <c r="C2" s="5">
        <v>0.064</v>
      </c>
      <c r="D2" s="5">
        <v>0.084</v>
      </c>
      <c r="E2" s="5">
        <v>0.066</v>
      </c>
      <c r="F2" s="6">
        <f t="shared" ref="F2:F8" si="1">GEOMEAN(B2:E2)</f>
        <v>0.06956435822</v>
      </c>
    </row>
    <row r="3">
      <c r="A3" s="4" t="s">
        <v>48</v>
      </c>
      <c r="B3" s="5">
        <v>0.236</v>
      </c>
      <c r="C3" s="5">
        <v>0.239</v>
      </c>
      <c r="D3" s="5">
        <v>0.254</v>
      </c>
      <c r="E3" s="5">
        <v>0.233</v>
      </c>
      <c r="F3" s="6">
        <f t="shared" si="1"/>
        <v>0.2403670234</v>
      </c>
    </row>
    <row r="4">
      <c r="A4" s="4" t="s">
        <v>49</v>
      </c>
      <c r="B4" s="5">
        <v>0.255</v>
      </c>
      <c r="C4" s="5">
        <v>0.296</v>
      </c>
      <c r="D4" s="5">
        <v>0.271</v>
      </c>
      <c r="E4" s="5">
        <v>0.3</v>
      </c>
      <c r="F4" s="6">
        <f t="shared" si="1"/>
        <v>0.2798856351</v>
      </c>
    </row>
    <row r="5">
      <c r="A5" s="4" t="s">
        <v>50</v>
      </c>
      <c r="B5" s="5">
        <v>0.209</v>
      </c>
      <c r="C5" s="5">
        <v>0.23</v>
      </c>
      <c r="D5" s="5">
        <v>0.235</v>
      </c>
      <c r="E5" s="5">
        <v>0.218</v>
      </c>
      <c r="F5" s="6">
        <f t="shared" si="1"/>
        <v>0.2227663656</v>
      </c>
    </row>
    <row r="6">
      <c r="A6" s="4" t="s">
        <v>51</v>
      </c>
      <c r="B6" s="5">
        <v>0.296</v>
      </c>
      <c r="C6" s="5">
        <v>0.337</v>
      </c>
      <c r="D6" s="5">
        <v>0.322</v>
      </c>
      <c r="E6" s="5">
        <v>0.335</v>
      </c>
      <c r="F6" s="6">
        <f t="shared" si="1"/>
        <v>0.32207393</v>
      </c>
    </row>
    <row r="7">
      <c r="A7" s="4" t="s">
        <v>52</v>
      </c>
      <c r="B7" s="5">
        <v>0.229</v>
      </c>
      <c r="C7" s="5">
        <v>0.24</v>
      </c>
      <c r="D7" s="5">
        <v>0.243</v>
      </c>
      <c r="E7" s="5">
        <v>0.273</v>
      </c>
      <c r="F7" s="6">
        <f t="shared" si="1"/>
        <v>0.2457275843</v>
      </c>
    </row>
    <row r="8">
      <c r="A8" s="4" t="s">
        <v>53</v>
      </c>
      <c r="B8" s="5">
        <v>0.231</v>
      </c>
      <c r="C8" s="5">
        <v>0.265</v>
      </c>
      <c r="D8" s="5">
        <v>0.25</v>
      </c>
      <c r="E8" s="5">
        <v>0.276</v>
      </c>
      <c r="F8" s="6">
        <f t="shared" si="1"/>
        <v>0.2549333988</v>
      </c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14.71"/>
    <col customWidth="1" min="4" max="4" width="9.14"/>
    <col customWidth="1" min="5" max="26" width="8.71"/>
  </cols>
  <sheetData>
    <row r="1" ht="14.25" customHeight="1">
      <c r="A1" s="7" t="s">
        <v>20</v>
      </c>
      <c r="B1" s="7" t="s">
        <v>54</v>
      </c>
      <c r="C1" s="7" t="s">
        <v>55</v>
      </c>
      <c r="D1" s="7" t="s">
        <v>56</v>
      </c>
    </row>
    <row r="2" ht="14.25" customHeight="1">
      <c r="A2" s="7" t="s">
        <v>57</v>
      </c>
      <c r="B2" s="7" t="s">
        <v>58</v>
      </c>
      <c r="C2" s="7" t="s">
        <v>59</v>
      </c>
      <c r="D2" s="8">
        <v>1751.34</v>
      </c>
    </row>
    <row r="3" ht="14.25" customHeight="1">
      <c r="A3" s="7" t="s">
        <v>60</v>
      </c>
      <c r="B3" s="7" t="s">
        <v>58</v>
      </c>
      <c r="C3" s="7" t="s">
        <v>59</v>
      </c>
      <c r="D3" s="8">
        <v>1593.78</v>
      </c>
    </row>
    <row r="4" ht="14.25" customHeight="1">
      <c r="A4" s="7" t="s">
        <v>61</v>
      </c>
      <c r="B4" s="7" t="s">
        <v>58</v>
      </c>
      <c r="C4" s="7" t="s">
        <v>62</v>
      </c>
      <c r="D4" s="8">
        <v>1339.26</v>
      </c>
    </row>
    <row r="5" ht="14.25" customHeight="1">
      <c r="A5" s="7" t="s">
        <v>63</v>
      </c>
      <c r="B5" s="7" t="s">
        <v>58</v>
      </c>
      <c r="C5" s="7" t="s">
        <v>62</v>
      </c>
      <c r="D5" s="8">
        <v>1311.99</v>
      </c>
    </row>
    <row r="6" ht="14.25" customHeight="1">
      <c r="A6" s="7" t="s">
        <v>64</v>
      </c>
      <c r="B6" s="7" t="s">
        <v>65</v>
      </c>
      <c r="C6" s="7" t="s">
        <v>59</v>
      </c>
      <c r="D6" s="8">
        <v>2711.85</v>
      </c>
    </row>
    <row r="7" ht="14.25" customHeight="1">
      <c r="A7" s="7" t="s">
        <v>66</v>
      </c>
      <c r="B7" s="7" t="s">
        <v>65</v>
      </c>
      <c r="C7" s="7" t="s">
        <v>59</v>
      </c>
      <c r="D7" s="8">
        <v>2602.77</v>
      </c>
    </row>
    <row r="8" ht="14.25" customHeight="1">
      <c r="A8" s="7" t="s">
        <v>67</v>
      </c>
      <c r="B8" s="7" t="s">
        <v>65</v>
      </c>
      <c r="C8" s="7" t="s">
        <v>62</v>
      </c>
      <c r="D8" s="8">
        <v>2502.78</v>
      </c>
    </row>
    <row r="9" ht="14.25" customHeight="1">
      <c r="A9" s="7" t="s">
        <v>68</v>
      </c>
      <c r="B9" s="7" t="s">
        <v>65</v>
      </c>
      <c r="C9" s="7" t="s">
        <v>62</v>
      </c>
      <c r="D9" s="8">
        <v>2233.11</v>
      </c>
    </row>
    <row r="10" ht="14.25" customHeight="1">
      <c r="A10" s="9"/>
      <c r="B10" s="9"/>
      <c r="C10" s="9"/>
      <c r="D10" s="9"/>
    </row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landscape"/>
  <drawing r:id="rId1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2.29"/>
    <col customWidth="1" min="2" max="3" width="8.71"/>
    <col customWidth="1" min="4" max="4" width="10.43"/>
    <col customWidth="1" min="5" max="26" width="8.71"/>
  </cols>
  <sheetData>
    <row r="1" ht="14.25" customHeight="1">
      <c r="A1" s="1" t="s">
        <v>69</v>
      </c>
      <c r="B1" s="1" t="s">
        <v>70</v>
      </c>
      <c r="C1" s="1" t="s">
        <v>71</v>
      </c>
      <c r="D1" s="1" t="s">
        <v>72</v>
      </c>
      <c r="E1" s="1" t="s">
        <v>73</v>
      </c>
    </row>
    <row r="2" ht="14.25" customHeight="1">
      <c r="A2" s="1" t="s">
        <v>74</v>
      </c>
      <c r="B2" s="10">
        <v>0.06</v>
      </c>
      <c r="C2" s="10"/>
      <c r="D2" s="1" t="s">
        <v>75</v>
      </c>
      <c r="E2" s="1" t="s">
        <v>76</v>
      </c>
    </row>
    <row r="3" ht="14.25" customHeight="1">
      <c r="A3" s="1" t="s">
        <v>77</v>
      </c>
      <c r="B3" s="10">
        <v>0.19</v>
      </c>
      <c r="C3" s="10"/>
      <c r="D3" s="1"/>
      <c r="E3" s="1" t="s">
        <v>78</v>
      </c>
    </row>
    <row r="4" ht="14.25" customHeight="1">
      <c r="A4" s="1" t="s">
        <v>79</v>
      </c>
      <c r="B4" s="10">
        <v>0.27</v>
      </c>
      <c r="C4" s="10"/>
      <c r="D4" s="1"/>
      <c r="E4" s="1" t="s">
        <v>80</v>
      </c>
    </row>
    <row r="5" ht="14.25" customHeight="1">
      <c r="A5" s="1" t="s">
        <v>81</v>
      </c>
      <c r="B5" s="10">
        <v>0.32</v>
      </c>
      <c r="C5" s="10"/>
      <c r="D5" s="1"/>
      <c r="E5" s="1" t="s">
        <v>82</v>
      </c>
    </row>
    <row r="6" ht="14.25" customHeight="1">
      <c r="A6" s="1" t="s">
        <v>83</v>
      </c>
      <c r="B6" s="10">
        <v>0.02</v>
      </c>
      <c r="C6" s="10"/>
      <c r="D6" s="1"/>
      <c r="E6" s="10" t="s">
        <v>84</v>
      </c>
    </row>
    <row r="7" ht="14.25" customHeight="1">
      <c r="A7" s="1" t="s">
        <v>85</v>
      </c>
      <c r="B7" s="10">
        <v>0.07</v>
      </c>
      <c r="C7" s="10"/>
      <c r="D7" s="1"/>
      <c r="E7" s="1" t="s">
        <v>86</v>
      </c>
    </row>
    <row r="8" ht="14.25" customHeight="1">
      <c r="A8" s="1" t="s">
        <v>87</v>
      </c>
      <c r="B8" s="10">
        <v>0.04</v>
      </c>
      <c r="C8" s="10"/>
      <c r="D8" s="1"/>
      <c r="E8" s="11" t="s">
        <v>88</v>
      </c>
    </row>
    <row r="9" ht="14.25" customHeight="1">
      <c r="A9" s="1" t="s">
        <v>89</v>
      </c>
      <c r="B9" s="10">
        <v>0.02</v>
      </c>
      <c r="C9" s="10"/>
      <c r="D9" s="1"/>
      <c r="E9" s="1"/>
    </row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20.29"/>
    <col customWidth="1" min="3" max="3" width="22.0"/>
    <col customWidth="1" min="4" max="4" width="13.86"/>
    <col customWidth="1" min="5" max="5" width="14.57"/>
    <col customWidth="1" min="6" max="6" width="15.29"/>
    <col customWidth="1" min="7" max="7" width="16.71"/>
    <col customWidth="1" min="8" max="8" width="13.86"/>
    <col customWidth="1" min="9" max="9" width="14.57"/>
    <col customWidth="1" min="10" max="10" width="8.71"/>
    <col customWidth="1" min="11" max="11" width="13.71"/>
    <col customWidth="1" min="12" max="13" width="12.14"/>
    <col customWidth="1" min="14" max="26" width="8.71"/>
  </cols>
  <sheetData>
    <row r="1" ht="14.25" customHeight="1">
      <c r="A1" s="1" t="s">
        <v>90</v>
      </c>
      <c r="B1" s="1" t="s">
        <v>91</v>
      </c>
      <c r="C1" s="1" t="s">
        <v>92</v>
      </c>
      <c r="D1" s="1" t="s">
        <v>93</v>
      </c>
      <c r="E1" s="1" t="s">
        <v>94</v>
      </c>
      <c r="F1" s="1" t="s">
        <v>95</v>
      </c>
      <c r="G1" s="1" t="s">
        <v>96</v>
      </c>
      <c r="H1" s="1" t="s">
        <v>97</v>
      </c>
      <c r="I1" s="1" t="s">
        <v>98</v>
      </c>
      <c r="J1" s="1" t="s">
        <v>99</v>
      </c>
      <c r="K1" s="1" t="s">
        <v>100</v>
      </c>
      <c r="L1" s="1" t="s">
        <v>101</v>
      </c>
      <c r="M1" s="1" t="s">
        <v>102</v>
      </c>
      <c r="N1" s="1" t="s">
        <v>103</v>
      </c>
    </row>
    <row r="2" ht="14.25" customHeight="1">
      <c r="A2" s="1" t="s">
        <v>74</v>
      </c>
      <c r="B2" s="1" t="s">
        <v>74</v>
      </c>
      <c r="C2" s="12">
        <v>25.4962779918</v>
      </c>
      <c r="D2" s="12">
        <v>1.277546482577677</v>
      </c>
      <c r="E2" s="12"/>
      <c r="F2" s="1"/>
      <c r="G2" s="13">
        <v>119.3166666666667</v>
      </c>
      <c r="H2" s="8">
        <v>3.260075195110963</v>
      </c>
      <c r="I2" s="1"/>
      <c r="J2" s="1">
        <v>0.0</v>
      </c>
      <c r="K2" s="12">
        <v>0.2137819920163277</v>
      </c>
      <c r="L2" s="14">
        <v>0.01238316727876841</v>
      </c>
      <c r="M2" s="14">
        <v>0.01238316727876841</v>
      </c>
      <c r="N2" s="1"/>
    </row>
    <row r="3" ht="14.25" customHeight="1">
      <c r="A3" s="1" t="s">
        <v>104</v>
      </c>
      <c r="B3" s="1" t="s">
        <v>81</v>
      </c>
      <c r="C3" s="12">
        <v>0.64</v>
      </c>
      <c r="D3" s="12">
        <v>0.06</v>
      </c>
      <c r="E3" s="12" t="s">
        <v>105</v>
      </c>
      <c r="F3" s="1"/>
      <c r="G3" s="13">
        <v>6.6</v>
      </c>
      <c r="H3" s="8">
        <v>0.5</v>
      </c>
      <c r="I3" s="1"/>
      <c r="J3" s="1">
        <v>0.0</v>
      </c>
      <c r="K3" s="12">
        <v>0.06</v>
      </c>
      <c r="L3" s="14">
        <v>0.015</v>
      </c>
      <c r="M3" s="14">
        <v>0.015</v>
      </c>
      <c r="N3" s="1"/>
    </row>
    <row r="4" ht="14.25" customHeight="1">
      <c r="A4" s="1" t="s">
        <v>106</v>
      </c>
      <c r="B4" s="1" t="s">
        <v>77</v>
      </c>
      <c r="C4" s="12">
        <v>0.00524426079043036</v>
      </c>
      <c r="D4" s="12">
        <v>0.001668408056260644</v>
      </c>
      <c r="E4" s="12">
        <v>0.002446847675878186</v>
      </c>
      <c r="F4" s="1"/>
      <c r="G4" s="13">
        <v>3.451409116890697</v>
      </c>
      <c r="H4" s="8">
        <v>0.5251928271863645</v>
      </c>
      <c r="I4" s="8">
        <v>0.6194536330941451</v>
      </c>
      <c r="J4" s="1">
        <v>0.0</v>
      </c>
      <c r="K4" s="14">
        <v>0.001519454985723279</v>
      </c>
      <c r="L4" s="14">
        <v>5.177014959647107E-4</v>
      </c>
      <c r="M4" s="14">
        <v>0.0023047021819667013</v>
      </c>
      <c r="N4" s="1"/>
    </row>
    <row r="5" ht="14.25" customHeight="1">
      <c r="A5" s="1" t="s">
        <v>107</v>
      </c>
      <c r="B5" s="1" t="s">
        <v>87</v>
      </c>
      <c r="C5" s="12">
        <v>0.002294516247729446</v>
      </c>
      <c r="D5" s="12">
        <v>0.0018356129981835568</v>
      </c>
      <c r="E5" s="12">
        <v>0.009178064990917783</v>
      </c>
      <c r="F5" s="1">
        <v>3.8</v>
      </c>
      <c r="G5" s="13"/>
      <c r="H5" s="8"/>
      <c r="I5" s="8"/>
      <c r="J5" s="1">
        <v>1.0</v>
      </c>
      <c r="K5" s="14">
        <v>0.0</v>
      </c>
      <c r="L5" s="14">
        <v>0.0</v>
      </c>
      <c r="M5" s="14">
        <v>0.0</v>
      </c>
      <c r="N5" s="1"/>
    </row>
    <row r="6" ht="14.25" customHeight="1">
      <c r="A6" s="1" t="s">
        <v>108</v>
      </c>
      <c r="B6" s="1" t="s">
        <v>87</v>
      </c>
      <c r="C6" s="12">
        <v>0.7120393247567167</v>
      </c>
      <c r="D6" s="12">
        <v>0.38838508623093637</v>
      </c>
      <c r="E6" s="12">
        <v>0.8544471897080602</v>
      </c>
      <c r="F6" s="1"/>
      <c r="G6" s="13">
        <v>323.0466791325193</v>
      </c>
      <c r="H6" s="8">
        <v>74.54923364596601</v>
      </c>
      <c r="I6" s="8">
        <v>96.9140037397558</v>
      </c>
      <c r="J6" s="1">
        <v>0.0</v>
      </c>
      <c r="K6" s="12">
        <v>0.002204137577481878</v>
      </c>
      <c r="L6" s="12">
        <v>0.0012458168916201918</v>
      </c>
      <c r="M6" s="12">
        <v>0.005069516428208319</v>
      </c>
      <c r="N6" s="1"/>
    </row>
    <row r="7" ht="14.25" customHeight="1">
      <c r="A7" s="1" t="s">
        <v>109</v>
      </c>
      <c r="B7" s="1" t="s">
        <v>87</v>
      </c>
      <c r="C7" s="12">
        <v>0.0055186845</v>
      </c>
      <c r="D7" s="12">
        <v>0.001576767</v>
      </c>
      <c r="E7" s="12">
        <v>0.0022074737999999996</v>
      </c>
      <c r="F7" s="1">
        <v>0.85</v>
      </c>
      <c r="G7" s="13"/>
      <c r="H7" s="8"/>
      <c r="I7" s="8"/>
      <c r="J7" s="1">
        <v>1.0</v>
      </c>
      <c r="K7" s="7">
        <v>0.0</v>
      </c>
      <c r="L7" s="7">
        <v>0.0</v>
      </c>
      <c r="M7" s="7">
        <v>0.0</v>
      </c>
      <c r="N7" s="1"/>
    </row>
    <row r="8" ht="14.25" customHeight="1">
      <c r="A8" s="1" t="s">
        <v>110</v>
      </c>
      <c r="B8" s="1" t="s">
        <v>87</v>
      </c>
      <c r="C8" s="12">
        <v>0.002526367501194497</v>
      </c>
      <c r="D8" s="12">
        <v>0.0015906758340854242</v>
      </c>
      <c r="E8" s="12">
        <v>0.004294824752030646</v>
      </c>
      <c r="F8" s="1">
        <v>9.9</v>
      </c>
      <c r="G8" s="13"/>
      <c r="H8" s="8"/>
      <c r="I8" s="8"/>
      <c r="J8" s="1">
        <v>1.0</v>
      </c>
      <c r="K8" s="7">
        <v>0.0</v>
      </c>
      <c r="L8" s="7">
        <v>0.0</v>
      </c>
      <c r="M8" s="7">
        <v>0.0</v>
      </c>
      <c r="N8" s="1"/>
    </row>
    <row r="9" ht="14.25" customHeight="1">
      <c r="A9" s="1" t="s">
        <v>111</v>
      </c>
      <c r="B9" s="1" t="s">
        <v>87</v>
      </c>
      <c r="C9" s="12">
        <v>0.3205884825019055</v>
      </c>
      <c r="D9" s="12">
        <v>0.17486644500103937</v>
      </c>
      <c r="E9" s="12">
        <v>0.3847061790022867</v>
      </c>
      <c r="F9" s="1"/>
      <c r="G9" s="13">
        <v>62.86493458200684</v>
      </c>
      <c r="H9" s="8">
        <v>10.477489097001138</v>
      </c>
      <c r="I9" s="8">
        <v>12.572986916401366</v>
      </c>
      <c r="J9" s="1">
        <v>0.0</v>
      </c>
      <c r="K9" s="12">
        <v>0.00509963916503723</v>
      </c>
      <c r="L9" s="12">
        <v>0.0028824047454558254</v>
      </c>
      <c r="M9" s="12">
        <v>0.011729170079585629</v>
      </c>
      <c r="N9" s="1"/>
    </row>
    <row r="10" ht="14.25" customHeight="1">
      <c r="A10" s="1" t="s">
        <v>79</v>
      </c>
      <c r="B10" s="1" t="s">
        <v>79</v>
      </c>
      <c r="C10" s="15">
        <v>4.27E-4</v>
      </c>
      <c r="D10" s="15">
        <f>Megakaryocytes_turnover!C5/10^12</f>
        <v>0.00002845620539</v>
      </c>
      <c r="E10" s="12">
        <f>daily_turnover!$D10</f>
        <v>0.00002845620539</v>
      </c>
      <c r="F10" s="1"/>
      <c r="G10" s="13">
        <v>5.049585088852356</v>
      </c>
      <c r="H10" s="8"/>
      <c r="I10" s="1"/>
      <c r="J10" s="1">
        <v>0.0</v>
      </c>
      <c r="K10" s="15">
        <f>daily_turnover!$C10/daily_turnover!$G10</f>
        <v>0.00008456140306</v>
      </c>
      <c r="L10" s="15">
        <f>Megakaryocytes_turnover!$C$15/10^12</f>
        <v>0.00002233875756</v>
      </c>
      <c r="M10" s="15">
        <f>Megakaryocytes_turnover!$C$15/10^12</f>
        <v>0.00002233875756</v>
      </c>
      <c r="N10" s="12" t="s">
        <v>112</v>
      </c>
    </row>
    <row r="11" ht="14.25" customHeight="1">
      <c r="A11" s="7" t="s">
        <v>113</v>
      </c>
      <c r="B11" s="7" t="s">
        <v>114</v>
      </c>
      <c r="C11" s="12">
        <v>0.038241634</v>
      </c>
      <c r="D11" s="12">
        <v>0.013994563731087798</v>
      </c>
      <c r="E11" s="12">
        <v>0.0220717380804598</v>
      </c>
      <c r="F11" s="1">
        <v>140.0</v>
      </c>
      <c r="G11" s="13"/>
      <c r="H11" s="8"/>
      <c r="I11" s="8"/>
      <c r="J11" s="1">
        <v>1.0</v>
      </c>
      <c r="K11" s="12">
        <v>0.0</v>
      </c>
      <c r="L11" s="12">
        <v>0.0</v>
      </c>
      <c r="M11" s="12">
        <v>0.0</v>
      </c>
      <c r="N11" s="1"/>
    </row>
    <row r="12" ht="14.25" customHeight="1">
      <c r="A12" s="7" t="s">
        <v>115</v>
      </c>
      <c r="B12" s="7" t="s">
        <v>114</v>
      </c>
      <c r="C12" s="12">
        <v>0.11685</v>
      </c>
      <c r="D12" s="12">
        <v>0.0258784611815502</v>
      </c>
      <c r="E12" s="12"/>
      <c r="F12" s="1"/>
      <c r="G12" s="13">
        <v>31.31944444444445</v>
      </c>
      <c r="H12" s="8">
        <v>3.768191472750375</v>
      </c>
      <c r="I12" s="8"/>
      <c r="J12" s="1">
        <v>0.0</v>
      </c>
      <c r="K12" s="12">
        <v>0.003730909090909091</v>
      </c>
      <c r="L12" s="12">
        <v>9.403329411353998E-4</v>
      </c>
      <c r="M12" s="12">
        <v>9.403329411353998E-4</v>
      </c>
      <c r="N12" s="1"/>
    </row>
    <row r="13" ht="14.25" customHeight="1">
      <c r="A13" s="1" t="s">
        <v>116</v>
      </c>
      <c r="B13" s="1" t="s">
        <v>117</v>
      </c>
      <c r="C13" s="12">
        <v>0.109</v>
      </c>
      <c r="D13" s="12">
        <v>0.015837606837606828</v>
      </c>
      <c r="E13" s="12">
        <v>0.01852999999999999</v>
      </c>
      <c r="F13" s="1">
        <v>30.0</v>
      </c>
      <c r="G13" s="13"/>
      <c r="H13" s="8"/>
      <c r="I13" s="8"/>
      <c r="J13" s="1">
        <v>1.0</v>
      </c>
      <c r="K13" s="7">
        <v>0.0</v>
      </c>
      <c r="L13" s="7">
        <v>0.0</v>
      </c>
      <c r="M13" s="7">
        <v>0.0</v>
      </c>
      <c r="N13" s="1"/>
    </row>
    <row r="14" ht="14.25" customHeight="1">
      <c r="A14" s="1" t="s">
        <v>118</v>
      </c>
      <c r="B14" s="1" t="s">
        <v>117</v>
      </c>
      <c r="C14" s="12">
        <v>0.01042829</v>
      </c>
      <c r="D14" s="12">
        <v>0.0010334341441441451</v>
      </c>
      <c r="E14" s="12">
        <v>0.001147111900000001</v>
      </c>
      <c r="F14" s="1"/>
      <c r="G14" s="13">
        <v>138.6823445007129</v>
      </c>
      <c r="H14" s="8">
        <v>30.336762859530946</v>
      </c>
      <c r="I14" s="8">
        <v>38.83105646019962</v>
      </c>
      <c r="J14" s="1">
        <v>0.0</v>
      </c>
      <c r="K14" s="15">
        <v>7.519551272041258E-5</v>
      </c>
      <c r="L14" s="15">
        <v>1.7794357972006034E-5</v>
      </c>
      <c r="M14" s="16">
        <v>9.850612166374049E-5</v>
      </c>
      <c r="N14" s="1"/>
    </row>
    <row r="15" ht="14.25" customHeight="1">
      <c r="A15" s="1" t="s">
        <v>119</v>
      </c>
      <c r="B15" s="1" t="s">
        <v>117</v>
      </c>
      <c r="C15" s="12">
        <v>0.1365</v>
      </c>
      <c r="D15" s="12">
        <v>0.01462500000000001</v>
      </c>
      <c r="E15" s="12">
        <v>0.016380000000000016</v>
      </c>
      <c r="F15" s="1">
        <v>44.0</v>
      </c>
      <c r="G15" s="13"/>
      <c r="H15" s="8"/>
      <c r="I15" s="8"/>
      <c r="J15" s="1">
        <v>1.0</v>
      </c>
      <c r="K15" s="15">
        <v>0.0</v>
      </c>
      <c r="L15" s="15">
        <v>0.0</v>
      </c>
      <c r="M15" s="16">
        <v>0.0</v>
      </c>
      <c r="N15" s="1"/>
    </row>
    <row r="16" ht="14.25" customHeight="1">
      <c r="A16" s="1" t="s">
        <v>120</v>
      </c>
      <c r="B16" s="1" t="s">
        <v>77</v>
      </c>
      <c r="C16" s="12">
        <v>0.029</v>
      </c>
      <c r="D16" s="12">
        <v>0.006519379844961243</v>
      </c>
      <c r="E16" s="12">
        <v>0.00841</v>
      </c>
      <c r="F16" s="1"/>
      <c r="G16" s="13">
        <v>164.5091479959365</v>
      </c>
      <c r="H16" s="8">
        <v>68.8642945099269</v>
      </c>
      <c r="I16" s="8">
        <v>118.44658655707428</v>
      </c>
      <c r="J16" s="1">
        <v>0.0</v>
      </c>
      <c r="K16" s="15">
        <v>1.762819901098529E-4</v>
      </c>
      <c r="L16" s="15">
        <v>7.942375378575792E-5</v>
      </c>
      <c r="M16" s="16">
        <v>3.208332219999323E-4</v>
      </c>
      <c r="N16" s="1"/>
    </row>
    <row r="17" ht="14.25" customHeight="1">
      <c r="A17" s="1" t="s">
        <v>85</v>
      </c>
      <c r="B17" s="1" t="s">
        <v>85</v>
      </c>
      <c r="C17" s="12">
        <v>0.5558111351351351</v>
      </c>
      <c r="D17" s="12">
        <v>0.2330846076737478</v>
      </c>
      <c r="E17" s="12"/>
      <c r="F17" s="1"/>
      <c r="G17" s="13">
        <v>2281.25</v>
      </c>
      <c r="H17" s="8">
        <v>1250.0</v>
      </c>
      <c r="I17" s="1"/>
      <c r="J17" s="1">
        <v>0.0</v>
      </c>
      <c r="K17" s="15">
        <v>2.436432373195113E-4</v>
      </c>
      <c r="L17" s="15">
        <v>1.681149336236411E-4</v>
      </c>
      <c r="M17" s="16">
        <v>1.681149336236411E-4</v>
      </c>
      <c r="N17" s="1"/>
    </row>
    <row r="18" ht="14.25" customHeight="1">
      <c r="A18" s="1" t="s">
        <v>121</v>
      </c>
      <c r="B18" s="1" t="s">
        <v>122</v>
      </c>
      <c r="C18" s="12">
        <v>0.017</v>
      </c>
      <c r="D18" s="12">
        <v>0.004</v>
      </c>
      <c r="E18" s="12"/>
      <c r="F18" s="1"/>
      <c r="G18" s="13">
        <v>13.0</v>
      </c>
      <c r="H18" s="8">
        <v>9.0</v>
      </c>
      <c r="I18" s="1"/>
      <c r="J18" s="1">
        <v>0.0</v>
      </c>
      <c r="K18" s="15">
        <v>0.0013</v>
      </c>
      <c r="L18" s="15">
        <v>9.0E-4</v>
      </c>
      <c r="M18" s="16">
        <v>9.0E-4</v>
      </c>
      <c r="N18" s="1"/>
    </row>
    <row r="19" ht="14.25" customHeight="1">
      <c r="A19" s="1" t="s">
        <v>123</v>
      </c>
      <c r="B19" s="1" t="s">
        <v>122</v>
      </c>
      <c r="C19" s="12">
        <v>0.12</v>
      </c>
      <c r="D19" s="12">
        <v>0.02</v>
      </c>
      <c r="E19" s="12"/>
      <c r="F19" s="1" t="s">
        <v>124</v>
      </c>
      <c r="G19" s="13">
        <v>5.0</v>
      </c>
      <c r="H19" s="8">
        <v>2.0</v>
      </c>
      <c r="I19" s="1"/>
      <c r="J19" s="1">
        <v>0.0</v>
      </c>
      <c r="K19" s="15">
        <v>0.022</v>
      </c>
      <c r="L19" s="15">
        <v>0.008</v>
      </c>
      <c r="M19" s="16">
        <v>0.008</v>
      </c>
      <c r="N19" s="1"/>
    </row>
    <row r="20" ht="14.25" customHeight="1">
      <c r="A20" s="1" t="s">
        <v>125</v>
      </c>
      <c r="B20" s="1" t="s">
        <v>122</v>
      </c>
      <c r="C20" s="12">
        <v>0.06</v>
      </c>
      <c r="D20" s="12">
        <v>0.02</v>
      </c>
      <c r="E20" s="12"/>
      <c r="F20" s="1"/>
      <c r="G20" s="13">
        <v>3.4</v>
      </c>
      <c r="H20" s="8">
        <v>0.5</v>
      </c>
      <c r="I20" s="1"/>
      <c r="J20" s="1">
        <v>0.0</v>
      </c>
      <c r="K20" s="15">
        <v>0.017</v>
      </c>
      <c r="L20" s="15">
        <v>0.006</v>
      </c>
      <c r="M20" s="16">
        <v>0.006</v>
      </c>
      <c r="N20" s="1"/>
    </row>
    <row r="21" ht="14.25" customHeight="1">
      <c r="A21" s="1" t="s">
        <v>83</v>
      </c>
      <c r="B21" s="1" t="s">
        <v>83</v>
      </c>
      <c r="C21" s="12">
        <v>0.28</v>
      </c>
      <c r="D21" s="12">
        <v>0.025</v>
      </c>
      <c r="E21" s="12">
        <v>0.025</v>
      </c>
      <c r="F21" s="1"/>
      <c r="G21" s="8">
        <f>365/Hepatocytes_turnover!$E$6</f>
        <v>637.3244804</v>
      </c>
      <c r="H21" s="8">
        <f>365/Hepatocytes_turnover!$G$6</f>
        <v>275.4452969</v>
      </c>
      <c r="I21" s="8">
        <f>365/Hepatocytes_turnover!$F$6</f>
        <v>1904.612816</v>
      </c>
      <c r="J21" s="1">
        <v>0.0</v>
      </c>
      <c r="K21" s="15">
        <f>Hepatocytes_turnover!$H$6/10^12</f>
        <v>0.0004393366466</v>
      </c>
      <c r="L21" s="15">
        <f>daily_turnover!$K21- Hepatocytes_turnover!$I$6/10^12</f>
        <v>0.0002923251397</v>
      </c>
      <c r="M21" s="15">
        <f>Hepatocytes_turnover!$J$6/10^12 -daily_turnover!$K21</f>
        <v>0.0005771991342</v>
      </c>
      <c r="N21" s="17" t="s">
        <v>126</v>
      </c>
    </row>
    <row r="22" ht="14.25" customHeight="1">
      <c r="A22" s="1" t="s">
        <v>127</v>
      </c>
      <c r="B22" s="1" t="s">
        <v>128</v>
      </c>
      <c r="C22" s="12">
        <v>0.06396771625807758</v>
      </c>
      <c r="D22" s="12">
        <v>0.00564297666980165</v>
      </c>
      <c r="E22" s="12"/>
      <c r="F22" s="1"/>
      <c r="G22" s="13">
        <v>20904.34246222576</v>
      </c>
      <c r="H22" s="8">
        <v>10845.06790792711</v>
      </c>
      <c r="I22" s="1"/>
      <c r="J22" s="1">
        <v>0.0</v>
      </c>
      <c r="K22" s="15">
        <v>3.0600204896981347E-6</v>
      </c>
      <c r="L22" s="15">
        <v>1.610310290691734E-6</v>
      </c>
      <c r="M22" s="16">
        <v>1.610310290691734E-6</v>
      </c>
      <c r="N22" s="1"/>
    </row>
    <row r="23" ht="14.25" customHeight="1">
      <c r="A23" s="1" t="s">
        <v>129</v>
      </c>
      <c r="B23" s="1" t="s">
        <v>128</v>
      </c>
      <c r="C23" s="12">
        <v>0.07665499999999999</v>
      </c>
      <c r="D23" s="12">
        <v>0.0109652650934414</v>
      </c>
      <c r="E23" s="12"/>
      <c r="F23" s="1"/>
      <c r="G23" s="13">
        <v>292000.0</v>
      </c>
      <c r="H23" s="8">
        <v>182500.0</v>
      </c>
      <c r="I23" s="1"/>
      <c r="J23" s="1">
        <v>0.0</v>
      </c>
      <c r="K23" s="15">
        <v>2.765499839817344E-7</v>
      </c>
      <c r="L23" s="15">
        <v>1.791306256548668E-7</v>
      </c>
      <c r="M23" s="16">
        <v>1.791306256548668E-7</v>
      </c>
      <c r="N23" s="1"/>
    </row>
    <row r="24" ht="14.25" customHeight="1">
      <c r="A24" s="1" t="s">
        <v>130</v>
      </c>
      <c r="B24" s="1" t="s">
        <v>130</v>
      </c>
      <c r="C24" s="12">
        <v>0.03379035639412997</v>
      </c>
      <c r="D24" s="12">
        <v>0.005432720318395976</v>
      </c>
      <c r="E24" s="12"/>
      <c r="F24" s="1"/>
      <c r="G24" s="13">
        <v>4451.219512195122</v>
      </c>
      <c r="H24" s="8">
        <v>2877.007733491969</v>
      </c>
      <c r="I24" s="1"/>
      <c r="J24" s="1">
        <v>0.0</v>
      </c>
      <c r="K24" s="15">
        <v>7.591258148818241E-6</v>
      </c>
      <c r="L24" s="15">
        <v>5.056066346689005E-6</v>
      </c>
      <c r="M24" s="16">
        <v>5.056066346689005E-6</v>
      </c>
      <c r="N24" s="1"/>
    </row>
    <row r="25" ht="14.25" customHeight="1">
      <c r="A25" s="1" t="s">
        <v>131</v>
      </c>
      <c r="B25" s="1" t="s">
        <v>131</v>
      </c>
      <c r="C25" s="12">
        <v>2.405905106410558E-4</v>
      </c>
      <c r="D25" s="12">
        <v>2.868945177715125E-4</v>
      </c>
      <c r="E25" s="12"/>
      <c r="F25" s="1"/>
      <c r="G25" s="13">
        <v>18340.24138235819</v>
      </c>
      <c r="H25" s="8">
        <v>6627.068782050749</v>
      </c>
      <c r="I25" s="1"/>
      <c r="J25" s="1">
        <v>0.0</v>
      </c>
      <c r="K25" s="15">
        <v>1.3118175798519431E-8</v>
      </c>
      <c r="L25" s="15">
        <v>1.634530632048152E-8</v>
      </c>
      <c r="M25" s="16">
        <v>1.634530632048152E-8</v>
      </c>
      <c r="N25" s="1"/>
    </row>
    <row r="26" ht="14.25" customHeight="1">
      <c r="A26" s="1" t="s">
        <v>132</v>
      </c>
      <c r="B26" s="1" t="s">
        <v>132</v>
      </c>
      <c r="C26" s="12">
        <v>0.0032</v>
      </c>
      <c r="D26" s="12">
        <v>1.392715036327889E-4</v>
      </c>
      <c r="E26" s="12"/>
      <c r="F26" s="1"/>
      <c r="G26" s="13">
        <v>55747.79305155358</v>
      </c>
      <c r="H26" s="8">
        <v>11173.70469866237</v>
      </c>
      <c r="I26" s="1"/>
      <c r="J26" s="1">
        <v>0.0</v>
      </c>
      <c r="K26" s="15">
        <v>5.740137545966625E-8</v>
      </c>
      <c r="L26" s="15">
        <v>1.177324942103405E-8</v>
      </c>
      <c r="M26" s="16">
        <v>1.177324942103405E-8</v>
      </c>
      <c r="N26" s="1"/>
    </row>
    <row r="27" ht="14.25" customHeight="1">
      <c r="C27" s="18"/>
      <c r="D27" s="18"/>
      <c r="E27" s="18"/>
      <c r="G27" s="19"/>
      <c r="H27" s="20"/>
    </row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>
      <c r="E35" s="21"/>
      <c r="F35" s="21"/>
      <c r="K35" s="21"/>
    </row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hyperlinks>
    <hyperlink r:id="rId1" ref="N21"/>
  </hyperlinks>
  <printOptions/>
  <pageMargins bottom="0.75" footer="0.0" header="0.0" left="0.7" right="0.7" top="0.75"/>
  <pageSetup orientation="landscape"/>
  <drawing r:id="rId2"/>
  <tableParts count="1">
    <tablePart r:id="rId4"/>
  </tableParts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4.14"/>
    <col customWidth="1" min="3" max="3" width="40.14"/>
    <col customWidth="1" min="4" max="4" width="23.29"/>
    <col customWidth="1" min="5" max="5" width="16.71"/>
    <col customWidth="1" min="6" max="6" width="16.29"/>
    <col customWidth="1" min="7" max="8" width="20.57"/>
    <col customWidth="1" min="9" max="9" width="13.14"/>
    <col customWidth="1" min="10" max="10" width="13.0"/>
    <col customWidth="1" min="11" max="11" width="12.57"/>
    <col customWidth="1" min="12" max="12" width="15.14"/>
    <col customWidth="1" min="13" max="13" width="18.29"/>
    <col customWidth="1" min="14" max="14" width="25.57"/>
    <col customWidth="1" min="15" max="15" width="22.0"/>
    <col customWidth="1" min="16" max="16" width="27.71"/>
    <col customWidth="1" min="17" max="26" width="8.71"/>
  </cols>
  <sheetData>
    <row r="1" ht="14.25" customHeight="1">
      <c r="A1" s="22" t="s">
        <v>133</v>
      </c>
      <c r="B1" s="22" t="s">
        <v>134</v>
      </c>
      <c r="C1" s="22" t="s">
        <v>135</v>
      </c>
      <c r="D1" s="22" t="s">
        <v>136</v>
      </c>
      <c r="E1" s="23" t="s">
        <v>137</v>
      </c>
      <c r="F1" s="24" t="s">
        <v>138</v>
      </c>
      <c r="G1" s="24" t="s">
        <v>139</v>
      </c>
      <c r="H1" s="24" t="s">
        <v>140</v>
      </c>
      <c r="I1" s="24" t="s">
        <v>141</v>
      </c>
      <c r="J1" s="24" t="s">
        <v>142</v>
      </c>
      <c r="K1" s="24" t="s">
        <v>143</v>
      </c>
      <c r="L1" s="24" t="s">
        <v>144</v>
      </c>
      <c r="M1" s="24" t="s">
        <v>145</v>
      </c>
      <c r="N1" s="24" t="s">
        <v>146</v>
      </c>
      <c r="O1" s="25" t="s">
        <v>6</v>
      </c>
      <c r="P1" s="26" t="s">
        <v>147</v>
      </c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4.25" customHeight="1">
      <c r="A2" s="28" t="s">
        <v>148</v>
      </c>
      <c r="B2" s="28" t="s">
        <v>148</v>
      </c>
      <c r="C2" s="29" t="s">
        <v>149</v>
      </c>
      <c r="D2" s="29" t="s">
        <v>150</v>
      </c>
      <c r="E2" s="30">
        <v>25.4962779918</v>
      </c>
      <c r="F2" s="31">
        <v>119.3166666666667</v>
      </c>
      <c r="G2" s="32" t="s">
        <v>151</v>
      </c>
      <c r="H2" s="33">
        <v>54.0</v>
      </c>
      <c r="I2" s="34" t="s">
        <v>152</v>
      </c>
      <c r="J2" s="35">
        <v>0.2137819920163277</v>
      </c>
      <c r="K2" s="35">
        <v>0.01238316727876841</v>
      </c>
      <c r="L2" s="36"/>
      <c r="M2" s="37" t="s">
        <v>153</v>
      </c>
      <c r="N2" s="37" t="s">
        <v>154</v>
      </c>
      <c r="O2" s="33"/>
      <c r="P2" s="7"/>
    </row>
    <row r="3" ht="14.25" customHeight="1">
      <c r="A3" s="28" t="s">
        <v>148</v>
      </c>
      <c r="B3" s="28" t="s">
        <v>148</v>
      </c>
      <c r="C3" s="28" t="s">
        <v>155</v>
      </c>
      <c r="D3" s="1" t="s">
        <v>81</v>
      </c>
      <c r="E3" s="30">
        <v>0.6429612499999999</v>
      </c>
      <c r="F3" s="30">
        <v>6.617543859649123</v>
      </c>
      <c r="G3" s="38" t="s">
        <v>156</v>
      </c>
      <c r="H3" s="35">
        <v>3.1</v>
      </c>
      <c r="I3" s="37" t="s">
        <v>157</v>
      </c>
      <c r="J3" s="35">
        <v>0.06</v>
      </c>
      <c r="K3" s="39">
        <v>0.015</v>
      </c>
      <c r="L3" s="36"/>
      <c r="M3" s="37" t="s">
        <v>158</v>
      </c>
      <c r="N3" s="36" t="s">
        <v>159</v>
      </c>
      <c r="O3" s="35"/>
      <c r="P3" s="7"/>
    </row>
    <row r="4" ht="14.25" customHeight="1">
      <c r="A4" s="28" t="s">
        <v>160</v>
      </c>
      <c r="B4" s="28" t="s">
        <v>161</v>
      </c>
      <c r="C4" s="28" t="s">
        <v>162</v>
      </c>
      <c r="D4" s="40"/>
      <c r="E4" s="41">
        <v>0.1183491762730168</v>
      </c>
      <c r="F4" s="30">
        <v>5.3</v>
      </c>
      <c r="G4" s="42" t="s">
        <v>163</v>
      </c>
      <c r="H4" s="33">
        <v>2.8</v>
      </c>
      <c r="I4" s="42" t="s">
        <v>164</v>
      </c>
      <c r="J4" s="35">
        <v>0.022</v>
      </c>
      <c r="K4" s="39">
        <v>0.008</v>
      </c>
      <c r="L4" s="43"/>
      <c r="M4" s="37" t="s">
        <v>165</v>
      </c>
      <c r="N4" s="44"/>
      <c r="O4" s="44"/>
      <c r="P4" s="7"/>
    </row>
    <row r="5" ht="14.25" customHeight="1">
      <c r="A5" s="28" t="s">
        <v>166</v>
      </c>
      <c r="B5" s="28" t="s">
        <v>161</v>
      </c>
      <c r="C5" s="28" t="s">
        <v>167</v>
      </c>
      <c r="D5" s="40"/>
      <c r="E5" s="41">
        <v>0.05621389965144975</v>
      </c>
      <c r="F5" s="30">
        <v>3.4</v>
      </c>
      <c r="G5" s="42" t="s">
        <v>168</v>
      </c>
      <c r="H5" s="33">
        <v>2.7</v>
      </c>
      <c r="I5" s="42" t="s">
        <v>164</v>
      </c>
      <c r="J5" s="35">
        <v>0.017</v>
      </c>
      <c r="K5" s="39">
        <v>0.006</v>
      </c>
      <c r="L5" s="43"/>
      <c r="M5" s="37" t="s">
        <v>169</v>
      </c>
      <c r="N5" s="37"/>
      <c r="O5" s="44"/>
      <c r="P5" s="7"/>
    </row>
    <row r="6" ht="14.25" customHeight="1">
      <c r="A6" s="45" t="s">
        <v>148</v>
      </c>
      <c r="B6" s="28" t="s">
        <v>148</v>
      </c>
      <c r="C6" s="45" t="s">
        <v>108</v>
      </c>
      <c r="D6" s="1" t="s">
        <v>87</v>
      </c>
      <c r="E6" s="46">
        <v>0.7120393247567167</v>
      </c>
      <c r="F6" s="47">
        <v>323.0466791325193</v>
      </c>
      <c r="G6" s="48" t="s">
        <v>170</v>
      </c>
      <c r="H6" s="49" t="s">
        <v>171</v>
      </c>
      <c r="I6" s="50" t="s">
        <v>172</v>
      </c>
      <c r="J6" s="51">
        <f>more_turnover!$E6/more_turnover!$F6</f>
        <v>0.002204137577</v>
      </c>
      <c r="K6" s="41">
        <v>0.0012458168916201918</v>
      </c>
      <c r="L6" s="41"/>
      <c r="M6" s="37" t="s">
        <v>169</v>
      </c>
      <c r="N6" s="44"/>
      <c r="O6" s="52"/>
      <c r="P6" s="7"/>
    </row>
    <row r="7" ht="14.25" customHeight="1">
      <c r="A7" s="45" t="s">
        <v>148</v>
      </c>
      <c r="B7" s="28" t="s">
        <v>148</v>
      </c>
      <c r="C7" s="45" t="s">
        <v>111</v>
      </c>
      <c r="D7" s="1" t="s">
        <v>87</v>
      </c>
      <c r="E7" s="53">
        <v>0.3205884825019055</v>
      </c>
      <c r="F7" s="54">
        <v>62.86493458200684</v>
      </c>
      <c r="G7" s="55" t="s">
        <v>170</v>
      </c>
      <c r="H7" s="49" t="s">
        <v>171</v>
      </c>
      <c r="I7" s="55" t="s">
        <v>172</v>
      </c>
      <c r="J7" s="51">
        <f>more_turnover!$E7/more_turnover!$F7</f>
        <v>0.005099639165</v>
      </c>
      <c r="K7" s="35">
        <v>0.0028824047454558254</v>
      </c>
      <c r="L7" s="35"/>
      <c r="M7" s="37" t="s">
        <v>169</v>
      </c>
      <c r="N7" s="36"/>
      <c r="O7" s="35"/>
      <c r="P7" s="7"/>
    </row>
    <row r="8" ht="14.25" customHeight="1">
      <c r="A8" s="28" t="s">
        <v>173</v>
      </c>
      <c r="B8" s="28" t="s">
        <v>161</v>
      </c>
      <c r="C8" s="28" t="s">
        <v>174</v>
      </c>
      <c r="D8" s="56"/>
      <c r="E8" s="41">
        <v>0.017364834701315023</v>
      </c>
      <c r="F8" s="30">
        <v>9.0</v>
      </c>
      <c r="G8" s="42" t="s">
        <v>175</v>
      </c>
      <c r="H8" s="33">
        <v>3.0</v>
      </c>
      <c r="I8" s="42" t="s">
        <v>164</v>
      </c>
      <c r="J8" s="39">
        <v>0.00139</v>
      </c>
      <c r="K8" s="39">
        <v>9.0E-4</v>
      </c>
      <c r="L8" s="43"/>
      <c r="M8" s="37" t="s">
        <v>176</v>
      </c>
      <c r="N8" s="37" t="s">
        <v>176</v>
      </c>
      <c r="O8" s="33"/>
      <c r="P8" s="7"/>
    </row>
    <row r="9" ht="14.25" customHeight="1">
      <c r="A9" s="28" t="s">
        <v>177</v>
      </c>
      <c r="B9" s="28" t="s">
        <v>177</v>
      </c>
      <c r="C9" s="29" t="s">
        <v>178</v>
      </c>
      <c r="D9" s="57"/>
      <c r="E9" s="41">
        <v>0.11685</v>
      </c>
      <c r="F9" s="31">
        <v>31.31944444444445</v>
      </c>
      <c r="G9" s="42" t="s">
        <v>179</v>
      </c>
      <c r="H9" s="33">
        <v>10.0</v>
      </c>
      <c r="I9" s="42" t="s">
        <v>180</v>
      </c>
      <c r="J9" s="39">
        <v>0.003730909090909091</v>
      </c>
      <c r="K9" s="39">
        <v>9.403329411353998E-4</v>
      </c>
      <c r="L9" s="43"/>
      <c r="M9" s="36"/>
      <c r="N9" s="37" t="s">
        <v>181</v>
      </c>
      <c r="O9" s="33"/>
      <c r="P9" s="7"/>
    </row>
    <row r="10" ht="14.25" customHeight="1">
      <c r="A10" s="28" t="s">
        <v>148</v>
      </c>
      <c r="B10" s="28" t="s">
        <v>148</v>
      </c>
      <c r="C10" s="28" t="s">
        <v>182</v>
      </c>
      <c r="D10" s="1" t="s">
        <v>77</v>
      </c>
      <c r="E10" s="41">
        <v>0.0052442607904303554</v>
      </c>
      <c r="F10" s="30">
        <v>3.451409116890697</v>
      </c>
      <c r="G10" s="38" t="s">
        <v>183</v>
      </c>
      <c r="H10" s="31">
        <v>0.9</v>
      </c>
      <c r="I10" s="41"/>
      <c r="J10" s="39">
        <v>0.001519454985723279</v>
      </c>
      <c r="K10" s="1">
        <v>0.0010923130354240464</v>
      </c>
      <c r="L10" s="41"/>
      <c r="M10" s="37" t="s">
        <v>165</v>
      </c>
      <c r="N10" s="44"/>
      <c r="O10" s="44"/>
      <c r="P10" s="7"/>
    </row>
    <row r="11" ht="14.25" customHeight="1">
      <c r="A11" s="28" t="s">
        <v>184</v>
      </c>
      <c r="B11" s="28" t="s">
        <v>185</v>
      </c>
      <c r="C11" s="29" t="s">
        <v>186</v>
      </c>
      <c r="D11" s="57" t="s">
        <v>85</v>
      </c>
      <c r="E11" s="30">
        <v>0.5558111351351351</v>
      </c>
      <c r="F11" s="31">
        <v>2281.25</v>
      </c>
      <c r="G11" s="32" t="s">
        <v>187</v>
      </c>
      <c r="H11" s="33">
        <v>300.0</v>
      </c>
      <c r="I11" s="42" t="s">
        <v>188</v>
      </c>
      <c r="J11" s="58">
        <v>2.436432373195113E-4</v>
      </c>
      <c r="K11" s="58">
        <v>1.681149336236411E-4</v>
      </c>
      <c r="L11" s="43"/>
      <c r="M11" s="37" t="s">
        <v>189</v>
      </c>
      <c r="N11" s="37" t="s">
        <v>190</v>
      </c>
      <c r="O11" s="33"/>
      <c r="P11" s="7"/>
    </row>
    <row r="12" ht="14.25" customHeight="1">
      <c r="A12" s="28" t="s">
        <v>191</v>
      </c>
      <c r="B12" s="59" t="s">
        <v>192</v>
      </c>
      <c r="C12" s="60" t="s">
        <v>193</v>
      </c>
      <c r="D12" s="1" t="s">
        <v>77</v>
      </c>
      <c r="E12" s="41">
        <v>0.029</v>
      </c>
      <c r="F12" s="31">
        <v>164.5091479959365</v>
      </c>
      <c r="G12" s="42" t="s">
        <v>194</v>
      </c>
      <c r="H12" s="41" t="s">
        <v>124</v>
      </c>
      <c r="I12" s="41"/>
      <c r="J12" s="61">
        <v>1.762819901098529E-4</v>
      </c>
      <c r="K12" s="61">
        <v>1.0E-4</v>
      </c>
      <c r="L12" s="43"/>
      <c r="M12" s="37"/>
      <c r="N12" s="36" t="s">
        <v>195</v>
      </c>
      <c r="O12" s="62"/>
      <c r="P12" s="7"/>
    </row>
    <row r="13" ht="14.25" customHeight="1">
      <c r="A13" s="28" t="s">
        <v>191</v>
      </c>
      <c r="B13" s="59" t="s">
        <v>192</v>
      </c>
      <c r="C13" s="28" t="s">
        <v>196</v>
      </c>
      <c r="D13" s="40"/>
      <c r="E13" s="41">
        <v>0.01042829</v>
      </c>
      <c r="F13" s="31">
        <v>138.6823445007129</v>
      </c>
      <c r="G13" s="42" t="s">
        <v>197</v>
      </c>
      <c r="H13" s="33" t="s">
        <v>124</v>
      </c>
      <c r="I13" s="63"/>
      <c r="J13" s="61">
        <v>7.519551272041258E-5</v>
      </c>
      <c r="K13" s="1">
        <v>4.1867089596944485E-5</v>
      </c>
      <c r="L13" s="43"/>
      <c r="M13" s="37"/>
      <c r="N13" s="36" t="s">
        <v>195</v>
      </c>
      <c r="O13" s="33"/>
      <c r="P13" s="7"/>
    </row>
    <row r="14" ht="14.25" customHeight="1">
      <c r="A14" s="28" t="s">
        <v>198</v>
      </c>
      <c r="B14" s="28" t="s">
        <v>198</v>
      </c>
      <c r="C14" s="64" t="s">
        <v>199</v>
      </c>
      <c r="D14" s="65"/>
      <c r="E14" s="41">
        <v>0.03379035639412997</v>
      </c>
      <c r="F14" s="31">
        <v>4451.219512195122</v>
      </c>
      <c r="G14" s="32" t="s">
        <v>200</v>
      </c>
      <c r="H14" s="33">
        <v>750.0</v>
      </c>
      <c r="I14" s="66" t="s">
        <v>201</v>
      </c>
      <c r="J14" s="61">
        <v>7.591258148818241E-6</v>
      </c>
      <c r="K14" s="41">
        <v>5.056066346689005E-6</v>
      </c>
      <c r="L14" s="36"/>
      <c r="M14" s="37" t="s">
        <v>202</v>
      </c>
      <c r="N14" s="52" t="s">
        <v>203</v>
      </c>
      <c r="O14" s="33"/>
      <c r="P14" s="7"/>
    </row>
    <row r="15" ht="14.25" customHeight="1">
      <c r="A15" s="28" t="s">
        <v>204</v>
      </c>
      <c r="B15" s="28" t="s">
        <v>205</v>
      </c>
      <c r="C15" s="29" t="s">
        <v>206</v>
      </c>
      <c r="D15" s="57"/>
      <c r="E15" s="41">
        <v>0.06396771625807758</v>
      </c>
      <c r="F15" s="67">
        <v>20904.34246222576</v>
      </c>
      <c r="G15" s="42" t="s">
        <v>207</v>
      </c>
      <c r="H15" s="33" t="s">
        <v>124</v>
      </c>
      <c r="I15" s="42"/>
      <c r="J15" s="61">
        <v>3.0600204896981347E-6</v>
      </c>
      <c r="K15" s="61">
        <v>1.610310290691734E-6</v>
      </c>
      <c r="L15" s="43"/>
      <c r="M15" s="37" t="s">
        <v>189</v>
      </c>
      <c r="N15" s="68"/>
      <c r="O15" s="69"/>
      <c r="P15" s="7"/>
    </row>
    <row r="16" ht="14.25" customHeight="1">
      <c r="A16" s="28" t="s">
        <v>204</v>
      </c>
      <c r="B16" s="28" t="s">
        <v>205</v>
      </c>
      <c r="C16" s="29" t="s">
        <v>208</v>
      </c>
      <c r="D16" s="57"/>
      <c r="E16" s="41">
        <v>0.07665499999999999</v>
      </c>
      <c r="F16" s="70">
        <v>292000.0</v>
      </c>
      <c r="G16" s="42" t="s">
        <v>207</v>
      </c>
      <c r="H16" s="33" t="s">
        <v>124</v>
      </c>
      <c r="I16" s="42"/>
      <c r="J16" s="61">
        <v>2.765499839817344E-7</v>
      </c>
      <c r="K16" s="61">
        <v>1.791306256548668E-7</v>
      </c>
      <c r="L16" s="43"/>
      <c r="M16" s="37" t="s">
        <v>189</v>
      </c>
      <c r="N16" s="36"/>
      <c r="O16" s="52"/>
      <c r="P16" s="7"/>
    </row>
    <row r="17" ht="14.25" customHeight="1">
      <c r="A17" s="28" t="s">
        <v>209</v>
      </c>
      <c r="B17" s="28" t="s">
        <v>185</v>
      </c>
      <c r="C17" s="28" t="s">
        <v>210</v>
      </c>
      <c r="D17" s="56"/>
      <c r="E17" s="51">
        <v>0.0032</v>
      </c>
      <c r="F17" s="70">
        <v>55747.79305155358</v>
      </c>
      <c r="G17" s="32" t="s">
        <v>187</v>
      </c>
      <c r="H17" s="31">
        <v>12166.666666666668</v>
      </c>
      <c r="I17" s="71" t="s">
        <v>211</v>
      </c>
      <c r="J17" s="70">
        <v>5.740137545966625E-8</v>
      </c>
      <c r="K17" s="70">
        <v>1.177324942103405E-8</v>
      </c>
      <c r="L17" s="43"/>
      <c r="M17" s="37" t="s">
        <v>189</v>
      </c>
      <c r="N17" s="44"/>
      <c r="O17" s="41"/>
      <c r="P17" s="7">
        <f>0.8*2+0.2*4</f>
        <v>2.4</v>
      </c>
    </row>
    <row r="18" ht="14.25" customHeight="1">
      <c r="A18" s="28" t="s">
        <v>212</v>
      </c>
      <c r="B18" s="28" t="s">
        <v>213</v>
      </c>
      <c r="C18" s="28" t="s">
        <v>214</v>
      </c>
      <c r="D18" s="56"/>
      <c r="E18" s="72">
        <v>2.405905106410558E-4</v>
      </c>
      <c r="F18" s="70">
        <v>18340.24138235819</v>
      </c>
      <c r="G18" s="32" t="s">
        <v>215</v>
      </c>
      <c r="H18" s="41">
        <v>1000.0</v>
      </c>
      <c r="I18" s="42" t="s">
        <v>216</v>
      </c>
      <c r="J18" s="70">
        <v>2.0E-8</v>
      </c>
      <c r="K18" s="70">
        <v>1.634530632048152E-8</v>
      </c>
      <c r="L18" s="41"/>
      <c r="M18" s="37" t="s">
        <v>189</v>
      </c>
      <c r="N18" s="73" t="s">
        <v>217</v>
      </c>
      <c r="O18" s="41"/>
      <c r="P18" s="7">
        <v>4000.0</v>
      </c>
    </row>
    <row r="19" ht="14.25" customHeight="1">
      <c r="A19" s="28" t="s">
        <v>218</v>
      </c>
      <c r="B19" s="28" t="s">
        <v>213</v>
      </c>
      <c r="C19" s="29" t="s">
        <v>219</v>
      </c>
      <c r="D19" s="57"/>
      <c r="E19" s="51">
        <v>0.0018110000000000329</v>
      </c>
      <c r="F19" s="41" t="s">
        <v>220</v>
      </c>
      <c r="G19" s="38" t="s">
        <v>221</v>
      </c>
      <c r="H19" s="74" t="s">
        <v>222</v>
      </c>
      <c r="I19" s="42" t="s">
        <v>223</v>
      </c>
      <c r="J19" s="61">
        <f>more_turnover!$E19/1000</f>
        <v>0.000001811</v>
      </c>
      <c r="K19" s="41"/>
      <c r="L19" s="43">
        <f>more_turnover!$E19/300</f>
        <v>0.000006036666667</v>
      </c>
      <c r="M19" s="36"/>
      <c r="N19" s="75" t="s">
        <v>224</v>
      </c>
      <c r="O19" s="35" t="s">
        <v>225</v>
      </c>
      <c r="P19" s="7"/>
    </row>
    <row r="20" ht="14.25" customHeight="1">
      <c r="A20" s="28" t="s">
        <v>148</v>
      </c>
      <c r="B20" s="28" t="s">
        <v>148</v>
      </c>
      <c r="C20" s="76" t="s">
        <v>226</v>
      </c>
      <c r="D20" s="1" t="s">
        <v>81</v>
      </c>
      <c r="E20" s="41">
        <v>0.01</v>
      </c>
      <c r="F20" s="30">
        <v>4.0</v>
      </c>
      <c r="G20" s="38" t="s">
        <v>227</v>
      </c>
      <c r="H20" s="41"/>
      <c r="I20" s="41"/>
      <c r="J20" s="70">
        <v>0.001875</v>
      </c>
      <c r="K20" s="41" t="s">
        <v>105</v>
      </c>
      <c r="L20" s="41"/>
      <c r="M20" s="44"/>
      <c r="N20" s="77"/>
      <c r="O20" s="52" t="s">
        <v>228</v>
      </c>
      <c r="P20" s="7"/>
    </row>
    <row r="21" ht="14.25" customHeight="1">
      <c r="A21" s="28" t="s">
        <v>148</v>
      </c>
      <c r="B21" s="28" t="s">
        <v>148</v>
      </c>
      <c r="C21" s="28" t="s">
        <v>229</v>
      </c>
      <c r="D21" s="1" t="s">
        <v>79</v>
      </c>
      <c r="E21" s="78">
        <v>4.27E-4</v>
      </c>
      <c r="F21" s="30">
        <v>5.049585088852356</v>
      </c>
      <c r="G21" s="38" t="s">
        <v>230</v>
      </c>
      <c r="H21" s="41" t="s">
        <v>124</v>
      </c>
      <c r="I21" s="41"/>
      <c r="J21" s="70">
        <f>more_turnover!$E21/more_turnover!$F21</f>
        <v>0.00008456140306</v>
      </c>
      <c r="K21" s="15">
        <f>Megakaryocytes_turnover!$C$15/10^12</f>
        <v>0.00002233875756</v>
      </c>
      <c r="L21" s="41"/>
      <c r="M21" s="75" t="s">
        <v>231</v>
      </c>
      <c r="N21" s="77"/>
      <c r="O21" s="75" t="s">
        <v>232</v>
      </c>
      <c r="P21" s="13">
        <f>Megakaryocyte_ploidy!$B$7</f>
        <v>16.62781818</v>
      </c>
    </row>
    <row r="22" ht="14.25" customHeight="1">
      <c r="A22" s="28" t="s">
        <v>233</v>
      </c>
      <c r="B22" s="28" t="s">
        <v>234</v>
      </c>
      <c r="C22" s="28" t="s">
        <v>235</v>
      </c>
      <c r="D22" s="56"/>
      <c r="E22" s="41">
        <v>0.010299999999999162</v>
      </c>
      <c r="F22" s="41">
        <v>400.0</v>
      </c>
      <c r="G22" s="38" t="s">
        <v>236</v>
      </c>
      <c r="H22" s="41">
        <v>75.0</v>
      </c>
      <c r="I22" s="42" t="s">
        <v>237</v>
      </c>
      <c r="J22" s="70">
        <v>2.5749999999997905E-5</v>
      </c>
      <c r="K22" s="70"/>
      <c r="L22" s="43"/>
      <c r="M22" s="75" t="s">
        <v>238</v>
      </c>
      <c r="N22" s="75" t="s">
        <v>239</v>
      </c>
      <c r="O22" s="79" t="s">
        <v>240</v>
      </c>
      <c r="P22" s="7"/>
    </row>
    <row r="23" ht="14.25" customHeight="1">
      <c r="A23" s="28" t="s">
        <v>241</v>
      </c>
      <c r="B23" s="28" t="s">
        <v>242</v>
      </c>
      <c r="C23" s="28" t="s">
        <v>243</v>
      </c>
      <c r="D23" s="56"/>
      <c r="E23" s="70">
        <v>5.0E-4</v>
      </c>
      <c r="F23" s="80">
        <v>60.0</v>
      </c>
      <c r="G23" s="38" t="s">
        <v>244</v>
      </c>
      <c r="H23" s="61"/>
      <c r="I23" s="61"/>
      <c r="J23" s="70">
        <v>8.333333333333334E-6</v>
      </c>
      <c r="K23" s="70"/>
      <c r="L23" s="61"/>
      <c r="M23" s="75" t="s">
        <v>245</v>
      </c>
      <c r="N23" s="75"/>
      <c r="O23" s="81"/>
      <c r="P23" s="7"/>
    </row>
    <row r="24" ht="14.25" customHeight="1">
      <c r="A24" s="28" t="s">
        <v>218</v>
      </c>
      <c r="B24" s="28" t="s">
        <v>213</v>
      </c>
      <c r="C24" s="28" t="s">
        <v>246</v>
      </c>
      <c r="D24" s="56"/>
      <c r="E24" s="70">
        <v>6.0E-5</v>
      </c>
      <c r="F24" s="82" t="s">
        <v>247</v>
      </c>
      <c r="G24" s="38" t="s">
        <v>221</v>
      </c>
      <c r="H24" s="31">
        <v>12.626262626262626</v>
      </c>
      <c r="I24" s="83" t="s">
        <v>223</v>
      </c>
      <c r="J24" s="70">
        <v>6.0E-6</v>
      </c>
      <c r="K24" s="41"/>
      <c r="L24" s="43"/>
      <c r="M24" s="77"/>
      <c r="N24" s="77"/>
      <c r="O24" s="77" t="s">
        <v>248</v>
      </c>
      <c r="P24" s="7"/>
    </row>
    <row r="25" ht="14.25" customHeight="1">
      <c r="A25" s="28" t="s">
        <v>249</v>
      </c>
      <c r="B25" s="28" t="s">
        <v>234</v>
      </c>
      <c r="C25" s="60" t="s">
        <v>250</v>
      </c>
      <c r="D25" s="40"/>
      <c r="E25" s="70">
        <f>pancreas!C36/10^12</f>
        <v>0.00155</v>
      </c>
      <c r="F25" s="31">
        <f>pancreas!D36</f>
        <v>600</v>
      </c>
      <c r="G25" s="38" t="s">
        <v>251</v>
      </c>
      <c r="H25" s="31">
        <v>60.0</v>
      </c>
      <c r="I25" s="42" t="s">
        <v>252</v>
      </c>
      <c r="J25" s="70">
        <f>more_turnover!$E25/more_turnover!$F25</f>
        <v>0.000002583333333</v>
      </c>
      <c r="K25" s="41"/>
      <c r="L25" s="41"/>
      <c r="M25" s="75" t="s">
        <v>253</v>
      </c>
      <c r="N25" s="36" t="s">
        <v>195</v>
      </c>
      <c r="O25" s="52"/>
      <c r="P25" s="7"/>
    </row>
    <row r="26" ht="14.25" customHeight="1">
      <c r="A26" s="28" t="s">
        <v>249</v>
      </c>
      <c r="B26" s="28" t="s">
        <v>234</v>
      </c>
      <c r="C26" s="28" t="s">
        <v>254</v>
      </c>
      <c r="D26" s="56"/>
      <c r="E26" s="70">
        <f>pancreas!C37/10^12</f>
        <v>0.0005535714286</v>
      </c>
      <c r="F26" s="31">
        <f>pancreas!D37</f>
        <v>80</v>
      </c>
      <c r="G26" s="38" t="s">
        <v>251</v>
      </c>
      <c r="H26" s="84"/>
      <c r="I26" s="83"/>
      <c r="J26" s="70">
        <f>more_turnover!$E26/more_turnover!$F26</f>
        <v>0.000006919642857</v>
      </c>
      <c r="K26" s="70"/>
      <c r="L26" s="41"/>
      <c r="M26" s="44"/>
      <c r="N26" s="36" t="s">
        <v>195</v>
      </c>
      <c r="O26" s="79"/>
      <c r="P26" s="7"/>
    </row>
    <row r="27" ht="14.25" customHeight="1">
      <c r="A27" s="28" t="s">
        <v>249</v>
      </c>
      <c r="B27" s="28" t="s">
        <v>234</v>
      </c>
      <c r="C27" s="60" t="s">
        <v>255</v>
      </c>
      <c r="D27" s="40"/>
      <c r="E27" s="70">
        <f>pancreas!C38/10^12</f>
        <v>0.00008857142857</v>
      </c>
      <c r="F27" s="31">
        <f>pancreas!D38</f>
        <v>700</v>
      </c>
      <c r="G27" s="38" t="s">
        <v>251</v>
      </c>
      <c r="H27" s="84"/>
      <c r="I27" s="42"/>
      <c r="J27" s="70">
        <f>more_turnover!$E27/more_turnover!$F27</f>
        <v>0.0000001265306122</v>
      </c>
      <c r="K27" s="41"/>
      <c r="L27" s="41"/>
      <c r="M27" s="44"/>
      <c r="N27" s="36" t="s">
        <v>195</v>
      </c>
      <c r="O27" s="52"/>
      <c r="P27" s="7"/>
    </row>
    <row r="28" ht="14.25" customHeight="1">
      <c r="A28" s="28" t="s">
        <v>256</v>
      </c>
      <c r="B28" s="28" t="s">
        <v>234</v>
      </c>
      <c r="C28" s="28" t="s">
        <v>257</v>
      </c>
      <c r="D28" s="56"/>
      <c r="E28" s="41">
        <v>0.01</v>
      </c>
      <c r="F28" s="31">
        <v>3000.0</v>
      </c>
      <c r="G28" s="38" t="s">
        <v>258</v>
      </c>
      <c r="H28" s="31">
        <v>400.0</v>
      </c>
      <c r="I28" s="42" t="s">
        <v>259</v>
      </c>
      <c r="J28" s="70">
        <v>3.3333333333333333E-6</v>
      </c>
      <c r="K28" s="70"/>
      <c r="L28" s="43"/>
      <c r="M28" s="75" t="s">
        <v>260</v>
      </c>
      <c r="N28" s="75" t="s">
        <v>261</v>
      </c>
      <c r="O28" s="79"/>
      <c r="P28" s="7"/>
    </row>
    <row r="29" ht="14.25" customHeight="1">
      <c r="A29" s="28" t="s">
        <v>209</v>
      </c>
      <c r="B29" s="28" t="s">
        <v>185</v>
      </c>
      <c r="C29" s="28" t="s">
        <v>262</v>
      </c>
      <c r="D29" s="56"/>
      <c r="E29" s="51">
        <v>0.004000000000000069</v>
      </c>
      <c r="F29" s="41">
        <v>9400.0</v>
      </c>
      <c r="G29" s="38" t="s">
        <v>187</v>
      </c>
      <c r="H29" s="31"/>
      <c r="I29" s="42"/>
      <c r="J29" s="70">
        <v>4.2553191489362435E-7</v>
      </c>
      <c r="K29" s="70"/>
      <c r="L29" s="43"/>
      <c r="M29" s="75" t="s">
        <v>189</v>
      </c>
      <c r="N29" s="77"/>
      <c r="O29" s="85"/>
      <c r="P29" s="7"/>
    </row>
    <row r="30" ht="14.25" customHeight="1">
      <c r="A30" s="45" t="s">
        <v>263</v>
      </c>
      <c r="B30" s="28" t="s">
        <v>242</v>
      </c>
      <c r="C30" s="60" t="s">
        <v>264</v>
      </c>
      <c r="D30" s="40"/>
      <c r="E30" s="86">
        <f>mammary_turnover!$B$21/10^12</f>
        <v>0.05355</v>
      </c>
      <c r="F30" s="31">
        <f>mammary_turnover!$B$33</f>
        <v>60.94611384</v>
      </c>
      <c r="G30" s="38" t="s">
        <v>265</v>
      </c>
      <c r="H30" s="84"/>
      <c r="I30" s="42"/>
      <c r="J30" s="70">
        <f>more_turnover!$E30/more_turnover!$F30</f>
        <v>0.0008786450296</v>
      </c>
      <c r="K30" s="41"/>
      <c r="L30" s="41"/>
      <c r="M30" s="75" t="s">
        <v>260</v>
      </c>
      <c r="N30" s="44"/>
      <c r="O30" s="52"/>
      <c r="P30" s="7"/>
    </row>
    <row r="31" ht="14.25" customHeight="1">
      <c r="A31" s="28" t="s">
        <v>218</v>
      </c>
      <c r="B31" s="28" t="s">
        <v>213</v>
      </c>
      <c r="C31" s="28" t="s">
        <v>266</v>
      </c>
      <c r="D31" s="56"/>
      <c r="E31" s="70">
        <v>3.0E-6</v>
      </c>
      <c r="F31" s="31">
        <v>16.0</v>
      </c>
      <c r="G31" s="38" t="s">
        <v>221</v>
      </c>
      <c r="H31" s="31"/>
      <c r="I31" s="41"/>
      <c r="J31" s="70">
        <v>1.875E-7</v>
      </c>
      <c r="K31" s="41"/>
      <c r="L31" s="43"/>
      <c r="M31" s="77"/>
      <c r="N31" s="77"/>
      <c r="O31" s="77" t="s">
        <v>267</v>
      </c>
      <c r="P31" s="7"/>
    </row>
    <row r="32" ht="14.25" customHeight="1">
      <c r="A32" s="28" t="s">
        <v>268</v>
      </c>
      <c r="B32" s="28" t="s">
        <v>234</v>
      </c>
      <c r="C32" s="28" t="s">
        <v>269</v>
      </c>
      <c r="D32" s="56"/>
      <c r="E32" s="41">
        <v>0.14</v>
      </c>
      <c r="F32" s="87" t="s">
        <v>105</v>
      </c>
      <c r="G32" s="42"/>
      <c r="H32" s="31">
        <v>30.0</v>
      </c>
      <c r="I32" s="42" t="s">
        <v>270</v>
      </c>
      <c r="J32" s="80" t="s">
        <v>105</v>
      </c>
      <c r="K32" s="41"/>
      <c r="L32" s="43">
        <v>0.004666666666666667</v>
      </c>
      <c r="M32" s="51"/>
      <c r="N32" s="88" t="s">
        <v>271</v>
      </c>
      <c r="O32" s="88"/>
      <c r="P32" s="7"/>
    </row>
    <row r="33" ht="14.25" customHeight="1">
      <c r="A33" s="28" t="s">
        <v>191</v>
      </c>
      <c r="B33" s="59" t="s">
        <v>192</v>
      </c>
      <c r="C33" s="29" t="s">
        <v>272</v>
      </c>
      <c r="D33" s="57"/>
      <c r="E33" s="41">
        <v>0.1365</v>
      </c>
      <c r="F33" s="82" t="s">
        <v>105</v>
      </c>
      <c r="G33" s="42"/>
      <c r="H33" s="31">
        <v>44.0</v>
      </c>
      <c r="I33" s="42" t="s">
        <v>273</v>
      </c>
      <c r="J33" s="61" t="s">
        <v>105</v>
      </c>
      <c r="K33" s="61"/>
      <c r="L33" s="43">
        <v>0.0031022727272727274</v>
      </c>
      <c r="M33" s="51"/>
      <c r="N33" s="88" t="s">
        <v>274</v>
      </c>
      <c r="O33" s="88"/>
      <c r="P33" s="7"/>
    </row>
    <row r="34" ht="14.25" customHeight="1">
      <c r="A34" s="28" t="s">
        <v>191</v>
      </c>
      <c r="B34" s="59" t="s">
        <v>192</v>
      </c>
      <c r="C34" s="29" t="s">
        <v>275</v>
      </c>
      <c r="D34" s="57"/>
      <c r="E34" s="41">
        <v>0.06976</v>
      </c>
      <c r="F34" s="82" t="s">
        <v>105</v>
      </c>
      <c r="G34" s="42"/>
      <c r="H34" s="31">
        <v>30.0</v>
      </c>
      <c r="I34" s="42" t="s">
        <v>276</v>
      </c>
      <c r="J34" s="89" t="s">
        <v>105</v>
      </c>
      <c r="K34" s="35"/>
      <c r="L34" s="43">
        <v>0.0023253333333333333</v>
      </c>
      <c r="M34" s="51"/>
      <c r="N34" s="88" t="s">
        <v>277</v>
      </c>
      <c r="O34" s="88"/>
      <c r="P34" s="7"/>
    </row>
    <row r="35" ht="14.25" customHeight="1">
      <c r="A35" s="28" t="s">
        <v>191</v>
      </c>
      <c r="B35" s="59" t="s">
        <v>192</v>
      </c>
      <c r="C35" s="29" t="s">
        <v>278</v>
      </c>
      <c r="D35" s="57"/>
      <c r="E35" s="41">
        <v>0.03924</v>
      </c>
      <c r="F35" s="82" t="s">
        <v>105</v>
      </c>
      <c r="G35" s="42"/>
      <c r="H35" s="31">
        <v>30.0</v>
      </c>
      <c r="I35" s="42" t="s">
        <v>276</v>
      </c>
      <c r="J35" s="89" t="s">
        <v>105</v>
      </c>
      <c r="K35" s="41"/>
      <c r="L35" s="43">
        <v>0.001308</v>
      </c>
      <c r="M35" s="51"/>
      <c r="N35" s="88" t="s">
        <v>277</v>
      </c>
      <c r="O35" s="88"/>
      <c r="P35" s="7"/>
    </row>
    <row r="36" ht="14.25" customHeight="1">
      <c r="A36" s="28" t="s">
        <v>268</v>
      </c>
      <c r="B36" s="28" t="s">
        <v>234</v>
      </c>
      <c r="C36" s="29" t="s">
        <v>279</v>
      </c>
      <c r="D36" s="1" t="s">
        <v>83</v>
      </c>
      <c r="E36" s="90">
        <v>0.28</v>
      </c>
      <c r="F36" s="31">
        <f>365/Hepatocytes_turnover!$E$6</f>
        <v>637.3244804</v>
      </c>
      <c r="G36" s="91" t="s">
        <v>126</v>
      </c>
      <c r="H36" s="31" t="s">
        <v>280</v>
      </c>
      <c r="I36" s="42" t="s">
        <v>281</v>
      </c>
      <c r="J36" s="70">
        <v>4.393366465753425E-4</v>
      </c>
      <c r="K36" s="70">
        <v>2.923251397260275E-4</v>
      </c>
      <c r="L36" s="43"/>
      <c r="M36" s="92" t="s">
        <v>202</v>
      </c>
      <c r="N36" s="88" t="s">
        <v>282</v>
      </c>
      <c r="O36" s="88"/>
      <c r="P36" s="13">
        <f>SUMPRODUCT(Hepatocytes_turnover!$H$3:$H$5,Hepatocytes_turnover!$B$3:$B$5)/Hepatocytes_turnover!$H$6</f>
        <v>2.073485084</v>
      </c>
    </row>
    <row r="37" ht="14.25" customHeight="1">
      <c r="A37" s="28" t="s">
        <v>177</v>
      </c>
      <c r="B37" s="28" t="s">
        <v>177</v>
      </c>
      <c r="C37" s="29" t="s">
        <v>283</v>
      </c>
      <c r="D37" s="57"/>
      <c r="E37" s="41">
        <v>0.038241634</v>
      </c>
      <c r="F37" s="82" t="s">
        <v>105</v>
      </c>
      <c r="G37" s="42"/>
      <c r="H37" s="31">
        <v>140.0</v>
      </c>
      <c r="I37" s="83" t="s">
        <v>284</v>
      </c>
      <c r="J37" s="93" t="s">
        <v>105</v>
      </c>
      <c r="K37" s="41"/>
      <c r="L37" s="43">
        <v>2.7315452857142855E-4</v>
      </c>
      <c r="M37" s="92"/>
      <c r="N37" s="88" t="s">
        <v>190</v>
      </c>
      <c r="O37" s="88"/>
      <c r="P37" s="7"/>
    </row>
    <row r="38" ht="14.25" customHeight="1">
      <c r="A38" s="28" t="s">
        <v>160</v>
      </c>
      <c r="B38" s="28" t="s">
        <v>161</v>
      </c>
      <c r="C38" s="28" t="s">
        <v>285</v>
      </c>
      <c r="D38" s="56"/>
      <c r="E38" s="70">
        <v>0.0048</v>
      </c>
      <c r="F38" s="82"/>
      <c r="G38" s="79"/>
      <c r="H38" s="31" t="s">
        <v>286</v>
      </c>
      <c r="I38" s="94" t="s">
        <v>287</v>
      </c>
      <c r="J38" s="80"/>
      <c r="K38" s="41"/>
      <c r="L38" s="43">
        <v>2.3999999999999998E-4</v>
      </c>
      <c r="M38" s="92"/>
      <c r="N38" s="88" t="s">
        <v>288</v>
      </c>
      <c r="O38" s="88" t="s">
        <v>289</v>
      </c>
      <c r="P38" s="7"/>
    </row>
    <row r="39" ht="14.25" customHeight="1">
      <c r="A39" s="28" t="s">
        <v>268</v>
      </c>
      <c r="B39" s="28" t="s">
        <v>234</v>
      </c>
      <c r="C39" s="28" t="s">
        <v>290</v>
      </c>
      <c r="D39" s="56"/>
      <c r="E39" s="41">
        <v>0.027</v>
      </c>
      <c r="F39" s="87" t="s">
        <v>105</v>
      </c>
      <c r="G39" s="42"/>
      <c r="H39" s="31">
        <v>149.07119849998597</v>
      </c>
      <c r="I39" s="95" t="s">
        <v>291</v>
      </c>
      <c r="J39" s="89" t="s">
        <v>105</v>
      </c>
      <c r="K39" s="41"/>
      <c r="L39" s="43">
        <v>1.8112150617748297E-4</v>
      </c>
      <c r="M39" s="92"/>
      <c r="N39" s="88" t="s">
        <v>271</v>
      </c>
      <c r="O39" s="88" t="s">
        <v>292</v>
      </c>
      <c r="P39" s="7"/>
    </row>
    <row r="40" ht="14.25" customHeight="1">
      <c r="A40" s="28" t="s">
        <v>293</v>
      </c>
      <c r="B40" s="28" t="s">
        <v>234</v>
      </c>
      <c r="C40" s="28" t="s">
        <v>294</v>
      </c>
      <c r="D40" s="56"/>
      <c r="E40" s="41">
        <v>0.00702</v>
      </c>
      <c r="F40" s="96" t="s">
        <v>105</v>
      </c>
      <c r="G40" s="79"/>
      <c r="H40" s="31">
        <v>70.0</v>
      </c>
      <c r="I40" s="83" t="s">
        <v>295</v>
      </c>
      <c r="J40" s="93" t="s">
        <v>105</v>
      </c>
      <c r="K40" s="41"/>
      <c r="L40" s="43">
        <v>1.0028571428571428E-4</v>
      </c>
      <c r="M40" s="92"/>
      <c r="N40" s="88" t="s">
        <v>296</v>
      </c>
      <c r="O40" s="88" t="s">
        <v>297</v>
      </c>
      <c r="P40" s="7"/>
    </row>
    <row r="41" ht="14.25" customHeight="1">
      <c r="A41" s="28" t="s">
        <v>148</v>
      </c>
      <c r="B41" s="28" t="s">
        <v>148</v>
      </c>
      <c r="C41" s="29" t="s">
        <v>298</v>
      </c>
      <c r="D41" s="1" t="s">
        <v>81</v>
      </c>
      <c r="E41" s="41">
        <v>2.5E-4</v>
      </c>
      <c r="F41" s="82"/>
      <c r="G41" s="38"/>
      <c r="H41" s="31">
        <v>2.5</v>
      </c>
      <c r="I41" s="83" t="s">
        <v>299</v>
      </c>
      <c r="J41" s="89"/>
      <c r="K41" s="41" t="s">
        <v>105</v>
      </c>
      <c r="L41" s="43">
        <v>1.0E-4</v>
      </c>
      <c r="M41" s="92"/>
      <c r="N41" s="88" t="s">
        <v>274</v>
      </c>
      <c r="O41" s="88"/>
      <c r="P41" s="7"/>
    </row>
    <row r="42" ht="14.25" customHeight="1">
      <c r="A42" s="28" t="s">
        <v>293</v>
      </c>
      <c r="B42" s="28" t="s">
        <v>234</v>
      </c>
      <c r="C42" s="28" t="s">
        <v>300</v>
      </c>
      <c r="D42" s="56"/>
      <c r="E42" s="41">
        <v>0.00667</v>
      </c>
      <c r="F42" s="96" t="s">
        <v>105</v>
      </c>
      <c r="G42" s="79"/>
      <c r="H42" s="31">
        <v>70.0</v>
      </c>
      <c r="I42" s="83" t="s">
        <v>295</v>
      </c>
      <c r="J42" s="93" t="s">
        <v>105</v>
      </c>
      <c r="K42" s="41"/>
      <c r="L42" s="43">
        <v>9.528571428571428E-5</v>
      </c>
      <c r="M42" s="92"/>
      <c r="N42" s="88" t="s">
        <v>296</v>
      </c>
      <c r="O42" s="88" t="s">
        <v>297</v>
      </c>
      <c r="P42" s="7"/>
    </row>
    <row r="43" ht="14.25" customHeight="1">
      <c r="A43" s="45" t="s">
        <v>212</v>
      </c>
      <c r="B43" s="28" t="s">
        <v>213</v>
      </c>
      <c r="C43" s="60" t="s">
        <v>301</v>
      </c>
      <c r="D43" s="40"/>
      <c r="E43" s="86">
        <v>0.035</v>
      </c>
      <c r="F43" s="82"/>
      <c r="G43" s="79"/>
      <c r="H43" s="31">
        <v>1000.0</v>
      </c>
      <c r="I43" s="83" t="s">
        <v>302</v>
      </c>
      <c r="J43" s="93" t="s">
        <v>105</v>
      </c>
      <c r="K43" s="41"/>
      <c r="L43" s="43">
        <v>3.5000000000000004E-5</v>
      </c>
      <c r="M43" s="92"/>
      <c r="N43" s="88"/>
      <c r="O43" s="88" t="s">
        <v>303</v>
      </c>
      <c r="P43" s="7"/>
    </row>
    <row r="44" ht="14.25" customHeight="1">
      <c r="A44" s="45" t="s">
        <v>293</v>
      </c>
      <c r="B44" s="28" t="s">
        <v>234</v>
      </c>
      <c r="C44" s="60" t="s">
        <v>304</v>
      </c>
      <c r="D44" s="40"/>
      <c r="E44" s="86">
        <v>0.00177</v>
      </c>
      <c r="F44" s="82" t="s">
        <v>105</v>
      </c>
      <c r="G44" s="79"/>
      <c r="H44" s="31">
        <v>70.0</v>
      </c>
      <c r="I44" s="83" t="s">
        <v>295</v>
      </c>
      <c r="J44" s="93" t="s">
        <v>105</v>
      </c>
      <c r="K44" s="41"/>
      <c r="L44" s="43">
        <v>2.528571428571429E-5</v>
      </c>
      <c r="M44" s="92"/>
      <c r="N44" s="88"/>
      <c r="O44" s="88" t="s">
        <v>297</v>
      </c>
      <c r="P44" s="7"/>
    </row>
    <row r="45" ht="14.25" customHeight="1">
      <c r="A45" s="45" t="s">
        <v>191</v>
      </c>
      <c r="B45" s="60" t="s">
        <v>192</v>
      </c>
      <c r="C45" s="60" t="s">
        <v>305</v>
      </c>
      <c r="D45" s="40"/>
      <c r="E45" s="86">
        <v>0.00768000000000013</v>
      </c>
      <c r="F45" s="82" t="s">
        <v>105</v>
      </c>
      <c r="G45" s="38"/>
      <c r="H45" s="31">
        <v>380.0</v>
      </c>
      <c r="I45" s="83" t="s">
        <v>306</v>
      </c>
      <c r="J45" s="93" t="s">
        <v>105</v>
      </c>
      <c r="K45" s="41"/>
      <c r="L45" s="43">
        <v>2.0210526315789817E-5</v>
      </c>
      <c r="M45" s="44"/>
      <c r="N45" s="77" t="s">
        <v>307</v>
      </c>
      <c r="O45" s="77" t="s">
        <v>308</v>
      </c>
      <c r="P45" s="7"/>
    </row>
    <row r="46" ht="14.25" customHeight="1">
      <c r="A46" s="28" t="s">
        <v>293</v>
      </c>
      <c r="B46" s="28" t="s">
        <v>234</v>
      </c>
      <c r="C46" s="28" t="s">
        <v>309</v>
      </c>
      <c r="D46" s="56"/>
      <c r="E46" s="70">
        <v>0.00118</v>
      </c>
      <c r="F46" s="82" t="s">
        <v>105</v>
      </c>
      <c r="G46" s="79"/>
      <c r="H46" s="31">
        <v>100.0</v>
      </c>
      <c r="I46" s="83" t="s">
        <v>310</v>
      </c>
      <c r="J46" s="93" t="s">
        <v>105</v>
      </c>
      <c r="K46" s="41"/>
      <c r="L46" s="43">
        <v>1.18E-5</v>
      </c>
      <c r="M46" s="44"/>
      <c r="N46" s="77" t="s">
        <v>217</v>
      </c>
      <c r="O46" s="77"/>
      <c r="P46" s="7"/>
    </row>
    <row r="47" ht="14.25" customHeight="1">
      <c r="A47" s="45" t="s">
        <v>148</v>
      </c>
      <c r="B47" s="45" t="s">
        <v>148</v>
      </c>
      <c r="C47" s="45" t="s">
        <v>107</v>
      </c>
      <c r="D47" s="1" t="s">
        <v>87</v>
      </c>
      <c r="E47" s="70">
        <v>0.0018356129981835568</v>
      </c>
      <c r="F47" s="47"/>
      <c r="G47" s="97"/>
      <c r="H47" s="84">
        <v>3.8</v>
      </c>
      <c r="I47" s="50" t="s">
        <v>311</v>
      </c>
      <c r="J47" s="80"/>
      <c r="K47" s="41"/>
      <c r="L47" s="43">
        <v>4.830560521535676E-4</v>
      </c>
      <c r="M47" s="44"/>
      <c r="N47" s="77"/>
      <c r="O47" s="77"/>
      <c r="P47" s="7"/>
    </row>
    <row r="48" ht="14.25" customHeight="1">
      <c r="A48" s="45" t="s">
        <v>148</v>
      </c>
      <c r="B48" s="45" t="s">
        <v>148</v>
      </c>
      <c r="C48" s="45" t="s">
        <v>109</v>
      </c>
      <c r="D48" s="1" t="s">
        <v>87</v>
      </c>
      <c r="E48" s="70">
        <v>0.0055</v>
      </c>
      <c r="F48" s="47"/>
      <c r="G48" s="98"/>
      <c r="H48" s="84">
        <v>0.8</v>
      </c>
      <c r="I48" s="50" t="s">
        <v>312</v>
      </c>
      <c r="J48" s="80"/>
      <c r="K48" s="41"/>
      <c r="L48" s="43">
        <v>0.006874999999999999</v>
      </c>
      <c r="M48" s="44"/>
      <c r="N48" s="77"/>
      <c r="O48" s="77"/>
      <c r="P48" s="7"/>
    </row>
    <row r="49" ht="14.25" customHeight="1">
      <c r="A49" s="45" t="s">
        <v>148</v>
      </c>
      <c r="B49" s="45" t="s">
        <v>148</v>
      </c>
      <c r="C49" s="45" t="s">
        <v>110</v>
      </c>
      <c r="D49" s="1" t="s">
        <v>87</v>
      </c>
      <c r="E49" s="70">
        <v>0.003</v>
      </c>
      <c r="F49" s="47"/>
      <c r="G49" s="97"/>
      <c r="H49" s="84">
        <v>10.0</v>
      </c>
      <c r="I49" s="99" t="s">
        <v>313</v>
      </c>
      <c r="J49" s="80"/>
      <c r="K49" s="41"/>
      <c r="L49" s="43">
        <v>3.0000000000000003E-4</v>
      </c>
      <c r="M49" s="44"/>
      <c r="N49" s="77"/>
      <c r="O49" s="77"/>
      <c r="P49" s="7"/>
    </row>
    <row r="50" ht="14.25" customHeight="1">
      <c r="E50" s="9"/>
      <c r="F50" s="9"/>
    </row>
    <row r="51" ht="14.25" customHeight="1">
      <c r="E51" s="9"/>
      <c r="F51" s="100"/>
      <c r="G51" s="100"/>
    </row>
    <row r="52" ht="14.25" customHeight="1">
      <c r="E52" s="9"/>
      <c r="F52" s="100"/>
      <c r="G52" s="100"/>
      <c r="H52" s="101"/>
    </row>
    <row r="53" ht="14.25" customHeight="1">
      <c r="E53" s="9"/>
      <c r="F53" s="100"/>
      <c r="G53" s="100"/>
    </row>
    <row r="54" ht="14.25" customHeight="1">
      <c r="E54" s="9"/>
      <c r="F54" s="9"/>
    </row>
    <row r="55" ht="14.25" customHeight="1">
      <c r="E55" s="9"/>
      <c r="F55" s="9"/>
    </row>
    <row r="56" ht="14.25" customHeight="1">
      <c r="E56" s="18"/>
      <c r="F56" s="18"/>
      <c r="G56" s="18"/>
      <c r="I56" s="19"/>
      <c r="J56" s="20"/>
      <c r="M56" s="18"/>
      <c r="N56" s="102"/>
      <c r="O56" s="102"/>
    </row>
    <row r="57" ht="14.25" customHeight="1">
      <c r="E57" s="18"/>
      <c r="F57" s="18"/>
      <c r="G57" s="18"/>
      <c r="I57" s="19"/>
      <c r="J57" s="20"/>
      <c r="M57" s="18"/>
      <c r="N57" s="102"/>
      <c r="O57" s="102"/>
    </row>
    <row r="58" ht="14.25" customHeight="1">
      <c r="E58" s="18"/>
      <c r="F58" s="18"/>
      <c r="G58" s="18"/>
      <c r="I58" s="19"/>
      <c r="J58" s="20"/>
      <c r="K58" s="20"/>
      <c r="M58" s="102"/>
      <c r="N58" s="102"/>
      <c r="O58" s="102"/>
    </row>
    <row r="59" ht="14.25" customHeight="1">
      <c r="E59" s="18"/>
      <c r="F59" s="18"/>
      <c r="G59" s="18"/>
      <c r="I59" s="19"/>
      <c r="J59" s="20"/>
      <c r="K59" s="20"/>
      <c r="M59" s="102"/>
      <c r="N59" s="102"/>
      <c r="O59" s="102"/>
    </row>
    <row r="60" ht="14.25" customHeight="1">
      <c r="E60" s="18"/>
      <c r="F60" s="18"/>
      <c r="G60" s="18"/>
      <c r="I60" s="19"/>
      <c r="J60" s="20"/>
      <c r="K60" s="20"/>
      <c r="M60" s="18"/>
      <c r="N60" s="18"/>
      <c r="O60" s="18"/>
    </row>
    <row r="61" ht="14.25" customHeight="1">
      <c r="E61" s="18"/>
      <c r="F61" s="18"/>
      <c r="G61" s="18"/>
      <c r="I61" s="19"/>
      <c r="J61" s="20"/>
      <c r="K61" s="20"/>
      <c r="M61" s="9"/>
      <c r="N61" s="9"/>
      <c r="O61" s="9"/>
    </row>
    <row r="62" ht="14.25" customHeight="1">
      <c r="E62" s="18"/>
      <c r="F62" s="18"/>
      <c r="G62" s="18"/>
      <c r="I62" s="19"/>
      <c r="J62" s="20"/>
      <c r="K62" s="20"/>
      <c r="M62" s="9"/>
      <c r="N62" s="9"/>
      <c r="O62" s="9"/>
    </row>
    <row r="63" ht="14.25" customHeight="1">
      <c r="E63" s="18"/>
      <c r="F63" s="18"/>
      <c r="G63" s="18"/>
      <c r="I63" s="19"/>
      <c r="J63" s="20"/>
      <c r="K63" s="20"/>
      <c r="M63" s="18"/>
      <c r="N63" s="18"/>
      <c r="O63" s="18"/>
    </row>
    <row r="64" ht="14.25" customHeight="1">
      <c r="E64" s="21"/>
      <c r="F64" s="21"/>
      <c r="G64" s="18"/>
      <c r="I64" s="19"/>
      <c r="J64" s="20"/>
      <c r="M64" s="21"/>
      <c r="O64" s="21"/>
      <c r="P64" s="18"/>
    </row>
    <row r="65" ht="14.25" customHeight="1">
      <c r="A65" s="9"/>
      <c r="B65" s="9"/>
      <c r="C65" s="9"/>
      <c r="D65" s="9"/>
      <c r="E65" s="18"/>
      <c r="F65" s="18"/>
      <c r="G65" s="18"/>
      <c r="I65" s="19"/>
      <c r="J65" s="20"/>
      <c r="K65" s="20"/>
      <c r="M65" s="18"/>
      <c r="N65" s="18"/>
      <c r="O65" s="18"/>
    </row>
    <row r="66" ht="14.25" customHeight="1">
      <c r="A66" s="9"/>
      <c r="B66" s="9"/>
      <c r="C66" s="9"/>
      <c r="D66" s="9"/>
      <c r="E66" s="18"/>
      <c r="F66" s="18"/>
      <c r="G66" s="18"/>
      <c r="I66" s="19"/>
      <c r="J66" s="20"/>
      <c r="K66" s="20"/>
      <c r="M66" s="18"/>
      <c r="N66" s="18"/>
      <c r="O66" s="18"/>
    </row>
    <row r="67" ht="14.25" customHeight="1">
      <c r="E67" s="18"/>
      <c r="F67" s="18"/>
      <c r="G67" s="18"/>
      <c r="I67" s="19"/>
      <c r="J67" s="20"/>
      <c r="K67" s="20"/>
      <c r="M67" s="9"/>
      <c r="N67" s="9"/>
      <c r="O67" s="9"/>
    </row>
    <row r="68" ht="14.25" customHeight="1">
      <c r="E68" s="18"/>
      <c r="F68" s="18"/>
      <c r="G68" s="18"/>
      <c r="I68" s="19"/>
      <c r="J68" s="20"/>
      <c r="K68" s="20"/>
      <c r="M68" s="21"/>
      <c r="N68" s="21"/>
      <c r="O68" s="100"/>
    </row>
    <row r="69" ht="14.25" customHeight="1">
      <c r="E69" s="18"/>
      <c r="F69" s="18"/>
      <c r="G69" s="18"/>
      <c r="I69" s="19"/>
      <c r="J69" s="20"/>
      <c r="K69" s="20"/>
      <c r="M69" s="21"/>
      <c r="N69" s="21"/>
      <c r="O69" s="100"/>
    </row>
    <row r="70" ht="14.25" customHeight="1">
      <c r="E70" s="18"/>
      <c r="F70" s="18"/>
      <c r="G70" s="18"/>
      <c r="I70" s="19"/>
      <c r="J70" s="20"/>
      <c r="K70" s="20"/>
      <c r="M70" s="21"/>
      <c r="N70" s="21"/>
      <c r="O70" s="100"/>
    </row>
    <row r="71" ht="14.25" customHeight="1">
      <c r="E71" s="18"/>
      <c r="F71" s="18"/>
      <c r="G71" s="18"/>
      <c r="I71" s="19"/>
      <c r="J71" s="20"/>
      <c r="M71" s="21"/>
      <c r="N71" s="21"/>
      <c r="O71" s="100"/>
    </row>
    <row r="72" ht="14.25" customHeight="1">
      <c r="E72" s="18"/>
      <c r="F72" s="18"/>
      <c r="G72" s="18"/>
      <c r="I72" s="19"/>
      <c r="J72" s="20"/>
      <c r="M72" s="21"/>
      <c r="N72" s="21"/>
      <c r="O72" s="100"/>
    </row>
    <row r="73" ht="14.25" customHeight="1">
      <c r="E73" s="18"/>
      <c r="F73" s="18"/>
      <c r="G73" s="18"/>
      <c r="I73" s="19"/>
      <c r="J73" s="20"/>
      <c r="M73" s="21"/>
      <c r="N73" s="21"/>
      <c r="O73" s="100"/>
    </row>
    <row r="74" ht="14.25" customHeight="1">
      <c r="E74" s="18"/>
      <c r="F74" s="18"/>
      <c r="G74" s="18"/>
      <c r="I74" s="19"/>
      <c r="J74" s="20"/>
      <c r="M74" s="21"/>
      <c r="N74" s="21"/>
      <c r="O74" s="100"/>
    </row>
    <row r="75" ht="14.25" customHeight="1">
      <c r="E75" s="18"/>
      <c r="F75" s="18"/>
      <c r="G75" s="18"/>
      <c r="I75" s="19"/>
      <c r="J75" s="20"/>
      <c r="K75" s="20"/>
      <c r="M75" s="21"/>
      <c r="N75" s="21"/>
      <c r="O75" s="21"/>
      <c r="P75" s="103"/>
    </row>
    <row r="76" ht="14.25" customHeight="1">
      <c r="E76" s="18"/>
      <c r="F76" s="18"/>
      <c r="G76" s="18"/>
      <c r="I76" s="19"/>
      <c r="J76" s="20"/>
      <c r="M76" s="21"/>
      <c r="N76" s="21"/>
      <c r="O76" s="100"/>
    </row>
    <row r="77" ht="14.25" customHeight="1">
      <c r="E77" s="18"/>
      <c r="F77" s="18"/>
      <c r="G77" s="18"/>
      <c r="I77" s="19"/>
      <c r="J77" s="20"/>
      <c r="M77" s="21"/>
      <c r="N77" s="21"/>
      <c r="O77" s="100"/>
    </row>
    <row r="78" ht="14.25" customHeight="1">
      <c r="E78" s="18"/>
      <c r="F78" s="18"/>
      <c r="G78" s="18"/>
      <c r="I78" s="19"/>
      <c r="J78" s="20"/>
      <c r="M78" s="21"/>
      <c r="N78" s="21"/>
      <c r="O78" s="100"/>
    </row>
    <row r="79" ht="14.25" customHeight="1">
      <c r="E79" s="18"/>
      <c r="F79" s="18"/>
      <c r="G79" s="18"/>
      <c r="I79" s="19"/>
      <c r="J79" s="20"/>
      <c r="M79" s="21"/>
      <c r="N79" s="21"/>
      <c r="O79" s="100"/>
    </row>
    <row r="80" ht="14.25" customHeight="1">
      <c r="E80" s="18"/>
      <c r="F80" s="18"/>
      <c r="G80" s="18"/>
      <c r="I80" s="19"/>
      <c r="J80" s="20"/>
      <c r="M80" s="21"/>
      <c r="N80" s="21"/>
      <c r="O80" s="100"/>
    </row>
    <row r="81" ht="14.25" customHeight="1">
      <c r="E81" s="9"/>
      <c r="F81" s="9"/>
    </row>
    <row r="82" ht="14.25" customHeight="1">
      <c r="E82" s="9"/>
      <c r="F82" s="9"/>
    </row>
    <row r="83" ht="14.25" customHeight="1">
      <c r="E83" s="9"/>
      <c r="F83" s="9"/>
    </row>
    <row r="84" ht="14.25" customHeight="1">
      <c r="E84" s="9"/>
      <c r="F84" s="9"/>
    </row>
    <row r="85" ht="14.25" customHeight="1">
      <c r="E85" s="9"/>
      <c r="F85" s="9"/>
    </row>
    <row r="86" ht="14.25" customHeight="1">
      <c r="E86" s="9"/>
      <c r="F86" s="9"/>
    </row>
    <row r="87" ht="14.25" customHeight="1">
      <c r="E87" s="9"/>
      <c r="F87" s="9"/>
    </row>
    <row r="88" ht="14.25" customHeight="1">
      <c r="E88" s="9"/>
      <c r="F88" s="9"/>
    </row>
    <row r="89" ht="14.25" customHeight="1">
      <c r="E89" s="9"/>
      <c r="F89" s="9"/>
    </row>
    <row r="90" ht="14.25" customHeight="1">
      <c r="E90" s="9"/>
      <c r="F90" s="9"/>
    </row>
    <row r="91" ht="14.25" customHeight="1">
      <c r="E91" s="9"/>
      <c r="F91" s="9"/>
    </row>
    <row r="92" ht="14.25" customHeight="1">
      <c r="E92" s="9"/>
      <c r="F92" s="9"/>
    </row>
    <row r="93" ht="14.25" customHeight="1">
      <c r="E93" s="9"/>
      <c r="F93" s="9"/>
    </row>
    <row r="94" ht="14.25" customHeight="1">
      <c r="E94" s="9"/>
      <c r="F94" s="9"/>
    </row>
    <row r="95" ht="14.25" customHeight="1">
      <c r="E95" s="9"/>
      <c r="F95" s="9"/>
    </row>
    <row r="96" ht="14.25" customHeight="1">
      <c r="E96" s="9"/>
      <c r="F96" s="9"/>
    </row>
    <row r="97" ht="14.25" customHeight="1">
      <c r="E97" s="9"/>
      <c r="F97" s="9"/>
    </row>
    <row r="98" ht="14.25" customHeight="1">
      <c r="E98" s="9"/>
      <c r="F98" s="9"/>
    </row>
    <row r="99" ht="14.25" customHeight="1">
      <c r="E99" s="9"/>
      <c r="F99" s="9"/>
    </row>
    <row r="100" ht="14.25" customHeight="1">
      <c r="E100" s="9"/>
      <c r="F100" s="9"/>
    </row>
    <row r="101" ht="14.25" customHeight="1">
      <c r="E101" s="9"/>
      <c r="F101" s="9"/>
    </row>
    <row r="102" ht="14.25" customHeight="1">
      <c r="E102" s="9"/>
      <c r="F102" s="9"/>
    </row>
    <row r="103" ht="14.25" customHeight="1">
      <c r="E103" s="9"/>
      <c r="F103" s="9"/>
    </row>
    <row r="104" ht="14.25" customHeight="1">
      <c r="E104" s="9"/>
      <c r="F104" s="9"/>
    </row>
    <row r="105" ht="14.25" customHeight="1">
      <c r="E105" s="9"/>
      <c r="F105" s="9"/>
    </row>
    <row r="106" ht="14.25" customHeight="1">
      <c r="E106" s="9"/>
      <c r="F106" s="9"/>
    </row>
    <row r="107" ht="14.25" customHeight="1">
      <c r="E107" s="9"/>
      <c r="F107" s="9"/>
    </row>
    <row r="108" ht="14.25" customHeight="1">
      <c r="E108" s="9"/>
      <c r="F108" s="9"/>
    </row>
    <row r="109" ht="14.25" customHeight="1">
      <c r="E109" s="9"/>
      <c r="F109" s="9"/>
    </row>
    <row r="110" ht="14.25" customHeight="1">
      <c r="E110" s="9"/>
      <c r="F110" s="9"/>
    </row>
    <row r="111" ht="14.25" customHeight="1">
      <c r="E111" s="9"/>
      <c r="F111" s="9"/>
    </row>
    <row r="112" ht="14.25" customHeight="1">
      <c r="E112" s="9"/>
      <c r="F112" s="9"/>
    </row>
    <row r="113" ht="14.25" customHeight="1">
      <c r="E113" s="9"/>
      <c r="F113" s="9"/>
    </row>
    <row r="114" ht="14.25" customHeight="1">
      <c r="E114" s="9"/>
      <c r="F114" s="9"/>
    </row>
    <row r="115" ht="14.25" customHeight="1">
      <c r="E115" s="9"/>
      <c r="F115" s="9"/>
    </row>
    <row r="116" ht="14.25" customHeight="1">
      <c r="E116" s="9"/>
      <c r="F116" s="9"/>
    </row>
    <row r="117" ht="14.25" customHeight="1">
      <c r="E117" s="9"/>
      <c r="F117" s="9"/>
    </row>
    <row r="118" ht="14.25" customHeight="1">
      <c r="E118" s="9"/>
      <c r="F118" s="9"/>
    </row>
    <row r="119" ht="14.25" customHeight="1">
      <c r="E119" s="9"/>
      <c r="F119" s="9"/>
    </row>
    <row r="120" ht="14.25" customHeight="1">
      <c r="E120" s="9"/>
      <c r="F120" s="9"/>
    </row>
    <row r="121" ht="14.25" customHeight="1">
      <c r="E121" s="9"/>
      <c r="F121" s="9"/>
    </row>
    <row r="122" ht="14.25" customHeight="1">
      <c r="E122" s="9"/>
      <c r="F122" s="9"/>
    </row>
    <row r="123" ht="14.25" customHeight="1">
      <c r="E123" s="9"/>
      <c r="F123" s="9"/>
    </row>
    <row r="124" ht="14.25" customHeight="1">
      <c r="E124" s="9"/>
      <c r="F124" s="9"/>
    </row>
    <row r="125" ht="14.25" customHeight="1">
      <c r="E125" s="9"/>
      <c r="F125" s="9"/>
    </row>
    <row r="126" ht="14.25" customHeight="1">
      <c r="E126" s="9"/>
      <c r="F126" s="9"/>
    </row>
    <row r="127" ht="14.25" customHeight="1">
      <c r="E127" s="9"/>
      <c r="F127" s="9"/>
    </row>
    <row r="128" ht="14.25" customHeight="1">
      <c r="E128" s="9"/>
      <c r="F128" s="9"/>
    </row>
    <row r="129" ht="14.25" customHeight="1">
      <c r="E129" s="9"/>
      <c r="F129" s="9"/>
    </row>
    <row r="130" ht="14.25" customHeight="1">
      <c r="E130" s="9"/>
      <c r="F130" s="9"/>
    </row>
    <row r="131" ht="14.25" customHeight="1">
      <c r="E131" s="9"/>
      <c r="F131" s="9"/>
    </row>
    <row r="132" ht="14.25" customHeight="1">
      <c r="E132" s="9"/>
      <c r="F132" s="9"/>
    </row>
    <row r="133" ht="14.25" customHeight="1">
      <c r="E133" s="9"/>
      <c r="F133" s="9"/>
    </row>
    <row r="134" ht="14.25" customHeight="1">
      <c r="E134" s="9"/>
      <c r="F134" s="9"/>
    </row>
    <row r="135" ht="14.25" customHeight="1">
      <c r="E135" s="9"/>
      <c r="F135" s="9"/>
    </row>
    <row r="136" ht="14.25" customHeight="1">
      <c r="E136" s="9"/>
      <c r="F136" s="9"/>
    </row>
    <row r="137" ht="14.25" customHeight="1">
      <c r="E137" s="9"/>
      <c r="F137" s="9"/>
    </row>
    <row r="138" ht="14.25" customHeight="1">
      <c r="E138" s="9"/>
      <c r="F138" s="9"/>
    </row>
    <row r="139" ht="14.25" customHeight="1">
      <c r="E139" s="9"/>
      <c r="F139" s="9"/>
    </row>
    <row r="140" ht="14.25" customHeight="1">
      <c r="E140" s="9"/>
      <c r="F140" s="9"/>
    </row>
    <row r="141" ht="14.25" customHeight="1">
      <c r="E141" s="9"/>
      <c r="F141" s="9"/>
    </row>
    <row r="142" ht="14.25" customHeight="1">
      <c r="E142" s="9"/>
      <c r="F142" s="9"/>
    </row>
    <row r="143" ht="14.25" customHeight="1">
      <c r="E143" s="9"/>
      <c r="F143" s="9"/>
    </row>
    <row r="144" ht="14.25" customHeight="1">
      <c r="E144" s="9"/>
      <c r="F144" s="9"/>
    </row>
    <row r="145" ht="14.25" customHeight="1">
      <c r="E145" s="9"/>
      <c r="F145" s="9"/>
    </row>
    <row r="146" ht="14.25" customHeight="1">
      <c r="E146" s="9"/>
      <c r="F146" s="9"/>
    </row>
    <row r="147" ht="14.25" customHeight="1">
      <c r="E147" s="9"/>
      <c r="F147" s="9"/>
    </row>
    <row r="148" ht="14.25" customHeight="1">
      <c r="E148" s="9"/>
      <c r="F148" s="9"/>
    </row>
    <row r="149" ht="14.25" customHeight="1">
      <c r="E149" s="9"/>
      <c r="F149" s="9"/>
    </row>
    <row r="150" ht="14.25" customHeight="1">
      <c r="E150" s="9"/>
      <c r="F150" s="9"/>
    </row>
    <row r="151" ht="14.25" customHeight="1">
      <c r="E151" s="9"/>
      <c r="F151" s="9"/>
    </row>
    <row r="152" ht="14.25" customHeight="1">
      <c r="E152" s="9"/>
      <c r="F152" s="9"/>
    </row>
    <row r="153" ht="14.25" customHeight="1">
      <c r="E153" s="9"/>
      <c r="F153" s="9"/>
    </row>
    <row r="154" ht="14.25" customHeight="1">
      <c r="E154" s="9"/>
      <c r="F154" s="9"/>
    </row>
    <row r="155" ht="14.25" customHeight="1">
      <c r="E155" s="9"/>
      <c r="F155" s="9"/>
    </row>
    <row r="156" ht="14.25" customHeight="1">
      <c r="E156" s="9"/>
      <c r="F156" s="9"/>
    </row>
    <row r="157" ht="14.25" customHeight="1">
      <c r="E157" s="9"/>
      <c r="F157" s="9"/>
    </row>
    <row r="158" ht="14.25" customHeight="1">
      <c r="E158" s="9"/>
      <c r="F158" s="9"/>
    </row>
    <row r="159" ht="14.25" customHeight="1">
      <c r="E159" s="9"/>
      <c r="F159" s="9"/>
    </row>
    <row r="160" ht="14.25" customHeight="1">
      <c r="E160" s="9"/>
      <c r="F160" s="9"/>
    </row>
    <row r="161" ht="14.25" customHeight="1">
      <c r="E161" s="9"/>
      <c r="F161" s="9"/>
    </row>
    <row r="162" ht="14.25" customHeight="1">
      <c r="E162" s="9"/>
      <c r="F162" s="9"/>
    </row>
    <row r="163" ht="14.25" customHeight="1">
      <c r="E163" s="9"/>
      <c r="F163" s="9"/>
    </row>
    <row r="164" ht="14.25" customHeight="1">
      <c r="E164" s="9"/>
      <c r="F164" s="9"/>
    </row>
    <row r="165" ht="14.25" customHeight="1">
      <c r="E165" s="9"/>
      <c r="F165" s="9"/>
    </row>
    <row r="166" ht="14.25" customHeight="1">
      <c r="E166" s="9"/>
      <c r="F166" s="9"/>
    </row>
    <row r="167" ht="14.25" customHeight="1">
      <c r="E167" s="9"/>
      <c r="F167" s="9"/>
    </row>
    <row r="168" ht="14.25" customHeight="1">
      <c r="E168" s="9"/>
      <c r="F168" s="9"/>
    </row>
    <row r="169" ht="14.25" customHeight="1">
      <c r="E169" s="9"/>
      <c r="F169" s="9"/>
    </row>
    <row r="170" ht="14.25" customHeight="1">
      <c r="E170" s="9"/>
      <c r="F170" s="9"/>
    </row>
    <row r="171" ht="14.25" customHeight="1">
      <c r="E171" s="9"/>
      <c r="F171" s="9"/>
    </row>
    <row r="172" ht="14.25" customHeight="1">
      <c r="E172" s="9"/>
      <c r="F172" s="9"/>
    </row>
    <row r="173" ht="14.25" customHeight="1">
      <c r="E173" s="9"/>
      <c r="F173" s="9"/>
    </row>
    <row r="174" ht="14.25" customHeight="1">
      <c r="E174" s="9"/>
      <c r="F174" s="9"/>
    </row>
    <row r="175" ht="14.25" customHeight="1">
      <c r="E175" s="9"/>
      <c r="F175" s="9"/>
    </row>
    <row r="176" ht="14.25" customHeight="1">
      <c r="E176" s="9"/>
      <c r="F176" s="9"/>
    </row>
    <row r="177" ht="14.25" customHeight="1">
      <c r="E177" s="9"/>
      <c r="F177" s="9"/>
    </row>
    <row r="178" ht="14.25" customHeight="1">
      <c r="E178" s="9"/>
      <c r="F178" s="9"/>
    </row>
    <row r="179" ht="14.25" customHeight="1">
      <c r="E179" s="9"/>
      <c r="F179" s="9"/>
    </row>
    <row r="180" ht="14.25" customHeight="1">
      <c r="E180" s="9"/>
      <c r="F180" s="9"/>
    </row>
    <row r="181" ht="14.25" customHeight="1">
      <c r="E181" s="9"/>
      <c r="F181" s="9"/>
    </row>
    <row r="182" ht="14.25" customHeight="1">
      <c r="E182" s="9"/>
      <c r="F182" s="9"/>
    </row>
    <row r="183" ht="14.25" customHeight="1">
      <c r="E183" s="9"/>
      <c r="F183" s="9"/>
    </row>
    <row r="184" ht="14.25" customHeight="1">
      <c r="E184" s="9"/>
      <c r="F184" s="9"/>
    </row>
    <row r="185" ht="14.25" customHeight="1">
      <c r="E185" s="9"/>
      <c r="F185" s="9"/>
    </row>
    <row r="186" ht="14.25" customHeight="1">
      <c r="E186" s="9"/>
      <c r="F186" s="9"/>
    </row>
    <row r="187" ht="14.25" customHeight="1">
      <c r="E187" s="9"/>
      <c r="F187" s="9"/>
    </row>
    <row r="188" ht="14.25" customHeight="1">
      <c r="E188" s="9"/>
      <c r="F188" s="9"/>
    </row>
    <row r="189" ht="14.25" customHeight="1">
      <c r="E189" s="9"/>
      <c r="F189" s="9"/>
    </row>
    <row r="190" ht="14.25" customHeight="1">
      <c r="E190" s="9"/>
      <c r="F190" s="9"/>
    </row>
    <row r="191" ht="14.25" customHeight="1">
      <c r="E191" s="9"/>
      <c r="F191" s="9"/>
    </row>
    <row r="192" ht="14.25" customHeight="1">
      <c r="E192" s="9"/>
      <c r="F192" s="9"/>
    </row>
    <row r="193" ht="14.25" customHeight="1">
      <c r="E193" s="9"/>
      <c r="F193" s="9"/>
    </row>
    <row r="194" ht="14.25" customHeight="1">
      <c r="E194" s="9"/>
      <c r="F194" s="9"/>
    </row>
    <row r="195" ht="14.25" customHeight="1">
      <c r="E195" s="9"/>
      <c r="F195" s="9"/>
    </row>
    <row r="196" ht="14.25" customHeight="1">
      <c r="E196" s="9"/>
      <c r="F196" s="9"/>
    </row>
    <row r="197" ht="14.25" customHeight="1">
      <c r="E197" s="9"/>
      <c r="F197" s="9"/>
    </row>
    <row r="198" ht="14.25" customHeight="1">
      <c r="E198" s="9"/>
      <c r="F198" s="9"/>
    </row>
    <row r="199" ht="14.25" customHeight="1">
      <c r="E199" s="9"/>
      <c r="F199" s="9"/>
    </row>
    <row r="200" ht="14.25" customHeight="1">
      <c r="E200" s="9"/>
      <c r="F200" s="9"/>
    </row>
    <row r="201" ht="14.25" customHeight="1">
      <c r="E201" s="9"/>
      <c r="F201" s="9"/>
    </row>
    <row r="202" ht="14.25" customHeight="1">
      <c r="E202" s="9"/>
      <c r="F202" s="9"/>
    </row>
    <row r="203" ht="14.25" customHeight="1">
      <c r="E203" s="9"/>
      <c r="F203" s="9"/>
    </row>
    <row r="204" ht="14.25" customHeight="1">
      <c r="E204" s="9"/>
      <c r="F204" s="9"/>
    </row>
    <row r="205" ht="14.25" customHeight="1">
      <c r="E205" s="9"/>
      <c r="F205" s="9"/>
    </row>
    <row r="206" ht="14.25" customHeight="1">
      <c r="E206" s="9"/>
      <c r="F206" s="9"/>
    </row>
    <row r="207" ht="14.25" customHeight="1">
      <c r="E207" s="9"/>
      <c r="F207" s="9"/>
    </row>
    <row r="208" ht="14.25" customHeight="1">
      <c r="E208" s="9"/>
      <c r="F208" s="9"/>
    </row>
    <row r="209" ht="14.25" customHeight="1">
      <c r="E209" s="9"/>
      <c r="F209" s="9"/>
    </row>
    <row r="210" ht="14.25" customHeight="1">
      <c r="E210" s="9"/>
      <c r="F210" s="9"/>
    </row>
    <row r="211" ht="14.25" customHeight="1">
      <c r="E211" s="9"/>
      <c r="F211" s="9"/>
    </row>
    <row r="212" ht="14.25" customHeight="1">
      <c r="E212" s="9"/>
      <c r="F212" s="9"/>
    </row>
    <row r="213" ht="14.25" customHeight="1">
      <c r="E213" s="9"/>
      <c r="F213" s="9"/>
    </row>
    <row r="214" ht="14.25" customHeight="1">
      <c r="E214" s="9"/>
      <c r="F214" s="9"/>
    </row>
    <row r="215" ht="14.25" customHeight="1">
      <c r="E215" s="9"/>
      <c r="F215" s="9"/>
    </row>
    <row r="216" ht="14.25" customHeight="1">
      <c r="E216" s="9"/>
      <c r="F216" s="9"/>
    </row>
    <row r="217" ht="14.25" customHeight="1">
      <c r="E217" s="9"/>
      <c r="F217" s="9"/>
    </row>
    <row r="218" ht="14.25" customHeight="1">
      <c r="E218" s="9"/>
      <c r="F218" s="9"/>
    </row>
    <row r="219" ht="14.25" customHeight="1">
      <c r="E219" s="9"/>
      <c r="F219" s="9"/>
    </row>
    <row r="220" ht="14.25" customHeight="1">
      <c r="E220" s="9"/>
      <c r="F220" s="9"/>
    </row>
    <row r="221" ht="14.25" customHeight="1">
      <c r="E221" s="9"/>
      <c r="F221" s="9"/>
    </row>
    <row r="222" ht="14.25" customHeight="1">
      <c r="E222" s="9"/>
      <c r="F222" s="9"/>
    </row>
    <row r="223" ht="14.25" customHeight="1">
      <c r="E223" s="9"/>
      <c r="F223" s="9"/>
    </row>
    <row r="224" ht="14.25" customHeight="1">
      <c r="E224" s="9"/>
      <c r="F224" s="9"/>
    </row>
    <row r="225" ht="14.25" customHeight="1">
      <c r="E225" s="9"/>
      <c r="F225" s="9"/>
    </row>
    <row r="226" ht="14.25" customHeight="1">
      <c r="E226" s="9"/>
      <c r="F226" s="9"/>
    </row>
    <row r="227" ht="14.25" customHeight="1">
      <c r="E227" s="9"/>
      <c r="F227" s="9"/>
    </row>
    <row r="228" ht="14.25" customHeight="1">
      <c r="E228" s="9"/>
      <c r="F228" s="9"/>
    </row>
    <row r="229" ht="14.25" customHeight="1">
      <c r="E229" s="9"/>
      <c r="F229" s="9"/>
    </row>
    <row r="230" ht="14.25" customHeight="1">
      <c r="E230" s="9"/>
      <c r="F230" s="9"/>
    </row>
    <row r="231" ht="14.25" customHeight="1">
      <c r="E231" s="9"/>
      <c r="F231" s="9"/>
    </row>
    <row r="232" ht="14.25" customHeight="1">
      <c r="E232" s="9"/>
      <c r="F232" s="9"/>
    </row>
    <row r="233" ht="14.25" customHeight="1">
      <c r="E233" s="9"/>
      <c r="F233" s="9"/>
    </row>
    <row r="234" ht="14.25" customHeight="1">
      <c r="E234" s="9"/>
      <c r="F234" s="9"/>
    </row>
    <row r="235" ht="14.25" customHeight="1">
      <c r="E235" s="9"/>
      <c r="F235" s="9"/>
    </row>
    <row r="236" ht="14.25" customHeight="1">
      <c r="E236" s="9"/>
      <c r="F236" s="9"/>
    </row>
    <row r="237" ht="14.25" customHeight="1">
      <c r="E237" s="9"/>
      <c r="F237" s="9"/>
    </row>
    <row r="238" ht="14.25" customHeight="1">
      <c r="E238" s="9"/>
      <c r="F238" s="9"/>
    </row>
    <row r="239" ht="14.25" customHeight="1">
      <c r="E239" s="9"/>
      <c r="F239" s="9"/>
    </row>
    <row r="240" ht="14.25" customHeight="1">
      <c r="E240" s="9"/>
      <c r="F240" s="9"/>
    </row>
    <row r="241" ht="14.25" customHeight="1">
      <c r="E241" s="9"/>
      <c r="F241" s="9"/>
    </row>
    <row r="242" ht="14.25" customHeight="1">
      <c r="E242" s="9"/>
      <c r="F242" s="9"/>
    </row>
    <row r="243" ht="14.25" customHeight="1">
      <c r="E243" s="9"/>
      <c r="F243" s="9"/>
    </row>
    <row r="244" ht="14.25" customHeight="1">
      <c r="E244" s="9"/>
      <c r="F244" s="9"/>
    </row>
    <row r="245" ht="14.25" customHeight="1">
      <c r="E245" s="9"/>
      <c r="F245" s="9"/>
    </row>
    <row r="246" ht="14.25" customHeight="1">
      <c r="E246" s="9"/>
      <c r="F246" s="9"/>
    </row>
    <row r="247" ht="14.25" customHeight="1">
      <c r="E247" s="9"/>
      <c r="F247" s="9"/>
    </row>
    <row r="248" ht="14.25" customHeight="1">
      <c r="E248" s="9"/>
      <c r="F248" s="9"/>
    </row>
    <row r="249" ht="14.25" customHeight="1">
      <c r="E249" s="9"/>
      <c r="F249" s="9"/>
    </row>
    <row r="250" ht="14.25" customHeight="1">
      <c r="E250" s="9"/>
      <c r="F250" s="9"/>
    </row>
    <row r="251" ht="14.25" customHeight="1">
      <c r="E251" s="9"/>
      <c r="F251" s="9"/>
    </row>
    <row r="252" ht="14.25" customHeight="1">
      <c r="E252" s="9"/>
      <c r="F252" s="9"/>
    </row>
    <row r="253" ht="14.25" customHeight="1">
      <c r="E253" s="9"/>
      <c r="F253" s="9"/>
    </row>
    <row r="254" ht="14.25" customHeight="1">
      <c r="E254" s="9"/>
      <c r="F254" s="9"/>
    </row>
    <row r="255" ht="14.25" customHeight="1">
      <c r="E255" s="9"/>
      <c r="F255" s="9"/>
    </row>
    <row r="256" ht="14.25" customHeight="1">
      <c r="E256" s="9"/>
      <c r="F256" s="9"/>
    </row>
    <row r="257" ht="14.25" customHeight="1">
      <c r="E257" s="9"/>
      <c r="F257" s="9"/>
    </row>
    <row r="258" ht="14.25" customHeight="1">
      <c r="E258" s="9"/>
      <c r="F258" s="9"/>
    </row>
    <row r="259" ht="14.25" customHeight="1">
      <c r="E259" s="9"/>
      <c r="F259" s="9"/>
    </row>
    <row r="260" ht="14.25" customHeight="1">
      <c r="E260" s="9"/>
      <c r="F260" s="9"/>
    </row>
    <row r="261" ht="14.25" customHeight="1">
      <c r="E261" s="9"/>
      <c r="F261" s="9"/>
    </row>
    <row r="262" ht="14.25" customHeight="1">
      <c r="E262" s="9"/>
      <c r="F262" s="9"/>
    </row>
    <row r="263" ht="14.25" customHeight="1">
      <c r="E263" s="9"/>
      <c r="F263" s="9"/>
    </row>
    <row r="264" ht="14.25" customHeight="1">
      <c r="E264" s="9"/>
      <c r="F264" s="9"/>
    </row>
    <row r="265" ht="14.25" customHeight="1">
      <c r="E265" s="9"/>
      <c r="F265" s="9"/>
    </row>
    <row r="266" ht="14.25" customHeight="1">
      <c r="E266" s="9"/>
      <c r="F266" s="9"/>
    </row>
    <row r="267" ht="14.25" customHeight="1">
      <c r="E267" s="9"/>
      <c r="F267" s="9"/>
    </row>
    <row r="268" ht="14.25" customHeight="1">
      <c r="E268" s="9"/>
      <c r="F268" s="9"/>
    </row>
    <row r="269" ht="14.25" customHeight="1">
      <c r="E269" s="9"/>
      <c r="F269" s="9"/>
    </row>
    <row r="270" ht="14.25" customHeight="1">
      <c r="E270" s="9"/>
      <c r="F270" s="9"/>
    </row>
    <row r="271" ht="14.25" customHeight="1">
      <c r="E271" s="9"/>
      <c r="F271" s="9"/>
    </row>
    <row r="272" ht="14.25" customHeight="1">
      <c r="E272" s="9"/>
      <c r="F272" s="9"/>
    </row>
    <row r="273" ht="14.25" customHeight="1">
      <c r="E273" s="9"/>
      <c r="F273" s="9"/>
    </row>
    <row r="274" ht="14.25" customHeight="1">
      <c r="E274" s="9"/>
      <c r="F274" s="9"/>
    </row>
    <row r="275" ht="14.25" customHeight="1">
      <c r="E275" s="9"/>
      <c r="F275" s="9"/>
    </row>
    <row r="276" ht="14.25" customHeight="1">
      <c r="E276" s="9"/>
      <c r="F276" s="9"/>
    </row>
    <row r="277" ht="14.25" customHeight="1">
      <c r="E277" s="9"/>
      <c r="F277" s="9"/>
    </row>
    <row r="278" ht="14.25" customHeight="1">
      <c r="E278" s="9"/>
      <c r="F278" s="9"/>
    </row>
    <row r="279" ht="14.25" customHeight="1">
      <c r="E279" s="9"/>
      <c r="F279" s="9"/>
    </row>
    <row r="280" ht="14.25" customHeight="1">
      <c r="E280" s="9"/>
      <c r="F280" s="9"/>
    </row>
    <row r="281" ht="14.25" customHeight="1">
      <c r="E281" s="9"/>
      <c r="F281" s="9"/>
    </row>
    <row r="282" ht="14.25" customHeight="1">
      <c r="E282" s="9"/>
      <c r="F282" s="9"/>
    </row>
    <row r="283" ht="14.25" customHeight="1">
      <c r="E283" s="9"/>
      <c r="F283" s="9"/>
    </row>
    <row r="284" ht="14.25" customHeight="1">
      <c r="E284" s="9"/>
      <c r="F284" s="9"/>
    </row>
    <row r="285" ht="14.25" customHeight="1">
      <c r="E285" s="9"/>
      <c r="F285" s="9"/>
    </row>
    <row r="286" ht="14.25" customHeight="1">
      <c r="E286" s="9"/>
      <c r="F286" s="9"/>
    </row>
    <row r="287" ht="14.25" customHeight="1">
      <c r="E287" s="9"/>
      <c r="F287" s="9"/>
    </row>
    <row r="288" ht="14.25" customHeight="1">
      <c r="E288" s="9"/>
      <c r="F288" s="9"/>
    </row>
    <row r="289" ht="14.25" customHeight="1">
      <c r="E289" s="9"/>
      <c r="F289" s="9"/>
    </row>
    <row r="290" ht="14.25" customHeight="1">
      <c r="E290" s="9"/>
      <c r="F290" s="9"/>
    </row>
    <row r="291" ht="14.25" customHeight="1">
      <c r="E291" s="9"/>
      <c r="F291" s="9"/>
    </row>
    <row r="292" ht="14.25" customHeight="1">
      <c r="E292" s="9"/>
      <c r="F292" s="9"/>
    </row>
    <row r="293" ht="14.25" customHeight="1">
      <c r="E293" s="9"/>
      <c r="F293" s="9"/>
    </row>
    <row r="294" ht="14.25" customHeight="1">
      <c r="E294" s="9"/>
      <c r="F294" s="9"/>
    </row>
    <row r="295" ht="14.25" customHeight="1">
      <c r="E295" s="9"/>
      <c r="F295" s="9"/>
    </row>
    <row r="296" ht="14.25" customHeight="1">
      <c r="E296" s="9"/>
      <c r="F296" s="9"/>
    </row>
    <row r="297" ht="14.25" customHeight="1">
      <c r="E297" s="9"/>
      <c r="F297" s="9"/>
    </row>
    <row r="298" ht="14.25" customHeight="1">
      <c r="E298" s="9"/>
      <c r="F298" s="9"/>
    </row>
    <row r="299" ht="14.25" customHeight="1">
      <c r="E299" s="9"/>
      <c r="F299" s="9"/>
    </row>
    <row r="300" ht="14.25" customHeight="1">
      <c r="E300" s="9"/>
      <c r="F300" s="9"/>
    </row>
    <row r="301" ht="14.25" customHeight="1">
      <c r="E301" s="9"/>
      <c r="F301" s="9"/>
    </row>
    <row r="302" ht="14.25" customHeight="1">
      <c r="E302" s="9"/>
      <c r="F302" s="9"/>
    </row>
    <row r="303" ht="14.25" customHeight="1">
      <c r="E303" s="9"/>
      <c r="F303" s="9"/>
    </row>
    <row r="304" ht="14.25" customHeight="1">
      <c r="E304" s="9"/>
      <c r="F304" s="9"/>
    </row>
    <row r="305" ht="14.25" customHeight="1">
      <c r="E305" s="9"/>
      <c r="F305" s="9"/>
    </row>
    <row r="306" ht="14.25" customHeight="1">
      <c r="E306" s="9"/>
      <c r="F306" s="9"/>
    </row>
    <row r="307" ht="14.25" customHeight="1">
      <c r="E307" s="9"/>
      <c r="F307" s="9"/>
    </row>
    <row r="308" ht="14.25" customHeight="1">
      <c r="E308" s="9"/>
      <c r="F308" s="9"/>
    </row>
    <row r="309" ht="14.25" customHeight="1">
      <c r="E309" s="9"/>
      <c r="F309" s="9"/>
    </row>
    <row r="310" ht="14.25" customHeight="1">
      <c r="E310" s="9"/>
      <c r="F310" s="9"/>
    </row>
    <row r="311" ht="14.25" customHeight="1">
      <c r="E311" s="9"/>
      <c r="F311" s="9"/>
    </row>
    <row r="312" ht="14.25" customHeight="1">
      <c r="E312" s="9"/>
      <c r="F312" s="9"/>
    </row>
    <row r="313" ht="14.25" customHeight="1">
      <c r="E313" s="9"/>
      <c r="F313" s="9"/>
    </row>
    <row r="314" ht="14.25" customHeight="1">
      <c r="E314" s="9"/>
      <c r="F314" s="9"/>
    </row>
    <row r="315" ht="14.25" customHeight="1">
      <c r="E315" s="9"/>
      <c r="F315" s="9"/>
    </row>
    <row r="316" ht="14.25" customHeight="1">
      <c r="E316" s="9"/>
      <c r="F316" s="9"/>
    </row>
    <row r="317" ht="14.25" customHeight="1">
      <c r="E317" s="9"/>
      <c r="F317" s="9"/>
    </row>
    <row r="318" ht="14.25" customHeight="1">
      <c r="E318" s="9"/>
      <c r="F318" s="9"/>
    </row>
    <row r="319" ht="14.25" customHeight="1">
      <c r="E319" s="9"/>
      <c r="F319" s="9"/>
    </row>
    <row r="320" ht="14.25" customHeight="1">
      <c r="E320" s="9"/>
      <c r="F320" s="9"/>
    </row>
    <row r="321" ht="14.25" customHeight="1">
      <c r="E321" s="9"/>
      <c r="F321" s="9"/>
    </row>
    <row r="322" ht="14.25" customHeight="1">
      <c r="E322" s="9"/>
      <c r="F322" s="9"/>
    </row>
    <row r="323" ht="14.25" customHeight="1">
      <c r="E323" s="9"/>
      <c r="F323" s="9"/>
    </row>
    <row r="324" ht="14.25" customHeight="1">
      <c r="E324" s="9"/>
      <c r="F324" s="9"/>
    </row>
    <row r="325" ht="14.25" customHeight="1">
      <c r="E325" s="9"/>
      <c r="F325" s="9"/>
    </row>
    <row r="326" ht="14.25" customHeight="1">
      <c r="E326" s="9"/>
      <c r="F326" s="9"/>
    </row>
    <row r="327" ht="14.25" customHeight="1">
      <c r="E327" s="9"/>
      <c r="F327" s="9"/>
    </row>
    <row r="328" ht="14.25" customHeight="1">
      <c r="E328" s="9"/>
      <c r="F328" s="9"/>
    </row>
    <row r="329" ht="14.25" customHeight="1">
      <c r="E329" s="9"/>
      <c r="F329" s="9"/>
    </row>
    <row r="330" ht="14.25" customHeight="1">
      <c r="E330" s="9"/>
      <c r="F330" s="9"/>
    </row>
    <row r="331" ht="14.25" customHeight="1">
      <c r="E331" s="9"/>
      <c r="F331" s="9"/>
    </row>
    <row r="332" ht="14.25" customHeight="1">
      <c r="E332" s="9"/>
      <c r="F332" s="9"/>
    </row>
    <row r="333" ht="14.25" customHeight="1">
      <c r="E333" s="9"/>
      <c r="F333" s="9"/>
    </row>
    <row r="334" ht="14.25" customHeight="1">
      <c r="E334" s="9"/>
      <c r="F334" s="9"/>
    </row>
    <row r="335" ht="14.25" customHeight="1">
      <c r="E335" s="9"/>
      <c r="F335" s="9"/>
    </row>
    <row r="336" ht="14.25" customHeight="1">
      <c r="E336" s="9"/>
      <c r="F336" s="9"/>
    </row>
    <row r="337" ht="14.25" customHeight="1">
      <c r="E337" s="9"/>
      <c r="F337" s="9"/>
    </row>
    <row r="338" ht="14.25" customHeight="1">
      <c r="E338" s="9"/>
      <c r="F338" s="9"/>
    </row>
    <row r="339" ht="14.25" customHeight="1">
      <c r="E339" s="9"/>
      <c r="F339" s="9"/>
    </row>
    <row r="340" ht="14.25" customHeight="1">
      <c r="E340" s="9"/>
      <c r="F340" s="9"/>
    </row>
    <row r="341" ht="14.25" customHeight="1">
      <c r="E341" s="9"/>
      <c r="F341" s="9"/>
    </row>
    <row r="342" ht="14.25" customHeight="1">
      <c r="E342" s="9"/>
      <c r="F342" s="9"/>
    </row>
    <row r="343" ht="14.25" customHeight="1">
      <c r="E343" s="9"/>
      <c r="F343" s="9"/>
    </row>
    <row r="344" ht="14.25" customHeight="1">
      <c r="E344" s="9"/>
      <c r="F344" s="9"/>
    </row>
    <row r="345" ht="14.25" customHeight="1">
      <c r="E345" s="9"/>
      <c r="F345" s="9"/>
    </row>
    <row r="346" ht="14.25" customHeight="1">
      <c r="E346" s="9"/>
      <c r="F346" s="9"/>
    </row>
    <row r="347" ht="14.25" customHeight="1">
      <c r="E347" s="9"/>
      <c r="F347" s="9"/>
    </row>
    <row r="348" ht="14.25" customHeight="1">
      <c r="E348" s="9"/>
      <c r="F348" s="9"/>
    </row>
    <row r="349" ht="14.25" customHeight="1">
      <c r="E349" s="9"/>
      <c r="F349" s="9"/>
    </row>
    <row r="350" ht="14.25" customHeight="1">
      <c r="E350" s="9"/>
      <c r="F350" s="9"/>
    </row>
    <row r="351" ht="14.25" customHeight="1">
      <c r="E351" s="9"/>
      <c r="F351" s="9"/>
    </row>
    <row r="352" ht="14.25" customHeight="1">
      <c r="E352" s="9"/>
      <c r="F352" s="9"/>
    </row>
    <row r="353" ht="14.25" customHeight="1">
      <c r="E353" s="9"/>
      <c r="F353" s="9"/>
    </row>
    <row r="354" ht="14.25" customHeight="1">
      <c r="E354" s="9"/>
      <c r="F354" s="9"/>
    </row>
    <row r="355" ht="14.25" customHeight="1">
      <c r="E355" s="9"/>
      <c r="F355" s="9"/>
    </row>
    <row r="356" ht="14.25" customHeight="1">
      <c r="E356" s="9"/>
      <c r="F356" s="9"/>
    </row>
    <row r="357" ht="14.25" customHeight="1">
      <c r="E357" s="9"/>
      <c r="F357" s="9"/>
    </row>
    <row r="358" ht="14.25" customHeight="1">
      <c r="E358" s="9"/>
      <c r="F358" s="9"/>
    </row>
    <row r="359" ht="14.25" customHeight="1">
      <c r="E359" s="9"/>
      <c r="F359" s="9"/>
    </row>
    <row r="360" ht="14.25" customHeight="1">
      <c r="E360" s="9"/>
      <c r="F360" s="9"/>
    </row>
    <row r="361" ht="14.25" customHeight="1">
      <c r="E361" s="9"/>
      <c r="F361" s="9"/>
    </row>
    <row r="362" ht="14.25" customHeight="1">
      <c r="E362" s="9"/>
      <c r="F362" s="9"/>
    </row>
    <row r="363" ht="14.25" customHeight="1">
      <c r="E363" s="9"/>
      <c r="F363" s="9"/>
    </row>
    <row r="364" ht="14.25" customHeight="1">
      <c r="E364" s="9"/>
      <c r="F364" s="9"/>
    </row>
    <row r="365" ht="14.25" customHeight="1">
      <c r="E365" s="9"/>
      <c r="F365" s="9"/>
    </row>
    <row r="366" ht="14.25" customHeight="1">
      <c r="E366" s="9"/>
      <c r="F366" s="9"/>
    </row>
    <row r="367" ht="14.25" customHeight="1">
      <c r="E367" s="9"/>
      <c r="F367" s="9"/>
    </row>
    <row r="368" ht="14.25" customHeight="1">
      <c r="E368" s="9"/>
      <c r="F368" s="9"/>
    </row>
    <row r="369" ht="14.25" customHeight="1">
      <c r="E369" s="9"/>
      <c r="F369" s="9"/>
    </row>
    <row r="370" ht="14.25" customHeight="1">
      <c r="E370" s="9"/>
      <c r="F370" s="9"/>
    </row>
    <row r="371" ht="14.25" customHeight="1">
      <c r="E371" s="9"/>
      <c r="F371" s="9"/>
    </row>
    <row r="372" ht="14.25" customHeight="1">
      <c r="E372" s="9"/>
      <c r="F372" s="9"/>
    </row>
    <row r="373" ht="14.25" customHeight="1">
      <c r="E373" s="9"/>
      <c r="F373" s="9"/>
    </row>
    <row r="374" ht="14.25" customHeight="1">
      <c r="E374" s="9"/>
      <c r="F374" s="9"/>
    </row>
    <row r="375" ht="14.25" customHeight="1">
      <c r="E375" s="9"/>
      <c r="F375" s="9"/>
    </row>
    <row r="376" ht="14.25" customHeight="1">
      <c r="E376" s="9"/>
      <c r="F376" s="9"/>
    </row>
    <row r="377" ht="14.25" customHeight="1">
      <c r="E377" s="9"/>
      <c r="F377" s="9"/>
    </row>
    <row r="378" ht="14.25" customHeight="1">
      <c r="E378" s="9"/>
      <c r="F378" s="9"/>
    </row>
    <row r="379" ht="14.25" customHeight="1">
      <c r="E379" s="9"/>
      <c r="F379" s="9"/>
    </row>
    <row r="380" ht="14.25" customHeight="1">
      <c r="E380" s="9"/>
      <c r="F380" s="9"/>
    </row>
    <row r="381" ht="14.25" customHeight="1">
      <c r="E381" s="9"/>
      <c r="F381" s="9"/>
    </row>
    <row r="382" ht="14.25" customHeight="1">
      <c r="E382" s="9"/>
      <c r="F382" s="9"/>
    </row>
    <row r="383" ht="14.25" customHeight="1">
      <c r="E383" s="9"/>
      <c r="F383" s="9"/>
    </row>
    <row r="384" ht="14.25" customHeight="1">
      <c r="E384" s="9"/>
      <c r="F384" s="9"/>
    </row>
    <row r="385" ht="14.25" customHeight="1">
      <c r="E385" s="9"/>
      <c r="F385" s="9"/>
    </row>
    <row r="386" ht="14.25" customHeight="1">
      <c r="E386" s="9"/>
      <c r="F386" s="9"/>
    </row>
    <row r="387" ht="14.25" customHeight="1">
      <c r="E387" s="9"/>
      <c r="F387" s="9"/>
    </row>
    <row r="388" ht="14.25" customHeight="1">
      <c r="E388" s="9"/>
      <c r="F388" s="9"/>
    </row>
    <row r="389" ht="14.25" customHeight="1">
      <c r="E389" s="9"/>
      <c r="F389" s="9"/>
    </row>
    <row r="390" ht="14.25" customHeight="1">
      <c r="E390" s="9"/>
      <c r="F390" s="9"/>
    </row>
    <row r="391" ht="14.25" customHeight="1">
      <c r="E391" s="9"/>
      <c r="F391" s="9"/>
    </row>
    <row r="392" ht="14.25" customHeight="1">
      <c r="E392" s="9"/>
      <c r="F392" s="9"/>
    </row>
    <row r="393" ht="14.25" customHeight="1">
      <c r="E393" s="9"/>
      <c r="F393" s="9"/>
    </row>
    <row r="394" ht="14.25" customHeight="1">
      <c r="E394" s="9"/>
      <c r="F394" s="9"/>
    </row>
    <row r="395" ht="14.25" customHeight="1">
      <c r="E395" s="9"/>
      <c r="F395" s="9"/>
    </row>
    <row r="396" ht="14.25" customHeight="1">
      <c r="E396" s="9"/>
      <c r="F396" s="9"/>
    </row>
    <row r="397" ht="14.25" customHeight="1">
      <c r="E397" s="9"/>
      <c r="F397" s="9"/>
    </row>
    <row r="398" ht="14.25" customHeight="1">
      <c r="E398" s="9"/>
      <c r="F398" s="9"/>
    </row>
    <row r="399" ht="14.25" customHeight="1">
      <c r="E399" s="9"/>
      <c r="F399" s="9"/>
    </row>
    <row r="400" ht="14.25" customHeight="1">
      <c r="E400" s="9"/>
      <c r="F400" s="9"/>
    </row>
    <row r="401" ht="14.25" customHeight="1">
      <c r="E401" s="9"/>
      <c r="F401" s="9"/>
    </row>
    <row r="402" ht="14.25" customHeight="1">
      <c r="E402" s="9"/>
      <c r="F402" s="9"/>
    </row>
    <row r="403" ht="14.25" customHeight="1">
      <c r="E403" s="9"/>
      <c r="F403" s="9"/>
    </row>
    <row r="404" ht="14.25" customHeight="1">
      <c r="E404" s="9"/>
      <c r="F404" s="9"/>
    </row>
    <row r="405" ht="14.25" customHeight="1">
      <c r="E405" s="9"/>
      <c r="F405" s="9"/>
    </row>
    <row r="406" ht="14.25" customHeight="1">
      <c r="E406" s="9"/>
      <c r="F406" s="9"/>
    </row>
    <row r="407" ht="14.25" customHeight="1">
      <c r="E407" s="9"/>
      <c r="F407" s="9"/>
    </row>
    <row r="408" ht="14.25" customHeight="1">
      <c r="E408" s="9"/>
      <c r="F408" s="9"/>
    </row>
    <row r="409" ht="14.25" customHeight="1">
      <c r="E409" s="9"/>
      <c r="F409" s="9"/>
    </row>
    <row r="410" ht="14.25" customHeight="1">
      <c r="E410" s="9"/>
      <c r="F410" s="9"/>
    </row>
    <row r="411" ht="14.25" customHeight="1">
      <c r="E411" s="9"/>
      <c r="F411" s="9"/>
    </row>
    <row r="412" ht="14.25" customHeight="1">
      <c r="E412" s="9"/>
      <c r="F412" s="9"/>
    </row>
    <row r="413" ht="14.25" customHeight="1">
      <c r="E413" s="9"/>
      <c r="F413" s="9"/>
    </row>
    <row r="414" ht="14.25" customHeight="1">
      <c r="E414" s="9"/>
      <c r="F414" s="9"/>
    </row>
    <row r="415" ht="14.25" customHeight="1">
      <c r="E415" s="9"/>
      <c r="F415" s="9"/>
    </row>
    <row r="416" ht="14.25" customHeight="1">
      <c r="E416" s="9"/>
      <c r="F416" s="9"/>
    </row>
    <row r="417" ht="14.25" customHeight="1">
      <c r="E417" s="9"/>
      <c r="F417" s="9"/>
    </row>
    <row r="418" ht="14.25" customHeight="1">
      <c r="E418" s="9"/>
      <c r="F418" s="9"/>
    </row>
    <row r="419" ht="14.25" customHeight="1">
      <c r="E419" s="9"/>
      <c r="F419" s="9"/>
    </row>
    <row r="420" ht="14.25" customHeight="1">
      <c r="E420" s="9"/>
      <c r="F420" s="9"/>
    </row>
    <row r="421" ht="14.25" customHeight="1">
      <c r="E421" s="9"/>
      <c r="F421" s="9"/>
    </row>
    <row r="422" ht="14.25" customHeight="1">
      <c r="E422" s="9"/>
      <c r="F422" s="9"/>
    </row>
    <row r="423" ht="14.25" customHeight="1">
      <c r="E423" s="9"/>
      <c r="F423" s="9"/>
    </row>
    <row r="424" ht="14.25" customHeight="1">
      <c r="E424" s="9"/>
      <c r="F424" s="9"/>
    </row>
    <row r="425" ht="14.25" customHeight="1">
      <c r="E425" s="9"/>
      <c r="F425" s="9"/>
    </row>
    <row r="426" ht="14.25" customHeight="1">
      <c r="E426" s="9"/>
      <c r="F426" s="9"/>
    </row>
    <row r="427" ht="14.25" customHeight="1">
      <c r="E427" s="9"/>
      <c r="F427" s="9"/>
    </row>
    <row r="428" ht="14.25" customHeight="1">
      <c r="E428" s="9"/>
      <c r="F428" s="9"/>
    </row>
    <row r="429" ht="14.25" customHeight="1">
      <c r="E429" s="9"/>
      <c r="F429" s="9"/>
    </row>
    <row r="430" ht="14.25" customHeight="1">
      <c r="E430" s="9"/>
      <c r="F430" s="9"/>
    </row>
    <row r="431" ht="14.25" customHeight="1">
      <c r="E431" s="9"/>
      <c r="F431" s="9"/>
    </row>
    <row r="432" ht="14.25" customHeight="1">
      <c r="E432" s="9"/>
      <c r="F432" s="9"/>
    </row>
    <row r="433" ht="14.25" customHeight="1">
      <c r="E433" s="9"/>
      <c r="F433" s="9"/>
    </row>
    <row r="434" ht="14.25" customHeight="1">
      <c r="E434" s="9"/>
      <c r="F434" s="9"/>
    </row>
    <row r="435" ht="14.25" customHeight="1">
      <c r="E435" s="9"/>
      <c r="F435" s="9"/>
    </row>
    <row r="436" ht="14.25" customHeight="1">
      <c r="E436" s="9"/>
      <c r="F436" s="9"/>
    </row>
    <row r="437" ht="14.25" customHeight="1">
      <c r="E437" s="9"/>
      <c r="F437" s="9"/>
    </row>
    <row r="438" ht="14.25" customHeight="1">
      <c r="E438" s="9"/>
      <c r="F438" s="9"/>
    </row>
    <row r="439" ht="14.25" customHeight="1">
      <c r="E439" s="9"/>
      <c r="F439" s="9"/>
    </row>
    <row r="440" ht="14.25" customHeight="1">
      <c r="E440" s="9"/>
      <c r="F440" s="9"/>
    </row>
    <row r="441" ht="14.25" customHeight="1">
      <c r="E441" s="9"/>
      <c r="F441" s="9"/>
    </row>
    <row r="442" ht="14.25" customHeight="1">
      <c r="E442" s="9"/>
      <c r="F442" s="9"/>
    </row>
    <row r="443" ht="14.25" customHeight="1">
      <c r="E443" s="9"/>
      <c r="F443" s="9"/>
    </row>
    <row r="444" ht="14.25" customHeight="1">
      <c r="E444" s="9"/>
      <c r="F444" s="9"/>
    </row>
    <row r="445" ht="14.25" customHeight="1">
      <c r="E445" s="9"/>
      <c r="F445" s="9"/>
    </row>
    <row r="446" ht="14.25" customHeight="1">
      <c r="E446" s="9"/>
      <c r="F446" s="9"/>
    </row>
    <row r="447" ht="14.25" customHeight="1">
      <c r="E447" s="9"/>
      <c r="F447" s="9"/>
    </row>
    <row r="448" ht="14.25" customHeight="1">
      <c r="E448" s="9"/>
      <c r="F448" s="9"/>
    </row>
    <row r="449" ht="14.25" customHeight="1">
      <c r="E449" s="9"/>
      <c r="F449" s="9"/>
    </row>
    <row r="450" ht="14.25" customHeight="1">
      <c r="E450" s="9"/>
      <c r="F450" s="9"/>
    </row>
    <row r="451" ht="14.25" customHeight="1">
      <c r="E451" s="9"/>
      <c r="F451" s="9"/>
    </row>
    <row r="452" ht="14.25" customHeight="1">
      <c r="E452" s="9"/>
      <c r="F452" s="9"/>
    </row>
    <row r="453" ht="14.25" customHeight="1">
      <c r="E453" s="9"/>
      <c r="F453" s="9"/>
    </row>
    <row r="454" ht="14.25" customHeight="1">
      <c r="E454" s="9"/>
      <c r="F454" s="9"/>
    </row>
    <row r="455" ht="14.25" customHeight="1">
      <c r="E455" s="9"/>
      <c r="F455" s="9"/>
    </row>
    <row r="456" ht="14.25" customHeight="1">
      <c r="E456" s="9"/>
      <c r="F456" s="9"/>
    </row>
    <row r="457" ht="14.25" customHeight="1">
      <c r="E457" s="9"/>
      <c r="F457" s="9"/>
    </row>
    <row r="458" ht="14.25" customHeight="1">
      <c r="E458" s="9"/>
      <c r="F458" s="9"/>
    </row>
    <row r="459" ht="14.25" customHeight="1">
      <c r="E459" s="9"/>
      <c r="F459" s="9"/>
    </row>
    <row r="460" ht="14.25" customHeight="1">
      <c r="E460" s="9"/>
      <c r="F460" s="9"/>
    </row>
    <row r="461" ht="14.25" customHeight="1">
      <c r="E461" s="9"/>
      <c r="F461" s="9"/>
    </row>
    <row r="462" ht="14.25" customHeight="1">
      <c r="E462" s="9"/>
      <c r="F462" s="9"/>
    </row>
    <row r="463" ht="14.25" customHeight="1">
      <c r="E463" s="9"/>
      <c r="F463" s="9"/>
    </row>
    <row r="464" ht="14.25" customHeight="1">
      <c r="E464" s="9"/>
      <c r="F464" s="9"/>
    </row>
    <row r="465" ht="14.25" customHeight="1">
      <c r="E465" s="9"/>
      <c r="F465" s="9"/>
    </row>
    <row r="466" ht="14.25" customHeight="1">
      <c r="E466" s="9"/>
      <c r="F466" s="9"/>
    </row>
    <row r="467" ht="14.25" customHeight="1">
      <c r="E467" s="9"/>
      <c r="F467" s="9"/>
    </row>
    <row r="468" ht="14.25" customHeight="1">
      <c r="E468" s="9"/>
      <c r="F468" s="9"/>
    </row>
    <row r="469" ht="14.25" customHeight="1">
      <c r="E469" s="9"/>
      <c r="F469" s="9"/>
    </row>
    <row r="470" ht="14.25" customHeight="1">
      <c r="E470" s="9"/>
      <c r="F470" s="9"/>
    </row>
    <row r="471" ht="14.25" customHeight="1">
      <c r="E471" s="9"/>
      <c r="F471" s="9"/>
    </row>
    <row r="472" ht="14.25" customHeight="1">
      <c r="E472" s="9"/>
      <c r="F472" s="9"/>
    </row>
    <row r="473" ht="14.25" customHeight="1">
      <c r="E473" s="9"/>
      <c r="F473" s="9"/>
    </row>
    <row r="474" ht="14.25" customHeight="1">
      <c r="E474" s="9"/>
      <c r="F474" s="9"/>
    </row>
    <row r="475" ht="14.25" customHeight="1">
      <c r="E475" s="9"/>
      <c r="F475" s="9"/>
    </row>
    <row r="476" ht="14.25" customHeight="1">
      <c r="E476" s="9"/>
      <c r="F476" s="9"/>
    </row>
    <row r="477" ht="14.25" customHeight="1">
      <c r="E477" s="9"/>
      <c r="F477" s="9"/>
    </row>
    <row r="478" ht="14.25" customHeight="1">
      <c r="E478" s="9"/>
      <c r="F478" s="9"/>
    </row>
    <row r="479" ht="14.25" customHeight="1">
      <c r="E479" s="9"/>
      <c r="F479" s="9"/>
    </row>
    <row r="480" ht="14.25" customHeight="1">
      <c r="E480" s="9"/>
      <c r="F480" s="9"/>
    </row>
    <row r="481" ht="14.25" customHeight="1">
      <c r="E481" s="9"/>
      <c r="F481" s="9"/>
    </row>
    <row r="482" ht="14.25" customHeight="1">
      <c r="E482" s="9"/>
      <c r="F482" s="9"/>
    </row>
    <row r="483" ht="14.25" customHeight="1">
      <c r="E483" s="9"/>
      <c r="F483" s="9"/>
    </row>
    <row r="484" ht="14.25" customHeight="1">
      <c r="E484" s="9"/>
      <c r="F484" s="9"/>
    </row>
    <row r="485" ht="14.25" customHeight="1">
      <c r="E485" s="9"/>
      <c r="F485" s="9"/>
    </row>
    <row r="486" ht="14.25" customHeight="1">
      <c r="E486" s="9"/>
      <c r="F486" s="9"/>
    </row>
    <row r="487" ht="14.25" customHeight="1">
      <c r="E487" s="9"/>
      <c r="F487" s="9"/>
    </row>
    <row r="488" ht="14.25" customHeight="1">
      <c r="E488" s="9"/>
      <c r="F488" s="9"/>
    </row>
    <row r="489" ht="14.25" customHeight="1">
      <c r="E489" s="9"/>
      <c r="F489" s="9"/>
    </row>
    <row r="490" ht="14.25" customHeight="1">
      <c r="E490" s="9"/>
      <c r="F490" s="9"/>
    </row>
    <row r="491" ht="14.25" customHeight="1">
      <c r="E491" s="9"/>
      <c r="F491" s="9"/>
    </row>
    <row r="492" ht="14.25" customHeight="1">
      <c r="E492" s="9"/>
      <c r="F492" s="9"/>
    </row>
    <row r="493" ht="14.25" customHeight="1">
      <c r="E493" s="9"/>
      <c r="F493" s="9"/>
    </row>
    <row r="494" ht="14.25" customHeight="1">
      <c r="E494" s="9"/>
      <c r="F494" s="9"/>
    </row>
    <row r="495" ht="14.25" customHeight="1">
      <c r="E495" s="9"/>
      <c r="F495" s="9"/>
    </row>
    <row r="496" ht="14.25" customHeight="1">
      <c r="E496" s="9"/>
      <c r="F496" s="9"/>
    </row>
    <row r="497" ht="14.25" customHeight="1">
      <c r="E497" s="9"/>
      <c r="F497" s="9"/>
    </row>
    <row r="498" ht="14.25" customHeight="1">
      <c r="E498" s="9"/>
      <c r="F498" s="9"/>
    </row>
    <row r="499" ht="14.25" customHeight="1">
      <c r="E499" s="9"/>
      <c r="F499" s="9"/>
    </row>
    <row r="500" ht="14.25" customHeight="1">
      <c r="E500" s="9"/>
      <c r="F500" s="9"/>
    </row>
    <row r="501" ht="14.25" customHeight="1">
      <c r="E501" s="9"/>
      <c r="F501" s="9"/>
    </row>
    <row r="502" ht="14.25" customHeight="1">
      <c r="E502" s="9"/>
      <c r="F502" s="9"/>
    </row>
    <row r="503" ht="14.25" customHeight="1">
      <c r="E503" s="9"/>
      <c r="F503" s="9"/>
    </row>
    <row r="504" ht="14.25" customHeight="1">
      <c r="E504" s="9"/>
      <c r="F504" s="9"/>
    </row>
    <row r="505" ht="14.25" customHeight="1">
      <c r="E505" s="9"/>
      <c r="F505" s="9"/>
    </row>
    <row r="506" ht="14.25" customHeight="1">
      <c r="E506" s="9"/>
      <c r="F506" s="9"/>
    </row>
    <row r="507" ht="14.25" customHeight="1">
      <c r="E507" s="9"/>
      <c r="F507" s="9"/>
    </row>
    <row r="508" ht="14.25" customHeight="1">
      <c r="E508" s="9"/>
      <c r="F508" s="9"/>
    </row>
    <row r="509" ht="14.25" customHeight="1">
      <c r="E509" s="9"/>
      <c r="F509" s="9"/>
    </row>
    <row r="510" ht="14.25" customHeight="1">
      <c r="E510" s="9"/>
      <c r="F510" s="9"/>
    </row>
    <row r="511" ht="14.25" customHeight="1">
      <c r="E511" s="9"/>
      <c r="F511" s="9"/>
    </row>
    <row r="512" ht="14.25" customHeight="1">
      <c r="E512" s="9"/>
      <c r="F512" s="9"/>
    </row>
    <row r="513" ht="14.25" customHeight="1">
      <c r="E513" s="9"/>
      <c r="F513" s="9"/>
    </row>
    <row r="514" ht="14.25" customHeight="1">
      <c r="E514" s="9"/>
      <c r="F514" s="9"/>
    </row>
    <row r="515" ht="14.25" customHeight="1">
      <c r="E515" s="9"/>
      <c r="F515" s="9"/>
    </row>
    <row r="516" ht="14.25" customHeight="1">
      <c r="E516" s="9"/>
      <c r="F516" s="9"/>
    </row>
    <row r="517" ht="14.25" customHeight="1">
      <c r="E517" s="9"/>
      <c r="F517" s="9"/>
    </row>
    <row r="518" ht="14.25" customHeight="1">
      <c r="E518" s="9"/>
      <c r="F518" s="9"/>
    </row>
    <row r="519" ht="14.25" customHeight="1">
      <c r="E519" s="9"/>
      <c r="F519" s="9"/>
    </row>
    <row r="520" ht="14.25" customHeight="1">
      <c r="E520" s="9"/>
      <c r="F520" s="9"/>
    </row>
    <row r="521" ht="14.25" customHeight="1">
      <c r="E521" s="9"/>
      <c r="F521" s="9"/>
    </row>
    <row r="522" ht="14.25" customHeight="1">
      <c r="E522" s="9"/>
      <c r="F522" s="9"/>
    </row>
    <row r="523" ht="14.25" customHeight="1">
      <c r="E523" s="9"/>
      <c r="F523" s="9"/>
    </row>
    <row r="524" ht="14.25" customHeight="1">
      <c r="E524" s="9"/>
      <c r="F524" s="9"/>
    </row>
    <row r="525" ht="14.25" customHeight="1">
      <c r="E525" s="9"/>
      <c r="F525" s="9"/>
    </row>
    <row r="526" ht="14.25" customHeight="1">
      <c r="E526" s="9"/>
      <c r="F526" s="9"/>
    </row>
    <row r="527" ht="14.25" customHeight="1">
      <c r="E527" s="9"/>
      <c r="F527" s="9"/>
    </row>
    <row r="528" ht="14.25" customHeight="1">
      <c r="E528" s="9"/>
      <c r="F528" s="9"/>
    </row>
    <row r="529" ht="14.25" customHeight="1">
      <c r="E529" s="9"/>
      <c r="F529" s="9"/>
    </row>
    <row r="530" ht="14.25" customHeight="1">
      <c r="E530" s="9"/>
      <c r="F530" s="9"/>
    </row>
    <row r="531" ht="14.25" customHeight="1">
      <c r="E531" s="9"/>
      <c r="F531" s="9"/>
    </row>
    <row r="532" ht="14.25" customHeight="1">
      <c r="E532" s="9"/>
      <c r="F532" s="9"/>
    </row>
    <row r="533" ht="14.25" customHeight="1">
      <c r="E533" s="9"/>
      <c r="F533" s="9"/>
    </row>
    <row r="534" ht="14.25" customHeight="1">
      <c r="E534" s="9"/>
      <c r="F534" s="9"/>
    </row>
    <row r="535" ht="14.25" customHeight="1">
      <c r="E535" s="9"/>
      <c r="F535" s="9"/>
    </row>
    <row r="536" ht="14.25" customHeight="1">
      <c r="E536" s="9"/>
      <c r="F536" s="9"/>
    </row>
    <row r="537" ht="14.25" customHeight="1">
      <c r="E537" s="9"/>
      <c r="F537" s="9"/>
    </row>
    <row r="538" ht="14.25" customHeight="1">
      <c r="E538" s="9"/>
      <c r="F538" s="9"/>
    </row>
    <row r="539" ht="14.25" customHeight="1">
      <c r="E539" s="9"/>
      <c r="F539" s="9"/>
    </row>
    <row r="540" ht="14.25" customHeight="1">
      <c r="E540" s="9"/>
      <c r="F540" s="9"/>
    </row>
    <row r="541" ht="14.25" customHeight="1">
      <c r="E541" s="9"/>
      <c r="F541" s="9"/>
    </row>
    <row r="542" ht="14.25" customHeight="1">
      <c r="E542" s="9"/>
      <c r="F542" s="9"/>
    </row>
    <row r="543" ht="14.25" customHeight="1">
      <c r="E543" s="9"/>
      <c r="F543" s="9"/>
    </row>
    <row r="544" ht="14.25" customHeight="1">
      <c r="E544" s="9"/>
      <c r="F544" s="9"/>
    </row>
    <row r="545" ht="14.25" customHeight="1">
      <c r="E545" s="9"/>
      <c r="F545" s="9"/>
    </row>
    <row r="546" ht="14.25" customHeight="1">
      <c r="E546" s="9"/>
      <c r="F546" s="9"/>
    </row>
    <row r="547" ht="14.25" customHeight="1">
      <c r="E547" s="9"/>
      <c r="F547" s="9"/>
    </row>
    <row r="548" ht="14.25" customHeight="1">
      <c r="E548" s="9"/>
      <c r="F548" s="9"/>
    </row>
    <row r="549" ht="14.25" customHeight="1">
      <c r="E549" s="9"/>
      <c r="F549" s="9"/>
    </row>
    <row r="550" ht="14.25" customHeight="1">
      <c r="E550" s="9"/>
      <c r="F550" s="9"/>
    </row>
    <row r="551" ht="14.25" customHeight="1">
      <c r="E551" s="9"/>
      <c r="F551" s="9"/>
    </row>
    <row r="552" ht="14.25" customHeight="1">
      <c r="E552" s="9"/>
      <c r="F552" s="9"/>
    </row>
    <row r="553" ht="14.25" customHeight="1">
      <c r="E553" s="9"/>
      <c r="F553" s="9"/>
    </row>
    <row r="554" ht="14.25" customHeight="1">
      <c r="E554" s="9"/>
      <c r="F554" s="9"/>
    </row>
    <row r="555" ht="14.25" customHeight="1">
      <c r="E555" s="9"/>
      <c r="F555" s="9"/>
    </row>
    <row r="556" ht="14.25" customHeight="1">
      <c r="E556" s="9"/>
      <c r="F556" s="9"/>
    </row>
    <row r="557" ht="14.25" customHeight="1">
      <c r="E557" s="9"/>
      <c r="F557" s="9"/>
    </row>
    <row r="558" ht="14.25" customHeight="1">
      <c r="E558" s="9"/>
      <c r="F558" s="9"/>
    </row>
    <row r="559" ht="14.25" customHeight="1">
      <c r="E559" s="9"/>
      <c r="F559" s="9"/>
    </row>
    <row r="560" ht="14.25" customHeight="1">
      <c r="E560" s="9"/>
      <c r="F560" s="9"/>
    </row>
    <row r="561" ht="14.25" customHeight="1">
      <c r="E561" s="9"/>
      <c r="F561" s="9"/>
    </row>
    <row r="562" ht="14.25" customHeight="1">
      <c r="E562" s="9"/>
      <c r="F562" s="9"/>
    </row>
    <row r="563" ht="14.25" customHeight="1">
      <c r="E563" s="9"/>
      <c r="F563" s="9"/>
    </row>
    <row r="564" ht="14.25" customHeight="1">
      <c r="E564" s="9"/>
      <c r="F564" s="9"/>
    </row>
    <row r="565" ht="14.25" customHeight="1">
      <c r="E565" s="9"/>
      <c r="F565" s="9"/>
    </row>
    <row r="566" ht="14.25" customHeight="1">
      <c r="E566" s="9"/>
      <c r="F566" s="9"/>
    </row>
    <row r="567" ht="14.25" customHeight="1">
      <c r="E567" s="9"/>
      <c r="F567" s="9"/>
    </row>
    <row r="568" ht="14.25" customHeight="1">
      <c r="E568" s="9"/>
      <c r="F568" s="9"/>
    </row>
    <row r="569" ht="14.25" customHeight="1">
      <c r="E569" s="9"/>
      <c r="F569" s="9"/>
    </row>
    <row r="570" ht="14.25" customHeight="1">
      <c r="E570" s="9"/>
      <c r="F570" s="9"/>
    </row>
    <row r="571" ht="14.25" customHeight="1">
      <c r="E571" s="9"/>
      <c r="F571" s="9"/>
    </row>
    <row r="572" ht="14.25" customHeight="1">
      <c r="E572" s="9"/>
      <c r="F572" s="9"/>
    </row>
    <row r="573" ht="14.25" customHeight="1">
      <c r="E573" s="9"/>
      <c r="F573" s="9"/>
    </row>
    <row r="574" ht="14.25" customHeight="1">
      <c r="E574" s="9"/>
      <c r="F574" s="9"/>
    </row>
    <row r="575" ht="14.25" customHeight="1">
      <c r="E575" s="9"/>
      <c r="F575" s="9"/>
    </row>
    <row r="576" ht="14.25" customHeight="1">
      <c r="E576" s="9"/>
      <c r="F576" s="9"/>
    </row>
    <row r="577" ht="14.25" customHeight="1">
      <c r="E577" s="9"/>
      <c r="F577" s="9"/>
    </row>
    <row r="578" ht="14.25" customHeight="1">
      <c r="E578" s="9"/>
      <c r="F578" s="9"/>
    </row>
    <row r="579" ht="14.25" customHeight="1">
      <c r="E579" s="9"/>
      <c r="F579" s="9"/>
    </row>
    <row r="580" ht="14.25" customHeight="1">
      <c r="E580" s="9"/>
      <c r="F580" s="9"/>
    </row>
    <row r="581" ht="14.25" customHeight="1">
      <c r="E581" s="9"/>
      <c r="F581" s="9"/>
    </row>
    <row r="582" ht="14.25" customHeight="1">
      <c r="E582" s="9"/>
      <c r="F582" s="9"/>
    </row>
    <row r="583" ht="14.25" customHeight="1">
      <c r="E583" s="9"/>
      <c r="F583" s="9"/>
    </row>
    <row r="584" ht="14.25" customHeight="1">
      <c r="E584" s="9"/>
      <c r="F584" s="9"/>
    </row>
    <row r="585" ht="14.25" customHeight="1">
      <c r="E585" s="9"/>
      <c r="F585" s="9"/>
    </row>
    <row r="586" ht="14.25" customHeight="1">
      <c r="E586" s="9"/>
      <c r="F586" s="9"/>
    </row>
    <row r="587" ht="14.25" customHeight="1">
      <c r="E587" s="9"/>
      <c r="F587" s="9"/>
    </row>
    <row r="588" ht="14.25" customHeight="1">
      <c r="E588" s="9"/>
      <c r="F588" s="9"/>
    </row>
    <row r="589" ht="14.25" customHeight="1">
      <c r="E589" s="9"/>
      <c r="F589" s="9"/>
    </row>
    <row r="590" ht="14.25" customHeight="1">
      <c r="E590" s="9"/>
      <c r="F590" s="9"/>
    </row>
    <row r="591" ht="14.25" customHeight="1">
      <c r="E591" s="9"/>
      <c r="F591" s="9"/>
    </row>
    <row r="592" ht="14.25" customHeight="1">
      <c r="E592" s="9"/>
      <c r="F592" s="9"/>
    </row>
    <row r="593" ht="14.25" customHeight="1">
      <c r="E593" s="9"/>
      <c r="F593" s="9"/>
    </row>
    <row r="594" ht="14.25" customHeight="1">
      <c r="E594" s="9"/>
      <c r="F594" s="9"/>
    </row>
    <row r="595" ht="14.25" customHeight="1">
      <c r="E595" s="9"/>
      <c r="F595" s="9"/>
    </row>
    <row r="596" ht="14.25" customHeight="1">
      <c r="E596" s="9"/>
      <c r="F596" s="9"/>
    </row>
    <row r="597" ht="14.25" customHeight="1">
      <c r="E597" s="9"/>
      <c r="F597" s="9"/>
    </row>
    <row r="598" ht="14.25" customHeight="1">
      <c r="E598" s="9"/>
      <c r="F598" s="9"/>
    </row>
    <row r="599" ht="14.25" customHeight="1">
      <c r="E599" s="9"/>
      <c r="F599" s="9"/>
    </row>
    <row r="600" ht="14.25" customHeight="1">
      <c r="E600" s="9"/>
      <c r="F600" s="9"/>
    </row>
    <row r="601" ht="14.25" customHeight="1">
      <c r="E601" s="9"/>
      <c r="F601" s="9"/>
    </row>
    <row r="602" ht="14.25" customHeight="1">
      <c r="E602" s="9"/>
      <c r="F602" s="9"/>
    </row>
    <row r="603" ht="14.25" customHeight="1">
      <c r="E603" s="9"/>
      <c r="F603" s="9"/>
    </row>
    <row r="604" ht="14.25" customHeight="1">
      <c r="E604" s="9"/>
      <c r="F604" s="9"/>
    </row>
    <row r="605" ht="14.25" customHeight="1">
      <c r="E605" s="9"/>
      <c r="F605" s="9"/>
    </row>
    <row r="606" ht="14.25" customHeight="1">
      <c r="E606" s="9"/>
      <c r="F606" s="9"/>
    </row>
    <row r="607" ht="14.25" customHeight="1">
      <c r="E607" s="9"/>
      <c r="F607" s="9"/>
    </row>
    <row r="608" ht="14.25" customHeight="1">
      <c r="E608" s="9"/>
      <c r="F608" s="9"/>
    </row>
    <row r="609" ht="14.25" customHeight="1">
      <c r="E609" s="9"/>
      <c r="F609" s="9"/>
    </row>
    <row r="610" ht="14.25" customHeight="1">
      <c r="E610" s="9"/>
      <c r="F610" s="9"/>
    </row>
    <row r="611" ht="14.25" customHeight="1">
      <c r="E611" s="9"/>
      <c r="F611" s="9"/>
    </row>
    <row r="612" ht="14.25" customHeight="1">
      <c r="E612" s="9"/>
      <c r="F612" s="9"/>
    </row>
    <row r="613" ht="14.25" customHeight="1">
      <c r="E613" s="9"/>
      <c r="F613" s="9"/>
    </row>
    <row r="614" ht="14.25" customHeight="1">
      <c r="E614" s="9"/>
      <c r="F614" s="9"/>
    </row>
    <row r="615" ht="14.25" customHeight="1">
      <c r="E615" s="9"/>
      <c r="F615" s="9"/>
    </row>
    <row r="616" ht="14.25" customHeight="1">
      <c r="E616" s="9"/>
      <c r="F616" s="9"/>
    </row>
    <row r="617" ht="14.25" customHeight="1">
      <c r="E617" s="9"/>
      <c r="F617" s="9"/>
    </row>
    <row r="618" ht="14.25" customHeight="1">
      <c r="E618" s="9"/>
      <c r="F618" s="9"/>
    </row>
    <row r="619" ht="14.25" customHeight="1">
      <c r="E619" s="9"/>
      <c r="F619" s="9"/>
    </row>
    <row r="620" ht="14.25" customHeight="1">
      <c r="E620" s="9"/>
      <c r="F620" s="9"/>
    </row>
    <row r="621" ht="14.25" customHeight="1">
      <c r="E621" s="9"/>
      <c r="F621" s="9"/>
    </row>
    <row r="622" ht="14.25" customHeight="1">
      <c r="E622" s="9"/>
      <c r="F622" s="9"/>
    </row>
    <row r="623" ht="14.25" customHeight="1">
      <c r="E623" s="9"/>
      <c r="F623" s="9"/>
    </row>
    <row r="624" ht="14.25" customHeight="1">
      <c r="E624" s="9"/>
      <c r="F624" s="9"/>
    </row>
    <row r="625" ht="14.25" customHeight="1">
      <c r="E625" s="9"/>
      <c r="F625" s="9"/>
    </row>
    <row r="626" ht="14.25" customHeight="1">
      <c r="E626" s="9"/>
      <c r="F626" s="9"/>
    </row>
    <row r="627" ht="14.25" customHeight="1">
      <c r="E627" s="9"/>
      <c r="F627" s="9"/>
    </row>
    <row r="628" ht="14.25" customHeight="1">
      <c r="E628" s="9"/>
      <c r="F628" s="9"/>
    </row>
    <row r="629" ht="14.25" customHeight="1">
      <c r="E629" s="9"/>
      <c r="F629" s="9"/>
    </row>
    <row r="630" ht="14.25" customHeight="1">
      <c r="E630" s="9"/>
      <c r="F630" s="9"/>
    </row>
    <row r="631" ht="14.25" customHeight="1">
      <c r="E631" s="9"/>
      <c r="F631" s="9"/>
    </row>
    <row r="632" ht="14.25" customHeight="1">
      <c r="E632" s="9"/>
      <c r="F632" s="9"/>
    </row>
    <row r="633" ht="14.25" customHeight="1">
      <c r="E633" s="9"/>
      <c r="F633" s="9"/>
    </row>
    <row r="634" ht="14.25" customHeight="1">
      <c r="E634" s="9"/>
      <c r="F634" s="9"/>
    </row>
    <row r="635" ht="14.25" customHeight="1">
      <c r="E635" s="9"/>
      <c r="F635" s="9"/>
    </row>
    <row r="636" ht="14.25" customHeight="1">
      <c r="E636" s="9"/>
      <c r="F636" s="9"/>
    </row>
    <row r="637" ht="14.25" customHeight="1">
      <c r="E637" s="9"/>
      <c r="F637" s="9"/>
    </row>
    <row r="638" ht="14.25" customHeight="1">
      <c r="E638" s="9"/>
      <c r="F638" s="9"/>
    </row>
    <row r="639" ht="14.25" customHeight="1">
      <c r="E639" s="9"/>
      <c r="F639" s="9"/>
    </row>
    <row r="640" ht="14.25" customHeight="1">
      <c r="E640" s="9"/>
      <c r="F640" s="9"/>
    </row>
    <row r="641" ht="14.25" customHeight="1">
      <c r="E641" s="9"/>
      <c r="F641" s="9"/>
    </row>
    <row r="642" ht="14.25" customHeight="1">
      <c r="E642" s="9"/>
      <c r="F642" s="9"/>
    </row>
    <row r="643" ht="14.25" customHeight="1">
      <c r="E643" s="9"/>
      <c r="F643" s="9"/>
    </row>
    <row r="644" ht="14.25" customHeight="1">
      <c r="E644" s="9"/>
      <c r="F644" s="9"/>
    </row>
    <row r="645" ht="14.25" customHeight="1">
      <c r="E645" s="9"/>
      <c r="F645" s="9"/>
    </row>
    <row r="646" ht="14.25" customHeight="1">
      <c r="E646" s="9"/>
      <c r="F646" s="9"/>
    </row>
    <row r="647" ht="14.25" customHeight="1">
      <c r="E647" s="9"/>
      <c r="F647" s="9"/>
    </row>
    <row r="648" ht="14.25" customHeight="1">
      <c r="E648" s="9"/>
      <c r="F648" s="9"/>
    </row>
    <row r="649" ht="14.25" customHeight="1">
      <c r="E649" s="9"/>
      <c r="F649" s="9"/>
    </row>
    <row r="650" ht="14.25" customHeight="1">
      <c r="E650" s="9"/>
      <c r="F650" s="9"/>
    </row>
    <row r="651" ht="14.25" customHeight="1">
      <c r="E651" s="9"/>
      <c r="F651" s="9"/>
    </row>
    <row r="652" ht="14.25" customHeight="1">
      <c r="E652" s="9"/>
      <c r="F652" s="9"/>
    </row>
    <row r="653" ht="14.25" customHeight="1">
      <c r="E653" s="9"/>
      <c r="F653" s="9"/>
    </row>
    <row r="654" ht="14.25" customHeight="1">
      <c r="E654" s="9"/>
      <c r="F654" s="9"/>
    </row>
    <row r="655" ht="14.25" customHeight="1">
      <c r="E655" s="9"/>
      <c r="F655" s="9"/>
    </row>
    <row r="656" ht="14.25" customHeight="1">
      <c r="E656" s="9"/>
      <c r="F656" s="9"/>
    </row>
    <row r="657" ht="14.25" customHeight="1">
      <c r="E657" s="9"/>
      <c r="F657" s="9"/>
    </row>
    <row r="658" ht="14.25" customHeight="1">
      <c r="E658" s="9"/>
      <c r="F658" s="9"/>
    </row>
    <row r="659" ht="14.25" customHeight="1">
      <c r="E659" s="9"/>
      <c r="F659" s="9"/>
    </row>
    <row r="660" ht="14.25" customHeight="1">
      <c r="E660" s="9"/>
      <c r="F660" s="9"/>
    </row>
    <row r="661" ht="14.25" customHeight="1">
      <c r="E661" s="9"/>
      <c r="F661" s="9"/>
    </row>
    <row r="662" ht="14.25" customHeight="1">
      <c r="E662" s="9"/>
      <c r="F662" s="9"/>
    </row>
    <row r="663" ht="14.25" customHeight="1">
      <c r="E663" s="9"/>
      <c r="F663" s="9"/>
    </row>
    <row r="664" ht="14.25" customHeight="1">
      <c r="E664" s="9"/>
      <c r="F664" s="9"/>
    </row>
    <row r="665" ht="14.25" customHeight="1">
      <c r="E665" s="9"/>
      <c r="F665" s="9"/>
    </row>
    <row r="666" ht="14.25" customHeight="1">
      <c r="E666" s="9"/>
      <c r="F666" s="9"/>
    </row>
    <row r="667" ht="14.25" customHeight="1">
      <c r="E667" s="9"/>
      <c r="F667" s="9"/>
    </row>
    <row r="668" ht="14.25" customHeight="1">
      <c r="E668" s="9"/>
      <c r="F668" s="9"/>
    </row>
    <row r="669" ht="14.25" customHeight="1">
      <c r="E669" s="9"/>
      <c r="F669" s="9"/>
    </row>
    <row r="670" ht="14.25" customHeight="1">
      <c r="E670" s="9"/>
      <c r="F670" s="9"/>
    </row>
    <row r="671" ht="14.25" customHeight="1">
      <c r="E671" s="9"/>
      <c r="F671" s="9"/>
    </row>
    <row r="672" ht="14.25" customHeight="1">
      <c r="E672" s="9"/>
      <c r="F672" s="9"/>
    </row>
    <row r="673" ht="14.25" customHeight="1">
      <c r="E673" s="9"/>
      <c r="F673" s="9"/>
    </row>
    <row r="674" ht="14.25" customHeight="1">
      <c r="E674" s="9"/>
      <c r="F674" s="9"/>
    </row>
    <row r="675" ht="14.25" customHeight="1">
      <c r="E675" s="9"/>
      <c r="F675" s="9"/>
    </row>
    <row r="676" ht="14.25" customHeight="1">
      <c r="E676" s="9"/>
      <c r="F676" s="9"/>
    </row>
    <row r="677" ht="14.25" customHeight="1">
      <c r="E677" s="9"/>
      <c r="F677" s="9"/>
    </row>
    <row r="678" ht="14.25" customHeight="1">
      <c r="E678" s="9"/>
      <c r="F678" s="9"/>
    </row>
    <row r="679" ht="14.25" customHeight="1">
      <c r="E679" s="9"/>
      <c r="F679" s="9"/>
    </row>
    <row r="680" ht="14.25" customHeight="1">
      <c r="E680" s="9"/>
      <c r="F680" s="9"/>
    </row>
    <row r="681" ht="14.25" customHeight="1">
      <c r="E681" s="9"/>
      <c r="F681" s="9"/>
    </row>
    <row r="682" ht="14.25" customHeight="1">
      <c r="E682" s="9"/>
      <c r="F682" s="9"/>
    </row>
    <row r="683" ht="14.25" customHeight="1">
      <c r="E683" s="9"/>
      <c r="F683" s="9"/>
    </row>
    <row r="684" ht="14.25" customHeight="1">
      <c r="E684" s="9"/>
      <c r="F684" s="9"/>
    </row>
    <row r="685" ht="14.25" customHeight="1">
      <c r="E685" s="9"/>
      <c r="F685" s="9"/>
    </row>
    <row r="686" ht="14.25" customHeight="1">
      <c r="E686" s="9"/>
      <c r="F686" s="9"/>
    </row>
    <row r="687" ht="14.25" customHeight="1">
      <c r="E687" s="9"/>
      <c r="F687" s="9"/>
    </row>
    <row r="688" ht="14.25" customHeight="1">
      <c r="E688" s="9"/>
      <c r="F688" s="9"/>
    </row>
    <row r="689" ht="14.25" customHeight="1">
      <c r="E689" s="9"/>
      <c r="F689" s="9"/>
    </row>
    <row r="690" ht="14.25" customHeight="1">
      <c r="E690" s="9"/>
      <c r="F690" s="9"/>
    </row>
    <row r="691" ht="14.25" customHeight="1">
      <c r="E691" s="9"/>
      <c r="F691" s="9"/>
    </row>
    <row r="692" ht="14.25" customHeight="1">
      <c r="E692" s="9"/>
      <c r="F692" s="9"/>
    </row>
    <row r="693" ht="14.25" customHeight="1">
      <c r="E693" s="9"/>
      <c r="F693" s="9"/>
    </row>
    <row r="694" ht="14.25" customHeight="1">
      <c r="E694" s="9"/>
      <c r="F694" s="9"/>
    </row>
    <row r="695" ht="14.25" customHeight="1">
      <c r="E695" s="9"/>
      <c r="F695" s="9"/>
    </row>
    <row r="696" ht="14.25" customHeight="1">
      <c r="E696" s="9"/>
      <c r="F696" s="9"/>
    </row>
    <row r="697" ht="14.25" customHeight="1">
      <c r="E697" s="9"/>
      <c r="F697" s="9"/>
    </row>
    <row r="698" ht="14.25" customHeight="1">
      <c r="E698" s="9"/>
      <c r="F698" s="9"/>
    </row>
    <row r="699" ht="14.25" customHeight="1">
      <c r="E699" s="9"/>
      <c r="F699" s="9"/>
    </row>
    <row r="700" ht="14.25" customHeight="1">
      <c r="E700" s="9"/>
      <c r="F700" s="9"/>
    </row>
    <row r="701" ht="14.25" customHeight="1">
      <c r="E701" s="9"/>
      <c r="F701" s="9"/>
    </row>
    <row r="702" ht="14.25" customHeight="1">
      <c r="E702" s="9"/>
      <c r="F702" s="9"/>
    </row>
    <row r="703" ht="14.25" customHeight="1">
      <c r="E703" s="9"/>
      <c r="F703" s="9"/>
    </row>
    <row r="704" ht="14.25" customHeight="1">
      <c r="E704" s="9"/>
      <c r="F704" s="9"/>
    </row>
    <row r="705" ht="14.25" customHeight="1">
      <c r="E705" s="9"/>
      <c r="F705" s="9"/>
    </row>
    <row r="706" ht="14.25" customHeight="1">
      <c r="E706" s="9"/>
      <c r="F706" s="9"/>
    </row>
    <row r="707" ht="14.25" customHeight="1">
      <c r="E707" s="9"/>
      <c r="F707" s="9"/>
    </row>
    <row r="708" ht="14.25" customHeight="1">
      <c r="E708" s="9"/>
      <c r="F708" s="9"/>
    </row>
    <row r="709" ht="14.25" customHeight="1">
      <c r="E709" s="9"/>
      <c r="F709" s="9"/>
    </row>
    <row r="710" ht="14.25" customHeight="1">
      <c r="E710" s="9"/>
      <c r="F710" s="9"/>
    </row>
    <row r="711" ht="14.25" customHeight="1">
      <c r="E711" s="9"/>
      <c r="F711" s="9"/>
    </row>
    <row r="712" ht="14.25" customHeight="1">
      <c r="E712" s="9"/>
      <c r="F712" s="9"/>
    </row>
    <row r="713" ht="14.25" customHeight="1">
      <c r="E713" s="9"/>
      <c r="F713" s="9"/>
    </row>
    <row r="714" ht="14.25" customHeight="1">
      <c r="E714" s="9"/>
      <c r="F714" s="9"/>
    </row>
    <row r="715" ht="14.25" customHeight="1">
      <c r="E715" s="9"/>
      <c r="F715" s="9"/>
    </row>
    <row r="716" ht="14.25" customHeight="1">
      <c r="E716" s="9"/>
      <c r="F716" s="9"/>
    </row>
    <row r="717" ht="14.25" customHeight="1">
      <c r="E717" s="9"/>
      <c r="F717" s="9"/>
    </row>
    <row r="718" ht="14.25" customHeight="1">
      <c r="E718" s="9"/>
      <c r="F718" s="9"/>
    </row>
    <row r="719" ht="14.25" customHeight="1">
      <c r="E719" s="9"/>
      <c r="F719" s="9"/>
    </row>
    <row r="720" ht="14.25" customHeight="1">
      <c r="E720" s="9"/>
      <c r="F720" s="9"/>
    </row>
    <row r="721" ht="14.25" customHeight="1">
      <c r="E721" s="9"/>
      <c r="F721" s="9"/>
    </row>
    <row r="722" ht="14.25" customHeight="1">
      <c r="E722" s="9"/>
      <c r="F722" s="9"/>
    </row>
    <row r="723" ht="14.25" customHeight="1">
      <c r="E723" s="9"/>
      <c r="F723" s="9"/>
    </row>
    <row r="724" ht="14.25" customHeight="1">
      <c r="E724" s="9"/>
      <c r="F724" s="9"/>
    </row>
    <row r="725" ht="14.25" customHeight="1">
      <c r="E725" s="9"/>
      <c r="F725" s="9"/>
    </row>
    <row r="726" ht="14.25" customHeight="1">
      <c r="E726" s="9"/>
      <c r="F726" s="9"/>
    </row>
    <row r="727" ht="14.25" customHeight="1">
      <c r="E727" s="9"/>
      <c r="F727" s="9"/>
    </row>
    <row r="728" ht="14.25" customHeight="1">
      <c r="E728" s="9"/>
      <c r="F728" s="9"/>
    </row>
    <row r="729" ht="14.25" customHeight="1">
      <c r="E729" s="9"/>
      <c r="F729" s="9"/>
    </row>
    <row r="730" ht="14.25" customHeight="1">
      <c r="E730" s="9"/>
      <c r="F730" s="9"/>
    </row>
    <row r="731" ht="14.25" customHeight="1">
      <c r="E731" s="9"/>
      <c r="F731" s="9"/>
    </row>
    <row r="732" ht="14.25" customHeight="1">
      <c r="E732" s="9"/>
      <c r="F732" s="9"/>
    </row>
    <row r="733" ht="14.25" customHeight="1">
      <c r="E733" s="9"/>
      <c r="F733" s="9"/>
    </row>
    <row r="734" ht="14.25" customHeight="1">
      <c r="E734" s="9"/>
      <c r="F734" s="9"/>
    </row>
    <row r="735" ht="14.25" customHeight="1">
      <c r="E735" s="9"/>
      <c r="F735" s="9"/>
    </row>
    <row r="736" ht="14.25" customHeight="1">
      <c r="E736" s="9"/>
      <c r="F736" s="9"/>
    </row>
    <row r="737" ht="14.25" customHeight="1">
      <c r="E737" s="9"/>
      <c r="F737" s="9"/>
    </row>
    <row r="738" ht="14.25" customHeight="1">
      <c r="E738" s="9"/>
      <c r="F738" s="9"/>
    </row>
    <row r="739" ht="14.25" customHeight="1">
      <c r="E739" s="9"/>
      <c r="F739" s="9"/>
    </row>
    <row r="740" ht="14.25" customHeight="1">
      <c r="E740" s="9"/>
      <c r="F740" s="9"/>
    </row>
    <row r="741" ht="14.25" customHeight="1">
      <c r="E741" s="9"/>
      <c r="F741" s="9"/>
    </row>
    <row r="742" ht="14.25" customHeight="1">
      <c r="E742" s="9"/>
      <c r="F742" s="9"/>
    </row>
    <row r="743" ht="14.25" customHeight="1">
      <c r="E743" s="9"/>
      <c r="F743" s="9"/>
    </row>
    <row r="744" ht="14.25" customHeight="1">
      <c r="E744" s="9"/>
      <c r="F744" s="9"/>
    </row>
    <row r="745" ht="14.25" customHeight="1">
      <c r="E745" s="9"/>
      <c r="F745" s="9"/>
    </row>
    <row r="746" ht="14.25" customHeight="1">
      <c r="E746" s="9"/>
      <c r="F746" s="9"/>
    </row>
    <row r="747" ht="14.25" customHeight="1">
      <c r="E747" s="9"/>
      <c r="F747" s="9"/>
    </row>
    <row r="748" ht="14.25" customHeight="1">
      <c r="E748" s="9"/>
      <c r="F748" s="9"/>
    </row>
    <row r="749" ht="14.25" customHeight="1">
      <c r="E749" s="9"/>
      <c r="F749" s="9"/>
    </row>
    <row r="750" ht="14.25" customHeight="1">
      <c r="E750" s="9"/>
      <c r="F750" s="9"/>
    </row>
    <row r="751" ht="14.25" customHeight="1">
      <c r="E751" s="9"/>
      <c r="F751" s="9"/>
    </row>
    <row r="752" ht="14.25" customHeight="1">
      <c r="E752" s="9"/>
      <c r="F752" s="9"/>
    </row>
    <row r="753" ht="14.25" customHeight="1">
      <c r="E753" s="9"/>
      <c r="F753" s="9"/>
    </row>
    <row r="754" ht="14.25" customHeight="1">
      <c r="E754" s="9"/>
      <c r="F754" s="9"/>
    </row>
    <row r="755" ht="14.25" customHeight="1">
      <c r="E755" s="9"/>
      <c r="F755" s="9"/>
    </row>
    <row r="756" ht="14.25" customHeight="1">
      <c r="E756" s="9"/>
      <c r="F756" s="9"/>
    </row>
    <row r="757" ht="14.25" customHeight="1">
      <c r="E757" s="9"/>
      <c r="F757" s="9"/>
    </row>
    <row r="758" ht="14.25" customHeight="1">
      <c r="E758" s="9"/>
      <c r="F758" s="9"/>
    </row>
    <row r="759" ht="14.25" customHeight="1">
      <c r="E759" s="9"/>
      <c r="F759" s="9"/>
    </row>
    <row r="760" ht="14.25" customHeight="1">
      <c r="E760" s="9"/>
      <c r="F760" s="9"/>
    </row>
    <row r="761" ht="14.25" customHeight="1">
      <c r="E761" s="9"/>
      <c r="F761" s="9"/>
    </row>
    <row r="762" ht="14.25" customHeight="1">
      <c r="E762" s="9"/>
      <c r="F762" s="9"/>
    </row>
    <row r="763" ht="14.25" customHeight="1">
      <c r="E763" s="9"/>
      <c r="F763" s="9"/>
    </row>
    <row r="764" ht="14.25" customHeight="1">
      <c r="E764" s="9"/>
      <c r="F764" s="9"/>
    </row>
    <row r="765" ht="14.25" customHeight="1">
      <c r="E765" s="9"/>
      <c r="F765" s="9"/>
    </row>
    <row r="766" ht="14.25" customHeight="1">
      <c r="E766" s="9"/>
      <c r="F766" s="9"/>
    </row>
    <row r="767" ht="14.25" customHeight="1">
      <c r="E767" s="9"/>
      <c r="F767" s="9"/>
    </row>
    <row r="768" ht="14.25" customHeight="1">
      <c r="E768" s="9"/>
      <c r="F768" s="9"/>
    </row>
    <row r="769" ht="14.25" customHeight="1">
      <c r="E769" s="9"/>
      <c r="F769" s="9"/>
    </row>
    <row r="770" ht="14.25" customHeight="1">
      <c r="E770" s="9"/>
      <c r="F770" s="9"/>
    </row>
    <row r="771" ht="14.25" customHeight="1">
      <c r="E771" s="9"/>
      <c r="F771" s="9"/>
    </row>
    <row r="772" ht="14.25" customHeight="1">
      <c r="E772" s="9"/>
      <c r="F772" s="9"/>
    </row>
    <row r="773" ht="14.25" customHeight="1">
      <c r="E773" s="9"/>
      <c r="F773" s="9"/>
    </row>
    <row r="774" ht="14.25" customHeight="1">
      <c r="E774" s="9"/>
      <c r="F774" s="9"/>
    </row>
    <row r="775" ht="14.25" customHeight="1">
      <c r="E775" s="9"/>
      <c r="F775" s="9"/>
    </row>
    <row r="776" ht="14.25" customHeight="1">
      <c r="E776" s="9"/>
      <c r="F776" s="9"/>
    </row>
    <row r="777" ht="14.25" customHeight="1">
      <c r="E777" s="9"/>
      <c r="F777" s="9"/>
    </row>
    <row r="778" ht="14.25" customHeight="1">
      <c r="E778" s="9"/>
      <c r="F778" s="9"/>
    </row>
    <row r="779" ht="14.25" customHeight="1">
      <c r="E779" s="9"/>
      <c r="F779" s="9"/>
    </row>
    <row r="780" ht="14.25" customHeight="1">
      <c r="E780" s="9"/>
      <c r="F780" s="9"/>
    </row>
    <row r="781" ht="14.25" customHeight="1">
      <c r="E781" s="9"/>
      <c r="F781" s="9"/>
    </row>
    <row r="782" ht="14.25" customHeight="1">
      <c r="E782" s="9"/>
      <c r="F782" s="9"/>
    </row>
    <row r="783" ht="14.25" customHeight="1">
      <c r="E783" s="9"/>
      <c r="F783" s="9"/>
    </row>
    <row r="784" ht="14.25" customHeight="1">
      <c r="E784" s="9"/>
      <c r="F784" s="9"/>
    </row>
    <row r="785" ht="14.25" customHeight="1">
      <c r="E785" s="9"/>
      <c r="F785" s="9"/>
    </row>
    <row r="786" ht="14.25" customHeight="1">
      <c r="E786" s="9"/>
      <c r="F786" s="9"/>
    </row>
    <row r="787" ht="14.25" customHeight="1">
      <c r="E787" s="9"/>
      <c r="F787" s="9"/>
    </row>
    <row r="788" ht="14.25" customHeight="1">
      <c r="E788" s="9"/>
      <c r="F788" s="9"/>
    </row>
    <row r="789" ht="14.25" customHeight="1">
      <c r="E789" s="9"/>
      <c r="F789" s="9"/>
    </row>
    <row r="790" ht="14.25" customHeight="1">
      <c r="E790" s="9"/>
      <c r="F790" s="9"/>
    </row>
    <row r="791" ht="14.25" customHeight="1">
      <c r="E791" s="9"/>
      <c r="F791" s="9"/>
    </row>
    <row r="792" ht="14.25" customHeight="1">
      <c r="E792" s="9"/>
      <c r="F792" s="9"/>
    </row>
    <row r="793" ht="14.25" customHeight="1">
      <c r="E793" s="9"/>
      <c r="F793" s="9"/>
    </row>
    <row r="794" ht="14.25" customHeight="1">
      <c r="E794" s="9"/>
      <c r="F794" s="9"/>
    </row>
    <row r="795" ht="14.25" customHeight="1">
      <c r="E795" s="9"/>
      <c r="F795" s="9"/>
    </row>
    <row r="796" ht="14.25" customHeight="1">
      <c r="E796" s="9"/>
      <c r="F796" s="9"/>
    </row>
    <row r="797" ht="14.25" customHeight="1">
      <c r="E797" s="9"/>
      <c r="F797" s="9"/>
    </row>
    <row r="798" ht="14.25" customHeight="1">
      <c r="E798" s="9"/>
      <c r="F798" s="9"/>
    </row>
    <row r="799" ht="14.25" customHeight="1">
      <c r="E799" s="9"/>
      <c r="F799" s="9"/>
    </row>
    <row r="800" ht="14.25" customHeight="1">
      <c r="E800" s="9"/>
      <c r="F800" s="9"/>
    </row>
    <row r="801" ht="14.25" customHeight="1">
      <c r="E801" s="9"/>
      <c r="F801" s="9"/>
    </row>
    <row r="802" ht="14.25" customHeight="1">
      <c r="E802" s="9"/>
      <c r="F802" s="9"/>
    </row>
    <row r="803" ht="14.25" customHeight="1">
      <c r="E803" s="9"/>
      <c r="F803" s="9"/>
    </row>
    <row r="804" ht="14.25" customHeight="1">
      <c r="E804" s="9"/>
      <c r="F804" s="9"/>
    </row>
    <row r="805" ht="14.25" customHeight="1">
      <c r="E805" s="9"/>
      <c r="F805" s="9"/>
    </row>
    <row r="806" ht="14.25" customHeight="1">
      <c r="E806" s="9"/>
      <c r="F806" s="9"/>
    </row>
    <row r="807" ht="14.25" customHeight="1">
      <c r="E807" s="9"/>
      <c r="F807" s="9"/>
    </row>
    <row r="808" ht="14.25" customHeight="1">
      <c r="E808" s="9"/>
      <c r="F808" s="9"/>
    </row>
    <row r="809" ht="14.25" customHeight="1">
      <c r="E809" s="9"/>
      <c r="F809" s="9"/>
    </row>
    <row r="810" ht="14.25" customHeight="1">
      <c r="E810" s="9"/>
      <c r="F810" s="9"/>
    </row>
    <row r="811" ht="14.25" customHeight="1">
      <c r="E811" s="9"/>
      <c r="F811" s="9"/>
    </row>
    <row r="812" ht="14.25" customHeight="1">
      <c r="E812" s="9"/>
      <c r="F812" s="9"/>
    </row>
    <row r="813" ht="14.25" customHeight="1">
      <c r="E813" s="9"/>
      <c r="F813" s="9"/>
    </row>
    <row r="814" ht="14.25" customHeight="1">
      <c r="E814" s="9"/>
      <c r="F814" s="9"/>
    </row>
    <row r="815" ht="14.25" customHeight="1">
      <c r="E815" s="9"/>
      <c r="F815" s="9"/>
    </row>
    <row r="816" ht="14.25" customHeight="1">
      <c r="E816" s="9"/>
      <c r="F816" s="9"/>
    </row>
    <row r="817" ht="14.25" customHeight="1">
      <c r="E817" s="9"/>
      <c r="F817" s="9"/>
    </row>
    <row r="818" ht="14.25" customHeight="1">
      <c r="E818" s="9"/>
      <c r="F818" s="9"/>
    </row>
    <row r="819" ht="14.25" customHeight="1">
      <c r="E819" s="9"/>
      <c r="F819" s="9"/>
    </row>
    <row r="820" ht="14.25" customHeight="1">
      <c r="E820" s="9"/>
      <c r="F820" s="9"/>
    </row>
    <row r="821" ht="14.25" customHeight="1">
      <c r="E821" s="9"/>
      <c r="F821" s="9"/>
    </row>
    <row r="822" ht="14.25" customHeight="1">
      <c r="E822" s="9"/>
      <c r="F822" s="9"/>
    </row>
    <row r="823" ht="14.25" customHeight="1">
      <c r="E823" s="9"/>
      <c r="F823" s="9"/>
    </row>
    <row r="824" ht="14.25" customHeight="1">
      <c r="E824" s="9"/>
      <c r="F824" s="9"/>
    </row>
    <row r="825" ht="14.25" customHeight="1">
      <c r="E825" s="9"/>
      <c r="F825" s="9"/>
    </row>
    <row r="826" ht="14.25" customHeight="1">
      <c r="E826" s="9"/>
      <c r="F826" s="9"/>
    </row>
    <row r="827" ht="14.25" customHeight="1">
      <c r="E827" s="9"/>
      <c r="F827" s="9"/>
    </row>
    <row r="828" ht="14.25" customHeight="1">
      <c r="E828" s="9"/>
      <c r="F828" s="9"/>
    </row>
    <row r="829" ht="14.25" customHeight="1">
      <c r="E829" s="9"/>
      <c r="F829" s="9"/>
    </row>
    <row r="830" ht="14.25" customHeight="1">
      <c r="E830" s="9"/>
      <c r="F830" s="9"/>
    </row>
    <row r="831" ht="14.25" customHeight="1">
      <c r="E831" s="9"/>
      <c r="F831" s="9"/>
    </row>
    <row r="832" ht="14.25" customHeight="1">
      <c r="E832" s="9"/>
      <c r="F832" s="9"/>
    </row>
    <row r="833" ht="14.25" customHeight="1">
      <c r="E833" s="9"/>
      <c r="F833" s="9"/>
    </row>
    <row r="834" ht="14.25" customHeight="1">
      <c r="E834" s="9"/>
      <c r="F834" s="9"/>
    </row>
    <row r="835" ht="14.25" customHeight="1">
      <c r="E835" s="9"/>
      <c r="F835" s="9"/>
    </row>
    <row r="836" ht="14.25" customHeight="1">
      <c r="E836" s="9"/>
      <c r="F836" s="9"/>
    </row>
    <row r="837" ht="14.25" customHeight="1">
      <c r="E837" s="9"/>
      <c r="F837" s="9"/>
    </row>
    <row r="838" ht="14.25" customHeight="1">
      <c r="E838" s="9"/>
      <c r="F838" s="9"/>
    </row>
    <row r="839" ht="14.25" customHeight="1">
      <c r="E839" s="9"/>
      <c r="F839" s="9"/>
    </row>
    <row r="840" ht="14.25" customHeight="1">
      <c r="E840" s="9"/>
      <c r="F840" s="9"/>
    </row>
    <row r="841" ht="14.25" customHeight="1">
      <c r="E841" s="9"/>
      <c r="F841" s="9"/>
    </row>
    <row r="842" ht="14.25" customHeight="1">
      <c r="E842" s="9"/>
      <c r="F842" s="9"/>
    </row>
    <row r="843" ht="14.25" customHeight="1">
      <c r="E843" s="9"/>
      <c r="F843" s="9"/>
    </row>
    <row r="844" ht="14.25" customHeight="1">
      <c r="E844" s="9"/>
      <c r="F844" s="9"/>
    </row>
    <row r="845" ht="14.25" customHeight="1">
      <c r="E845" s="9"/>
      <c r="F845" s="9"/>
    </row>
    <row r="846" ht="14.25" customHeight="1">
      <c r="E846" s="9"/>
      <c r="F846" s="9"/>
    </row>
    <row r="847" ht="14.25" customHeight="1">
      <c r="E847" s="9"/>
      <c r="F847" s="9"/>
    </row>
    <row r="848" ht="14.25" customHeight="1">
      <c r="E848" s="9"/>
      <c r="F848" s="9"/>
    </row>
    <row r="849" ht="14.25" customHeight="1">
      <c r="E849" s="9"/>
      <c r="F849" s="9"/>
    </row>
    <row r="850" ht="14.25" customHeight="1">
      <c r="E850" s="9"/>
      <c r="F850" s="9"/>
    </row>
    <row r="851" ht="14.25" customHeight="1">
      <c r="E851" s="9"/>
      <c r="F851" s="9"/>
    </row>
    <row r="852" ht="14.25" customHeight="1">
      <c r="E852" s="9"/>
      <c r="F852" s="9"/>
    </row>
    <row r="853" ht="14.25" customHeight="1">
      <c r="E853" s="9"/>
      <c r="F853" s="9"/>
    </row>
    <row r="854" ht="14.25" customHeight="1">
      <c r="E854" s="9"/>
      <c r="F854" s="9"/>
    </row>
    <row r="855" ht="14.25" customHeight="1">
      <c r="E855" s="9"/>
      <c r="F855" s="9"/>
    </row>
    <row r="856" ht="14.25" customHeight="1">
      <c r="E856" s="9"/>
      <c r="F856" s="9"/>
    </row>
    <row r="857" ht="14.25" customHeight="1">
      <c r="E857" s="9"/>
      <c r="F857" s="9"/>
    </row>
    <row r="858" ht="14.25" customHeight="1">
      <c r="E858" s="9"/>
      <c r="F858" s="9"/>
    </row>
    <row r="859" ht="14.25" customHeight="1">
      <c r="E859" s="9"/>
      <c r="F859" s="9"/>
    </row>
    <row r="860" ht="14.25" customHeight="1">
      <c r="E860" s="9"/>
      <c r="F860" s="9"/>
    </row>
    <row r="861" ht="14.25" customHeight="1">
      <c r="E861" s="9"/>
      <c r="F861" s="9"/>
    </row>
    <row r="862" ht="14.25" customHeight="1">
      <c r="E862" s="9"/>
      <c r="F862" s="9"/>
    </row>
    <row r="863" ht="14.25" customHeight="1">
      <c r="E863" s="9"/>
      <c r="F863" s="9"/>
    </row>
    <row r="864" ht="14.25" customHeight="1">
      <c r="E864" s="9"/>
      <c r="F864" s="9"/>
    </row>
    <row r="865" ht="14.25" customHeight="1">
      <c r="E865" s="9"/>
      <c r="F865" s="9"/>
    </row>
    <row r="866" ht="14.25" customHeight="1">
      <c r="E866" s="9"/>
      <c r="F866" s="9"/>
    </row>
    <row r="867" ht="14.25" customHeight="1">
      <c r="E867" s="9"/>
      <c r="F867" s="9"/>
    </row>
    <row r="868" ht="14.25" customHeight="1">
      <c r="E868" s="9"/>
      <c r="F868" s="9"/>
    </row>
    <row r="869" ht="14.25" customHeight="1">
      <c r="E869" s="9"/>
      <c r="F869" s="9"/>
    </row>
    <row r="870" ht="14.25" customHeight="1">
      <c r="E870" s="9"/>
      <c r="F870" s="9"/>
    </row>
    <row r="871" ht="14.25" customHeight="1">
      <c r="E871" s="9"/>
      <c r="F871" s="9"/>
    </row>
    <row r="872" ht="14.25" customHeight="1">
      <c r="E872" s="9"/>
      <c r="F872" s="9"/>
    </row>
    <row r="873" ht="14.25" customHeight="1">
      <c r="E873" s="9"/>
      <c r="F873" s="9"/>
    </row>
    <row r="874" ht="14.25" customHeight="1">
      <c r="E874" s="9"/>
      <c r="F874" s="9"/>
    </row>
    <row r="875" ht="14.25" customHeight="1">
      <c r="E875" s="9"/>
      <c r="F875" s="9"/>
    </row>
    <row r="876" ht="14.25" customHeight="1">
      <c r="E876" s="9"/>
      <c r="F876" s="9"/>
    </row>
    <row r="877" ht="14.25" customHeight="1">
      <c r="E877" s="9"/>
      <c r="F877" s="9"/>
    </row>
    <row r="878" ht="14.25" customHeight="1">
      <c r="E878" s="9"/>
      <c r="F878" s="9"/>
    </row>
    <row r="879" ht="14.25" customHeight="1">
      <c r="E879" s="9"/>
      <c r="F879" s="9"/>
    </row>
    <row r="880" ht="14.25" customHeight="1">
      <c r="E880" s="9"/>
      <c r="F880" s="9"/>
    </row>
    <row r="881" ht="14.25" customHeight="1">
      <c r="E881" s="9"/>
      <c r="F881" s="9"/>
    </row>
    <row r="882" ht="14.25" customHeight="1">
      <c r="E882" s="9"/>
      <c r="F882" s="9"/>
    </row>
    <row r="883" ht="14.25" customHeight="1">
      <c r="E883" s="9"/>
      <c r="F883" s="9"/>
    </row>
    <row r="884" ht="14.25" customHeight="1">
      <c r="E884" s="9"/>
      <c r="F884" s="9"/>
    </row>
    <row r="885" ht="14.25" customHeight="1">
      <c r="E885" s="9"/>
      <c r="F885" s="9"/>
    </row>
    <row r="886" ht="14.25" customHeight="1">
      <c r="E886" s="9"/>
      <c r="F886" s="9"/>
    </row>
    <row r="887" ht="14.25" customHeight="1">
      <c r="E887" s="9"/>
      <c r="F887" s="9"/>
    </row>
    <row r="888" ht="14.25" customHeight="1">
      <c r="E888" s="9"/>
      <c r="F888" s="9"/>
    </row>
    <row r="889" ht="14.25" customHeight="1">
      <c r="E889" s="9"/>
      <c r="F889" s="9"/>
    </row>
    <row r="890" ht="14.25" customHeight="1">
      <c r="E890" s="9"/>
      <c r="F890" s="9"/>
    </row>
    <row r="891" ht="14.25" customHeight="1">
      <c r="E891" s="9"/>
      <c r="F891" s="9"/>
    </row>
    <row r="892" ht="14.25" customHeight="1">
      <c r="E892" s="9"/>
      <c r="F892" s="9"/>
    </row>
    <row r="893" ht="14.25" customHeight="1">
      <c r="E893" s="9"/>
      <c r="F893" s="9"/>
    </row>
    <row r="894" ht="14.25" customHeight="1">
      <c r="E894" s="9"/>
      <c r="F894" s="9"/>
    </row>
    <row r="895" ht="14.25" customHeight="1">
      <c r="E895" s="9"/>
      <c r="F895" s="9"/>
    </row>
    <row r="896" ht="14.25" customHeight="1">
      <c r="E896" s="9"/>
      <c r="F896" s="9"/>
    </row>
    <row r="897" ht="14.25" customHeight="1">
      <c r="E897" s="9"/>
      <c r="F897" s="9"/>
    </row>
    <row r="898" ht="14.25" customHeight="1">
      <c r="E898" s="9"/>
      <c r="F898" s="9"/>
    </row>
    <row r="899" ht="14.25" customHeight="1">
      <c r="E899" s="9"/>
      <c r="F899" s="9"/>
    </row>
    <row r="900" ht="14.25" customHeight="1">
      <c r="E900" s="9"/>
      <c r="F900" s="9"/>
    </row>
    <row r="901" ht="14.25" customHeight="1">
      <c r="E901" s="9"/>
      <c r="F901" s="9"/>
    </row>
    <row r="902" ht="14.25" customHeight="1">
      <c r="E902" s="9"/>
      <c r="F902" s="9"/>
    </row>
    <row r="903" ht="14.25" customHeight="1">
      <c r="E903" s="9"/>
      <c r="F903" s="9"/>
    </row>
    <row r="904" ht="14.25" customHeight="1">
      <c r="E904" s="9"/>
      <c r="F904" s="9"/>
    </row>
    <row r="905" ht="14.25" customHeight="1">
      <c r="E905" s="9"/>
      <c r="F905" s="9"/>
    </row>
    <row r="906" ht="14.25" customHeight="1">
      <c r="E906" s="9"/>
      <c r="F906" s="9"/>
    </row>
    <row r="907" ht="14.25" customHeight="1">
      <c r="E907" s="9"/>
      <c r="F907" s="9"/>
    </row>
    <row r="908" ht="14.25" customHeight="1">
      <c r="E908" s="9"/>
      <c r="F908" s="9"/>
    </row>
    <row r="909" ht="14.25" customHeight="1">
      <c r="E909" s="9"/>
      <c r="F909" s="9"/>
    </row>
    <row r="910" ht="14.25" customHeight="1">
      <c r="E910" s="9"/>
      <c r="F910" s="9"/>
    </row>
    <row r="911" ht="14.25" customHeight="1">
      <c r="E911" s="9"/>
      <c r="F911" s="9"/>
    </row>
    <row r="912" ht="14.25" customHeight="1">
      <c r="E912" s="9"/>
      <c r="F912" s="9"/>
    </row>
    <row r="913" ht="14.25" customHeight="1">
      <c r="E913" s="9"/>
      <c r="F913" s="9"/>
    </row>
    <row r="914" ht="14.25" customHeight="1">
      <c r="E914" s="9"/>
      <c r="F914" s="9"/>
    </row>
    <row r="915" ht="14.25" customHeight="1">
      <c r="E915" s="9"/>
      <c r="F915" s="9"/>
    </row>
    <row r="916" ht="14.25" customHeight="1">
      <c r="E916" s="9"/>
      <c r="F916" s="9"/>
    </row>
    <row r="917" ht="14.25" customHeight="1">
      <c r="E917" s="9"/>
      <c r="F917" s="9"/>
    </row>
    <row r="918" ht="14.25" customHeight="1">
      <c r="E918" s="9"/>
      <c r="F918" s="9"/>
    </row>
    <row r="919" ht="14.25" customHeight="1">
      <c r="E919" s="9"/>
      <c r="F919" s="9"/>
    </row>
    <row r="920" ht="14.25" customHeight="1">
      <c r="E920" s="9"/>
      <c r="F920" s="9"/>
    </row>
    <row r="921" ht="14.25" customHeight="1">
      <c r="E921" s="9"/>
      <c r="F921" s="9"/>
    </row>
    <row r="922" ht="14.25" customHeight="1">
      <c r="E922" s="9"/>
      <c r="F922" s="9"/>
    </row>
    <row r="923" ht="14.25" customHeight="1">
      <c r="E923" s="9"/>
      <c r="F923" s="9"/>
    </row>
    <row r="924" ht="14.25" customHeight="1">
      <c r="E924" s="9"/>
      <c r="F924" s="9"/>
    </row>
    <row r="925" ht="14.25" customHeight="1">
      <c r="E925" s="9"/>
      <c r="F925" s="9"/>
    </row>
    <row r="926" ht="14.25" customHeight="1">
      <c r="E926" s="9"/>
      <c r="F926" s="9"/>
    </row>
    <row r="927" ht="14.25" customHeight="1">
      <c r="E927" s="9"/>
      <c r="F927" s="9"/>
    </row>
    <row r="928" ht="14.25" customHeight="1">
      <c r="E928" s="9"/>
      <c r="F928" s="9"/>
    </row>
    <row r="929" ht="14.25" customHeight="1">
      <c r="E929" s="9"/>
      <c r="F929" s="9"/>
    </row>
    <row r="930" ht="14.25" customHeight="1">
      <c r="E930" s="9"/>
      <c r="F930" s="9"/>
    </row>
    <row r="931" ht="14.25" customHeight="1">
      <c r="E931" s="9"/>
      <c r="F931" s="9"/>
    </row>
    <row r="932" ht="14.25" customHeight="1">
      <c r="E932" s="9"/>
      <c r="F932" s="9"/>
    </row>
    <row r="933" ht="14.25" customHeight="1">
      <c r="E933" s="9"/>
      <c r="F933" s="9"/>
    </row>
    <row r="934" ht="14.25" customHeight="1">
      <c r="E934" s="9"/>
      <c r="F934" s="9"/>
    </row>
    <row r="935" ht="14.25" customHeight="1">
      <c r="E935" s="9"/>
      <c r="F935" s="9"/>
    </row>
    <row r="936" ht="14.25" customHeight="1">
      <c r="E936" s="9"/>
      <c r="F936" s="9"/>
    </row>
    <row r="937" ht="14.25" customHeight="1">
      <c r="E937" s="9"/>
      <c r="F937" s="9"/>
    </row>
    <row r="938" ht="14.25" customHeight="1">
      <c r="E938" s="9"/>
      <c r="F938" s="9"/>
    </row>
    <row r="939" ht="14.25" customHeight="1">
      <c r="E939" s="9"/>
      <c r="F939" s="9"/>
    </row>
    <row r="940" ht="14.25" customHeight="1">
      <c r="E940" s="9"/>
      <c r="F940" s="9"/>
    </row>
    <row r="941" ht="14.25" customHeight="1">
      <c r="E941" s="9"/>
      <c r="F941" s="9"/>
    </row>
    <row r="942" ht="14.25" customHeight="1">
      <c r="E942" s="9"/>
      <c r="F942" s="9"/>
    </row>
    <row r="943" ht="14.25" customHeight="1">
      <c r="E943" s="9"/>
      <c r="F943" s="9"/>
    </row>
    <row r="944" ht="14.25" customHeight="1">
      <c r="E944" s="9"/>
      <c r="F944" s="9"/>
    </row>
    <row r="945" ht="14.25" customHeight="1">
      <c r="E945" s="9"/>
      <c r="F945" s="9"/>
    </row>
    <row r="946" ht="14.25" customHeight="1">
      <c r="E946" s="9"/>
      <c r="F946" s="9"/>
    </row>
    <row r="947" ht="14.25" customHeight="1">
      <c r="E947" s="9"/>
      <c r="F947" s="9"/>
    </row>
    <row r="948" ht="14.25" customHeight="1">
      <c r="E948" s="9"/>
      <c r="F948" s="9"/>
    </row>
    <row r="949" ht="14.25" customHeight="1">
      <c r="E949" s="9"/>
      <c r="F949" s="9"/>
    </row>
    <row r="950" ht="14.25" customHeight="1">
      <c r="E950" s="9"/>
      <c r="F950" s="9"/>
    </row>
    <row r="951" ht="14.25" customHeight="1">
      <c r="E951" s="9"/>
      <c r="F951" s="9"/>
    </row>
    <row r="952" ht="14.25" customHeight="1">
      <c r="E952" s="9"/>
      <c r="F952" s="9"/>
    </row>
    <row r="953" ht="14.25" customHeight="1">
      <c r="E953" s="9"/>
      <c r="F953" s="9"/>
    </row>
    <row r="954" ht="14.25" customHeight="1">
      <c r="E954" s="9"/>
      <c r="F954" s="9"/>
    </row>
    <row r="955" ht="14.25" customHeight="1">
      <c r="E955" s="9"/>
      <c r="F955" s="9"/>
    </row>
    <row r="956" ht="14.25" customHeight="1">
      <c r="E956" s="9"/>
      <c r="F956" s="9"/>
    </row>
    <row r="957" ht="14.25" customHeight="1">
      <c r="E957" s="9"/>
      <c r="F957" s="9"/>
    </row>
    <row r="958" ht="14.25" customHeight="1">
      <c r="E958" s="9"/>
      <c r="F958" s="9"/>
    </row>
    <row r="959" ht="14.25" customHeight="1">
      <c r="E959" s="9"/>
      <c r="F959" s="9"/>
    </row>
    <row r="960" ht="14.25" customHeight="1">
      <c r="E960" s="9"/>
      <c r="F960" s="9"/>
    </row>
    <row r="961" ht="14.25" customHeight="1">
      <c r="E961" s="9"/>
      <c r="F961" s="9"/>
    </row>
    <row r="962" ht="14.25" customHeight="1">
      <c r="E962" s="9"/>
      <c r="F962" s="9"/>
    </row>
    <row r="963" ht="14.25" customHeight="1">
      <c r="E963" s="9"/>
      <c r="F963" s="9"/>
    </row>
    <row r="964" ht="14.25" customHeight="1">
      <c r="E964" s="9"/>
      <c r="F964" s="9"/>
    </row>
    <row r="965" ht="14.25" customHeight="1">
      <c r="E965" s="9"/>
      <c r="F965" s="9"/>
    </row>
    <row r="966" ht="14.25" customHeight="1">
      <c r="E966" s="9"/>
      <c r="F966" s="9"/>
    </row>
    <row r="967" ht="14.25" customHeight="1">
      <c r="E967" s="9"/>
      <c r="F967" s="9"/>
    </row>
    <row r="968" ht="14.25" customHeight="1">
      <c r="E968" s="9"/>
      <c r="F968" s="9"/>
    </row>
    <row r="969" ht="14.25" customHeight="1">
      <c r="E969" s="9"/>
      <c r="F969" s="9"/>
    </row>
    <row r="970" ht="14.25" customHeight="1">
      <c r="E970" s="9"/>
      <c r="F970" s="9"/>
    </row>
    <row r="971" ht="14.25" customHeight="1">
      <c r="E971" s="9"/>
      <c r="F971" s="9"/>
    </row>
    <row r="972" ht="14.25" customHeight="1">
      <c r="E972" s="9"/>
      <c r="F972" s="9"/>
    </row>
    <row r="973" ht="14.25" customHeight="1">
      <c r="E973" s="9"/>
      <c r="F973" s="9"/>
    </row>
    <row r="974" ht="14.25" customHeight="1">
      <c r="E974" s="9"/>
      <c r="F974" s="9"/>
    </row>
    <row r="975" ht="14.25" customHeight="1">
      <c r="E975" s="9"/>
      <c r="F975" s="9"/>
    </row>
    <row r="976" ht="14.25" customHeight="1">
      <c r="E976" s="9"/>
      <c r="F976" s="9"/>
    </row>
    <row r="977" ht="14.25" customHeight="1">
      <c r="E977" s="9"/>
      <c r="F977" s="9"/>
    </row>
    <row r="978" ht="14.25" customHeight="1">
      <c r="E978" s="9"/>
      <c r="F978" s="9"/>
    </row>
    <row r="979" ht="14.25" customHeight="1">
      <c r="E979" s="9"/>
      <c r="F979" s="9"/>
    </row>
    <row r="980" ht="14.25" customHeight="1">
      <c r="E980" s="9"/>
      <c r="F980" s="9"/>
    </row>
    <row r="981" ht="14.25" customHeight="1">
      <c r="E981" s="9"/>
      <c r="F981" s="9"/>
    </row>
    <row r="982" ht="14.25" customHeight="1">
      <c r="E982" s="9"/>
      <c r="F982" s="9"/>
    </row>
    <row r="983" ht="14.25" customHeight="1">
      <c r="E983" s="9"/>
      <c r="F983" s="9"/>
    </row>
    <row r="984" ht="14.25" customHeight="1">
      <c r="E984" s="9"/>
      <c r="F984" s="9"/>
    </row>
    <row r="985" ht="14.25" customHeight="1">
      <c r="E985" s="9"/>
      <c r="F985" s="9"/>
    </row>
    <row r="986" ht="14.25" customHeight="1">
      <c r="E986" s="9"/>
      <c r="F986" s="9"/>
    </row>
    <row r="987" ht="14.25" customHeight="1">
      <c r="E987" s="9"/>
      <c r="F987" s="9"/>
    </row>
    <row r="988" ht="14.25" customHeight="1">
      <c r="E988" s="9"/>
      <c r="F988" s="9"/>
    </row>
    <row r="989" ht="14.25" customHeight="1">
      <c r="E989" s="9"/>
      <c r="F989" s="9"/>
    </row>
    <row r="990" ht="14.25" customHeight="1">
      <c r="E990" s="9"/>
      <c r="F990" s="9"/>
    </row>
    <row r="991" ht="14.25" customHeight="1">
      <c r="E991" s="9"/>
      <c r="F991" s="9"/>
    </row>
    <row r="992" ht="14.25" customHeight="1">
      <c r="E992" s="9"/>
      <c r="F992" s="9"/>
    </row>
    <row r="993" ht="14.25" customHeight="1">
      <c r="E993" s="9"/>
      <c r="F993" s="9"/>
    </row>
    <row r="994" ht="14.25" customHeight="1">
      <c r="E994" s="9"/>
      <c r="F994" s="9"/>
    </row>
    <row r="995" ht="14.25" customHeight="1">
      <c r="E995" s="9"/>
      <c r="F995" s="9"/>
    </row>
    <row r="996" ht="14.25" customHeight="1">
      <c r="E996" s="9"/>
      <c r="F996" s="9"/>
    </row>
    <row r="997" ht="14.25" customHeight="1">
      <c r="E997" s="9"/>
      <c r="F997" s="9"/>
    </row>
    <row r="998" ht="14.25" customHeight="1">
      <c r="E998" s="9"/>
      <c r="F998" s="9"/>
    </row>
    <row r="999" ht="14.25" customHeight="1">
      <c r="E999" s="9"/>
      <c r="F999" s="9"/>
    </row>
    <row r="1000" ht="14.25" customHeight="1">
      <c r="E1000" s="9"/>
      <c r="F1000" s="9"/>
    </row>
  </sheetData>
  <hyperlinks>
    <hyperlink r:id="rId1" ref="G36"/>
  </hyperlinks>
  <printOptions/>
  <pageMargins bottom="0.75" footer="0.0" header="0.0" left="0.7" right="0.7" top="0.75"/>
  <pageSetup orientation="portrait"/>
  <drawing r:id="rId2"/>
  <tableParts count="1"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1.57"/>
    <col customWidth="1" min="2" max="2" width="10.14"/>
    <col customWidth="1" min="3" max="3" width="11.14"/>
    <col customWidth="1" min="4" max="4" width="15.0"/>
    <col customWidth="1" min="5" max="26" width="8.71"/>
  </cols>
  <sheetData>
    <row r="1" ht="14.25" customHeight="1">
      <c r="A1" s="1" t="s">
        <v>69</v>
      </c>
      <c r="B1" s="1" t="s">
        <v>314</v>
      </c>
      <c r="C1" s="1" t="s">
        <v>29</v>
      </c>
      <c r="D1" s="1" t="s">
        <v>103</v>
      </c>
      <c r="E1" s="1" t="s">
        <v>72</v>
      </c>
    </row>
    <row r="2" ht="14.25" customHeight="1">
      <c r="A2" s="1" t="s">
        <v>74</v>
      </c>
      <c r="B2" s="1">
        <v>2.0</v>
      </c>
      <c r="C2" s="1"/>
      <c r="D2" s="1"/>
      <c r="E2" s="1"/>
    </row>
    <row r="3" ht="14.25" customHeight="1">
      <c r="A3" s="1" t="s">
        <v>77</v>
      </c>
      <c r="B3" s="1">
        <v>2.0</v>
      </c>
      <c r="C3" s="1"/>
      <c r="D3" s="1"/>
      <c r="E3" s="1"/>
    </row>
    <row r="4" ht="14.25" customHeight="1">
      <c r="A4" s="1" t="s">
        <v>79</v>
      </c>
      <c r="B4" s="13">
        <f>Megakaryocyte_ploidy!$B$7</f>
        <v>16.62781818</v>
      </c>
      <c r="C4" s="12">
        <f>Megakaryocyte_ploidy!$C$7</f>
        <v>2.946546529</v>
      </c>
      <c r="D4" s="1"/>
      <c r="E4" s="1" t="s">
        <v>315</v>
      </c>
    </row>
    <row r="5" ht="14.25" customHeight="1">
      <c r="A5" s="1" t="s">
        <v>81</v>
      </c>
      <c r="B5" s="1">
        <v>2.0</v>
      </c>
      <c r="C5" s="1"/>
      <c r="D5" s="1"/>
      <c r="E5" s="1"/>
    </row>
    <row r="6" ht="14.25" customHeight="1">
      <c r="A6" s="1" t="s">
        <v>83</v>
      </c>
      <c r="B6" s="13">
        <f>Hepatocytes_turnover!$B$6</f>
        <v>2.4676</v>
      </c>
      <c r="C6" s="1"/>
      <c r="D6" s="17" t="s">
        <v>126</v>
      </c>
      <c r="E6" s="1"/>
    </row>
    <row r="7" ht="14.25" customHeight="1">
      <c r="A7" s="1" t="s">
        <v>85</v>
      </c>
      <c r="B7" s="1">
        <v>2.0</v>
      </c>
      <c r="C7" s="1"/>
      <c r="D7" s="1"/>
      <c r="E7" s="1"/>
    </row>
    <row r="8" ht="14.25" customHeight="1">
      <c r="A8" s="1" t="s">
        <v>87</v>
      </c>
      <c r="B8" s="1">
        <v>2.0</v>
      </c>
      <c r="C8" s="1"/>
      <c r="D8" s="1"/>
      <c r="E8" s="1"/>
    </row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hyperlinks>
    <hyperlink r:id="rId1" ref="D6"/>
  </hyperlinks>
  <printOptions/>
  <pageMargins bottom="0.75" footer="0.0" header="0.0" left="0.7" right="0.7" top="0.75"/>
  <pageSetup orientation="landscape"/>
  <drawing r:id="rId2"/>
  <tableParts count="1">
    <tablePart r:id="rId4"/>
  </tableParts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6.86"/>
    <col customWidth="1" min="2" max="2" width="10.71"/>
    <col customWidth="1" min="3" max="3" width="9.71"/>
    <col customWidth="1" min="4" max="26" width="8.71"/>
  </cols>
  <sheetData>
    <row r="1" ht="14.25" customHeight="1">
      <c r="A1" s="104" t="s">
        <v>316</v>
      </c>
    </row>
    <row r="2" ht="14.25" customHeight="1">
      <c r="A2" s="105" t="s">
        <v>317</v>
      </c>
    </row>
    <row r="3" ht="14.25" customHeight="1">
      <c r="A3" s="104" t="s">
        <v>318</v>
      </c>
      <c r="B3" s="104">
        <v>1.0</v>
      </c>
      <c r="C3" s="104" t="s">
        <v>319</v>
      </c>
    </row>
    <row r="4" ht="14.25" customHeight="1">
      <c r="A4" s="104" t="s">
        <v>320</v>
      </c>
      <c r="B4" s="104">
        <v>11.0</v>
      </c>
      <c r="C4" s="104" t="s">
        <v>321</v>
      </c>
    </row>
    <row r="5" ht="14.25" customHeight="1">
      <c r="A5" s="104" t="s">
        <v>322</v>
      </c>
      <c r="B5" s="20">
        <f>4*PI()/3*(B4/2)^3</f>
        <v>696.9099703</v>
      </c>
      <c r="C5" s="104" t="s">
        <v>323</v>
      </c>
    </row>
    <row r="6" ht="14.25" customHeight="1">
      <c r="A6" s="104" t="s">
        <v>324</v>
      </c>
      <c r="B6" s="18">
        <f>B5*1.05/1000</f>
        <v>0.7317554688</v>
      </c>
      <c r="C6" s="104" t="s">
        <v>325</v>
      </c>
    </row>
    <row r="7" ht="14.25" customHeight="1">
      <c r="A7" s="104" t="s">
        <v>326</v>
      </c>
      <c r="B7" s="100">
        <f>1.55*10^9</f>
        <v>1550000000</v>
      </c>
      <c r="C7" s="100">
        <f>0.26*10^9</f>
        <v>260000000</v>
      </c>
      <c r="D7" s="104" t="s">
        <v>327</v>
      </c>
    </row>
    <row r="8" ht="14.25" customHeight="1">
      <c r="A8" s="104" t="s">
        <v>328</v>
      </c>
      <c r="B8" s="100">
        <f>B3/B6*10^9</f>
        <v>1366576736</v>
      </c>
    </row>
    <row r="9" ht="14.25" customHeight="1"/>
    <row r="10" ht="14.25" customHeight="1">
      <c r="A10" s="104" t="s">
        <v>329</v>
      </c>
    </row>
    <row r="11" ht="14.25" customHeight="1"/>
    <row r="12" ht="14.25" customHeight="1">
      <c r="A12" s="104" t="s">
        <v>330</v>
      </c>
    </row>
    <row r="13" ht="14.25" customHeight="1">
      <c r="A13" s="104" t="s">
        <v>331</v>
      </c>
      <c r="B13" s="106">
        <v>0.736</v>
      </c>
    </row>
    <row r="14" ht="14.25" customHeight="1"/>
    <row r="15" ht="14.25" customHeight="1">
      <c r="A15" s="104" t="s">
        <v>332</v>
      </c>
      <c r="B15" s="104" t="s">
        <v>251</v>
      </c>
    </row>
    <row r="16" ht="14.25" customHeight="1">
      <c r="H16" s="104" t="s">
        <v>333</v>
      </c>
    </row>
    <row r="17" ht="14.25" customHeight="1">
      <c r="A17" s="104" t="s">
        <v>334</v>
      </c>
      <c r="B17" s="104" t="s">
        <v>250</v>
      </c>
      <c r="C17" s="104" t="s">
        <v>254</v>
      </c>
      <c r="D17" s="104" t="s">
        <v>255</v>
      </c>
      <c r="E17" s="104" t="s">
        <v>335</v>
      </c>
      <c r="F17" s="104" t="s">
        <v>336</v>
      </c>
      <c r="H17" s="104" t="s">
        <v>250</v>
      </c>
      <c r="I17" s="104" t="s">
        <v>254</v>
      </c>
      <c r="J17" s="104" t="s">
        <v>255</v>
      </c>
    </row>
    <row r="18" ht="14.25" customHeight="1">
      <c r="A18" s="104" t="s">
        <v>337</v>
      </c>
      <c r="B18" s="107">
        <v>0.42617330000000003</v>
      </c>
      <c r="C18" s="107">
        <v>0.4614105</v>
      </c>
      <c r="D18" s="107">
        <v>0.10560779999999999</v>
      </c>
      <c r="E18" s="107">
        <v>0.00452159</v>
      </c>
      <c r="F18" s="107">
        <v>0.00228678</v>
      </c>
      <c r="H18" s="108">
        <v>0.0039000000000000003</v>
      </c>
      <c r="I18" s="108">
        <v>0.0348</v>
      </c>
      <c r="J18" s="108">
        <v>0.0049</v>
      </c>
      <c r="M18" s="107"/>
      <c r="N18" s="107"/>
    </row>
    <row r="19" ht="14.25" customHeight="1">
      <c r="A19" s="104" t="s">
        <v>338</v>
      </c>
      <c r="B19" s="107">
        <v>0.278013</v>
      </c>
      <c r="C19" s="107">
        <v>0.6500141</v>
      </c>
      <c r="D19" s="107">
        <v>0.047699689999999996</v>
      </c>
      <c r="E19" s="107">
        <v>0.01947502</v>
      </c>
      <c r="F19" s="107">
        <v>0.00479819</v>
      </c>
      <c r="H19" s="108">
        <v>0.0055000000000000005</v>
      </c>
      <c r="I19" s="108">
        <v>0.024</v>
      </c>
      <c r="J19" s="108" t="s">
        <v>339</v>
      </c>
      <c r="M19" s="107"/>
    </row>
    <row r="20" ht="14.25" customHeight="1">
      <c r="A20" s="104" t="s">
        <v>340</v>
      </c>
      <c r="B20" s="107">
        <v>0.2569815</v>
      </c>
      <c r="C20" s="107">
        <v>0.6680333</v>
      </c>
      <c r="D20" s="107">
        <v>0.07238850000000001</v>
      </c>
      <c r="E20" s="107">
        <v>5.4667E-4</v>
      </c>
      <c r="F20" s="107">
        <v>0.00205002</v>
      </c>
      <c r="H20" s="108">
        <v>0.0027</v>
      </c>
      <c r="I20" s="108">
        <v>0.0137</v>
      </c>
      <c r="J20" s="108">
        <v>0.0013</v>
      </c>
      <c r="M20" s="107"/>
      <c r="N20" s="107"/>
    </row>
    <row r="21" ht="14.25" customHeight="1">
      <c r="A21" s="104" t="s">
        <v>341</v>
      </c>
      <c r="B21" s="107">
        <v>0.3684711</v>
      </c>
      <c r="C21" s="107">
        <v>0.5672836</v>
      </c>
      <c r="D21" s="107">
        <v>0.055686980000000004</v>
      </c>
      <c r="E21" s="107">
        <v>0.00614621</v>
      </c>
      <c r="F21" s="107">
        <v>0.0024121</v>
      </c>
      <c r="H21" s="108">
        <v>0.005600000000000001</v>
      </c>
      <c r="I21" s="108">
        <v>0.0668</v>
      </c>
      <c r="J21" s="108">
        <v>0.0108</v>
      </c>
      <c r="M21" s="107"/>
      <c r="N21" s="107"/>
    </row>
    <row r="22" ht="14.25" customHeight="1">
      <c r="A22" s="104" t="s">
        <v>342</v>
      </c>
      <c r="B22" s="107">
        <v>0.4054718</v>
      </c>
      <c r="C22" s="107">
        <v>0.520417</v>
      </c>
      <c r="D22" s="107">
        <v>0.07229025</v>
      </c>
      <c r="E22" s="107">
        <v>0.0011380700000000001</v>
      </c>
      <c r="F22" s="107">
        <v>6.8284E-4</v>
      </c>
      <c r="H22" s="108">
        <v>0.0021</v>
      </c>
      <c r="I22" s="108">
        <v>0.022000000000000002</v>
      </c>
      <c r="J22" s="108">
        <v>0.0019</v>
      </c>
      <c r="M22" s="107"/>
      <c r="N22" s="107"/>
    </row>
    <row r="23" ht="14.25" customHeight="1">
      <c r="A23" s="104" t="s">
        <v>343</v>
      </c>
      <c r="B23" s="107">
        <v>0.5896484000000001</v>
      </c>
      <c r="C23" s="107">
        <v>0.32089840000000003</v>
      </c>
      <c r="D23" s="107">
        <v>0.07255859</v>
      </c>
      <c r="E23" s="107">
        <v>0.011035159999999999</v>
      </c>
      <c r="F23" s="107">
        <v>0.00585938</v>
      </c>
      <c r="H23" s="108" t="s">
        <v>344</v>
      </c>
      <c r="I23" s="108">
        <v>6.0E-4</v>
      </c>
      <c r="J23" s="108" t="s">
        <v>345</v>
      </c>
    </row>
    <row r="24" ht="14.25" customHeight="1">
      <c r="A24" s="104" t="s">
        <v>346</v>
      </c>
      <c r="B24" s="107">
        <v>0.6494925</v>
      </c>
      <c r="C24" s="107">
        <v>0.28165250000000003</v>
      </c>
      <c r="D24" s="107">
        <v>0.049385649999999996</v>
      </c>
      <c r="E24" s="107">
        <v>0.01765893</v>
      </c>
      <c r="F24" s="107">
        <v>0.0018104100000000001</v>
      </c>
      <c r="H24" s="108">
        <v>0.0013</v>
      </c>
      <c r="I24" s="108">
        <v>0.009899999999999999</v>
      </c>
      <c r="J24" s="108">
        <v>6.0E-4</v>
      </c>
      <c r="M24" s="107"/>
      <c r="N24" s="107"/>
    </row>
    <row r="25" ht="14.25" customHeight="1">
      <c r="A25" s="104" t="s">
        <v>347</v>
      </c>
      <c r="B25" s="107">
        <v>0.5096029999999999</v>
      </c>
      <c r="C25" s="107">
        <v>0.39340919999999996</v>
      </c>
      <c r="D25" s="107">
        <v>0.07511561</v>
      </c>
      <c r="E25" s="107">
        <v>0.01570637</v>
      </c>
      <c r="F25" s="107">
        <v>0.006165899999999999</v>
      </c>
      <c r="H25" s="108">
        <v>0.002</v>
      </c>
      <c r="I25" s="108">
        <v>0.008</v>
      </c>
      <c r="J25" s="108">
        <v>0.0017000000000000001</v>
      </c>
      <c r="M25" s="107"/>
      <c r="N25" s="107"/>
    </row>
    <row r="26" ht="14.25" customHeight="1">
      <c r="A26" s="104" t="s">
        <v>347</v>
      </c>
      <c r="B26" s="107">
        <v>0.3959276</v>
      </c>
      <c r="C26" s="107">
        <v>0.40682850000000004</v>
      </c>
      <c r="D26" s="107">
        <v>0.11229950000000001</v>
      </c>
      <c r="E26" s="107">
        <v>0.08371041</v>
      </c>
      <c r="F26" s="107">
        <v>0.00123406</v>
      </c>
      <c r="H26" s="108">
        <v>0.0026</v>
      </c>
      <c r="I26" s="108">
        <v>0.0344</v>
      </c>
      <c r="J26" s="108" t="s">
        <v>348</v>
      </c>
      <c r="M26" s="107"/>
    </row>
    <row r="27" ht="14.25" customHeight="1">
      <c r="A27" s="104" t="s">
        <v>349</v>
      </c>
      <c r="B27" s="107">
        <v>0.6978216</v>
      </c>
      <c r="C27" s="107">
        <v>0.1923011</v>
      </c>
      <c r="D27" s="107">
        <v>0.1065095</v>
      </c>
      <c r="E27" s="107">
        <v>0.0012575700000000002</v>
      </c>
      <c r="F27" s="107">
        <v>0.00211015</v>
      </c>
      <c r="H27" s="108">
        <v>4.0E-4</v>
      </c>
      <c r="I27" s="108">
        <v>0.0033</v>
      </c>
      <c r="J27" s="108">
        <v>4.0E-4</v>
      </c>
      <c r="M27" s="107"/>
      <c r="N27" s="107"/>
    </row>
    <row r="28" ht="14.25" customHeight="1">
      <c r="A28" s="104" t="s">
        <v>349</v>
      </c>
      <c r="B28" s="107">
        <v>0.3136058</v>
      </c>
      <c r="C28" s="107">
        <v>0.4662347</v>
      </c>
      <c r="D28" s="107">
        <v>0.050959380000000006</v>
      </c>
      <c r="E28" s="107">
        <v>0.1689509</v>
      </c>
      <c r="F28" s="107">
        <v>2.4919E-4</v>
      </c>
      <c r="H28" s="108">
        <v>0.0036</v>
      </c>
      <c r="I28" s="108">
        <v>0.0155</v>
      </c>
      <c r="J28" s="108" t="s">
        <v>350</v>
      </c>
      <c r="M28" s="107"/>
    </row>
    <row r="29" ht="14.25" customHeight="1">
      <c r="A29" s="104" t="s">
        <v>351</v>
      </c>
      <c r="B29" s="107">
        <v>0.2484936</v>
      </c>
      <c r="C29" s="107">
        <v>0.6698813</v>
      </c>
      <c r="D29" s="107">
        <v>0.05259865</v>
      </c>
      <c r="E29" s="107">
        <v>0.0282376</v>
      </c>
      <c r="F29" s="107">
        <v>7.8891E-4</v>
      </c>
    </row>
    <row r="30" ht="14.25" customHeight="1">
      <c r="A30" s="104" t="s">
        <v>352</v>
      </c>
      <c r="B30" s="107">
        <v>0.5369668999999999</v>
      </c>
      <c r="C30" s="107">
        <v>0.3515014</v>
      </c>
      <c r="D30" s="107">
        <v>0.06989654</v>
      </c>
      <c r="E30" s="107">
        <v>0.03053242</v>
      </c>
      <c r="F30" s="107">
        <v>0.0111027</v>
      </c>
    </row>
    <row r="31" ht="14.25" customHeight="1">
      <c r="A31" s="104" t="s">
        <v>353</v>
      </c>
      <c r="B31" s="107">
        <v>0.37512239999999997</v>
      </c>
      <c r="C31" s="107">
        <v>0.4301883</v>
      </c>
      <c r="D31" s="107">
        <v>0.1871803</v>
      </c>
      <c r="E31" s="107">
        <v>0.00707368</v>
      </c>
      <c r="F31" s="107">
        <v>4.353E-4</v>
      </c>
    </row>
    <row r="32" ht="14.25" customHeight="1">
      <c r="A32" s="104" t="s">
        <v>354</v>
      </c>
      <c r="B32" s="107">
        <f t="shared" ref="B32:F32" si="1">AVERAGE(B18:B31)</f>
        <v>0.4322708929</v>
      </c>
      <c r="C32" s="107">
        <f t="shared" si="1"/>
        <v>0.4557181357</v>
      </c>
      <c r="D32" s="107">
        <f t="shared" si="1"/>
        <v>0.08072692429</v>
      </c>
      <c r="E32" s="107">
        <f t="shared" si="1"/>
        <v>0.02828504286</v>
      </c>
      <c r="F32" s="107">
        <f t="shared" si="1"/>
        <v>0.002998995</v>
      </c>
      <c r="H32" s="106">
        <f>GEOMEAN(H18:H22,H24:H28,0.0001)</f>
        <v>0.001805097598</v>
      </c>
      <c r="I32" s="108">
        <f>GEOMEAN(I18:I28)</f>
        <v>0.01271635934</v>
      </c>
      <c r="J32" s="106">
        <f>GEOMEAN(J18:J28,0.001,0.001,0.001,0.001)</f>
        <v>0.001435482508</v>
      </c>
    </row>
    <row r="33" ht="14.25" customHeight="1"/>
    <row r="34" ht="14.25" customHeight="1">
      <c r="A34" s="104" t="s">
        <v>355</v>
      </c>
      <c r="D34" s="104" t="s">
        <v>356</v>
      </c>
    </row>
    <row r="35" ht="14.25" customHeight="1">
      <c r="B35" s="104" t="s">
        <v>357</v>
      </c>
      <c r="C35" s="104" t="s">
        <v>358</v>
      </c>
      <c r="D35" s="104" t="s">
        <v>359</v>
      </c>
      <c r="E35" s="104" t="s">
        <v>360</v>
      </c>
    </row>
    <row r="36" ht="14.25" customHeight="1">
      <c r="A36" s="104" t="s">
        <v>250</v>
      </c>
      <c r="B36" s="107">
        <f>ROUND(B13,1)</f>
        <v>0.7</v>
      </c>
      <c r="C36" s="100">
        <f>B7</f>
        <v>1550000000</v>
      </c>
      <c r="D36" s="104">
        <f>ROUND(1/H32,-2)</f>
        <v>600</v>
      </c>
      <c r="E36" s="100">
        <f t="shared" ref="E36:E38" si="2">C36/D36</f>
        <v>2583333.333</v>
      </c>
    </row>
    <row r="37" ht="14.25" customHeight="1">
      <c r="A37" s="104" t="s">
        <v>254</v>
      </c>
      <c r="B37" s="107">
        <f>ROUND((1-$B$36)*C32/(1-$B$32)*4,0)/4</f>
        <v>0.25</v>
      </c>
      <c r="C37" s="100">
        <f t="shared" ref="C37:C38" si="3">$C$36*B37/$B$36</f>
        <v>553571428.6</v>
      </c>
      <c r="D37" s="104">
        <f>ROUND(1/I32,-1)</f>
        <v>80</v>
      </c>
      <c r="E37" s="100">
        <f t="shared" si="2"/>
        <v>6919642.857</v>
      </c>
    </row>
    <row r="38" ht="14.25" customHeight="1">
      <c r="A38" s="104" t="s">
        <v>255</v>
      </c>
      <c r="B38" s="107">
        <f>ROUND((1-$B$36)*D32/(1-$B$32),2)</f>
        <v>0.04</v>
      </c>
      <c r="C38" s="100">
        <f t="shared" si="3"/>
        <v>88571428.57</v>
      </c>
      <c r="D38" s="104">
        <f>ROUND(1/J32,-2)</f>
        <v>700</v>
      </c>
      <c r="E38" s="100">
        <f t="shared" si="2"/>
        <v>126530.6122</v>
      </c>
    </row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2022-10-23T13:25:11Z</dcterms:created>
  <dc:creator>Ron Sender</dc:creator>
</cp:coreProperties>
</file>