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Laporte\Desktop\last and last\"/>
    </mc:Choice>
  </mc:AlternateContent>
  <xr:revisionPtr revIDLastSave="0" documentId="13_ncr:1_{8965B54B-7E40-40C7-A822-870810EF0AAD}" xr6:coauthVersionLast="36" xr6:coauthVersionMax="36" xr10:uidLastSave="{00000000-0000-0000-0000-000000000000}"/>
  <bookViews>
    <workbookView xWindow="0" yWindow="360" windowWidth="23040" windowHeight="8256" xr2:uid="{00000000-000D-0000-FFFF-FFFF00000000}"/>
  </bookViews>
  <sheets>
    <sheet name="exit SP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3" i="1" l="1"/>
  <c r="U43" i="1"/>
  <c r="W38" i="1"/>
  <c r="U38" i="1"/>
  <c r="W33" i="1"/>
  <c r="U33" i="1"/>
  <c r="W28" i="1"/>
  <c r="U28" i="1"/>
  <c r="W23" i="1"/>
  <c r="U23" i="1"/>
  <c r="S43" i="1"/>
  <c r="Q43" i="1"/>
  <c r="O43" i="1"/>
  <c r="M43" i="1"/>
  <c r="K43" i="1"/>
  <c r="I43" i="1"/>
  <c r="G43" i="1"/>
  <c r="E43" i="1"/>
  <c r="S38" i="1"/>
  <c r="Q38" i="1"/>
  <c r="O38" i="1"/>
  <c r="M38" i="1"/>
  <c r="K38" i="1"/>
  <c r="I38" i="1"/>
  <c r="G38" i="1"/>
  <c r="E38" i="1"/>
  <c r="S33" i="1"/>
  <c r="Q33" i="1"/>
  <c r="O33" i="1"/>
  <c r="M33" i="1"/>
  <c r="K33" i="1"/>
  <c r="I33" i="1"/>
  <c r="G33" i="1"/>
  <c r="E33" i="1"/>
  <c r="S28" i="1"/>
  <c r="Q28" i="1"/>
  <c r="O28" i="1"/>
  <c r="M28" i="1"/>
  <c r="K28" i="1"/>
  <c r="I28" i="1"/>
  <c r="G28" i="1"/>
  <c r="E28" i="1"/>
  <c r="S23" i="1"/>
  <c r="Q23" i="1"/>
  <c r="M23" i="1"/>
  <c r="O23" i="1"/>
  <c r="K23" i="1"/>
  <c r="I23" i="1"/>
  <c r="G23" i="1"/>
  <c r="E23" i="1"/>
  <c r="K18" i="1" l="1"/>
  <c r="M16" i="1"/>
  <c r="M18" i="1" s="1"/>
  <c r="L16" i="1"/>
  <c r="L18" i="1" s="1"/>
  <c r="K15" i="1"/>
  <c r="L14" i="1"/>
  <c r="M13" i="1"/>
  <c r="M15" i="1" s="1"/>
  <c r="L13" i="1"/>
  <c r="L10" i="1"/>
  <c r="L12" i="1" s="1"/>
  <c r="K10" i="1"/>
  <c r="K12" i="1" s="1"/>
  <c r="K9" i="1"/>
  <c r="M7" i="1"/>
  <c r="M9" i="1" s="1"/>
  <c r="L7" i="1"/>
  <c r="L9" i="1" s="1"/>
  <c r="M6" i="1"/>
  <c r="L6" i="1"/>
  <c r="K6" i="1"/>
  <c r="L15" i="1" l="1"/>
  <c r="E24" i="1" l="1"/>
  <c r="J17" i="1" l="1"/>
  <c r="J16" i="1"/>
  <c r="I17" i="1"/>
  <c r="I16" i="1"/>
  <c r="J14" i="1"/>
  <c r="I14" i="1"/>
  <c r="I13" i="1"/>
  <c r="J11" i="1"/>
  <c r="I11" i="1"/>
  <c r="J8" i="1"/>
  <c r="I8" i="1"/>
  <c r="J5" i="1"/>
  <c r="I5" i="1"/>
  <c r="H17" i="1"/>
  <c r="H16" i="1"/>
  <c r="G17" i="1"/>
  <c r="G16" i="1"/>
  <c r="H14" i="1"/>
  <c r="H13" i="1"/>
  <c r="H8" i="1"/>
  <c r="G8" i="1"/>
  <c r="G7" i="1"/>
  <c r="H5" i="1"/>
  <c r="G5" i="1"/>
  <c r="H15" i="1" l="1"/>
  <c r="G9" i="1"/>
  <c r="G18" i="1"/>
  <c r="I15" i="1"/>
  <c r="J18" i="1"/>
  <c r="I18" i="1"/>
  <c r="H18" i="1"/>
  <c r="K30" i="1" l="1"/>
  <c r="K29" i="1"/>
  <c r="I24" i="1"/>
  <c r="I25" i="1"/>
  <c r="K24" i="1"/>
  <c r="K25" i="1"/>
  <c r="E25" i="1"/>
  <c r="D24" i="1" s="1"/>
  <c r="G25" i="1"/>
  <c r="J4" i="1" s="1"/>
  <c r="J6" i="1" s="1"/>
  <c r="I4" i="1" l="1"/>
  <c r="I6" i="1" s="1"/>
  <c r="H4" i="1"/>
  <c r="H6" i="1" s="1"/>
  <c r="G4" i="1"/>
  <c r="G6" i="1" s="1"/>
  <c r="H7" i="1"/>
  <c r="H9" i="1" s="1"/>
  <c r="G40" i="1"/>
  <c r="J13" i="1" s="1"/>
  <c r="J15" i="1" s="1"/>
  <c r="G35" i="1"/>
  <c r="G34" i="1"/>
  <c r="E35" i="1"/>
  <c r="I10" i="1" s="1"/>
  <c r="I12" i="1" s="1"/>
  <c r="D36" i="1"/>
  <c r="E29" i="1"/>
  <c r="E30" i="1"/>
  <c r="I7" i="1" s="1"/>
  <c r="I9" i="1" s="1"/>
  <c r="G29" i="1"/>
  <c r="G30" i="1"/>
  <c r="Q9" i="1" l="1"/>
  <c r="N9" i="1"/>
  <c r="O9" i="1"/>
  <c r="T36" i="1"/>
  <c r="U36" i="1"/>
  <c r="D37" i="1"/>
  <c r="U37" i="1" s="1"/>
  <c r="J10" i="1"/>
  <c r="J12" i="1" s="1"/>
  <c r="J7" i="1"/>
  <c r="J9" i="1" s="1"/>
  <c r="P9" i="1" s="1"/>
  <c r="F37" i="1"/>
  <c r="D35" i="1"/>
  <c r="D34" i="1"/>
  <c r="U34" i="1" s="1"/>
  <c r="F35" i="1"/>
  <c r="F34" i="1"/>
  <c r="F36" i="1"/>
  <c r="F24" i="1"/>
  <c r="I42" i="1"/>
  <c r="G14" i="1" s="1"/>
  <c r="I39" i="1"/>
  <c r="G13" i="1" s="1"/>
  <c r="H30" i="1"/>
  <c r="T35" i="1" l="1"/>
  <c r="U35" i="1"/>
  <c r="G15" i="1"/>
  <c r="T34" i="1"/>
  <c r="H29" i="1"/>
  <c r="T37" i="1"/>
  <c r="F47" i="1"/>
  <c r="D47" i="1"/>
  <c r="F46" i="1"/>
  <c r="D46" i="1"/>
  <c r="F45" i="1"/>
  <c r="D45" i="1"/>
  <c r="F44" i="1"/>
  <c r="D44" i="1"/>
  <c r="F42" i="1"/>
  <c r="D42" i="1"/>
  <c r="F41" i="1"/>
  <c r="D41" i="1"/>
  <c r="F40" i="1"/>
  <c r="D40" i="1"/>
  <c r="F39" i="1"/>
  <c r="D39" i="1"/>
  <c r="F32" i="1"/>
  <c r="D32" i="1"/>
  <c r="F31" i="1"/>
  <c r="D31" i="1"/>
  <c r="F30" i="1"/>
  <c r="D30" i="1"/>
  <c r="T30" i="1" s="1"/>
  <c r="F29" i="1"/>
  <c r="D29" i="1"/>
  <c r="F27" i="1"/>
  <c r="D27" i="1"/>
  <c r="F26" i="1"/>
  <c r="D26" i="1"/>
  <c r="F25" i="1"/>
  <c r="D25" i="1"/>
  <c r="J47" i="1"/>
  <c r="J46" i="1"/>
  <c r="J45" i="1"/>
  <c r="J44" i="1"/>
  <c r="H47" i="1"/>
  <c r="H46" i="1"/>
  <c r="H45" i="1"/>
  <c r="H44" i="1"/>
  <c r="J42" i="1"/>
  <c r="J41" i="1"/>
  <c r="J40" i="1"/>
  <c r="J39" i="1"/>
  <c r="H42" i="1"/>
  <c r="H41" i="1"/>
  <c r="H40" i="1"/>
  <c r="H39" i="1"/>
  <c r="J32" i="1"/>
  <c r="J31" i="1"/>
  <c r="J30" i="1"/>
  <c r="J29" i="1"/>
  <c r="H32" i="1"/>
  <c r="H31" i="1"/>
  <c r="J27" i="1"/>
  <c r="J26" i="1"/>
  <c r="J25" i="1"/>
  <c r="J24" i="1"/>
  <c r="H27" i="1"/>
  <c r="H26" i="1"/>
  <c r="H25" i="1"/>
  <c r="H24" i="1"/>
  <c r="T24" i="1" s="1"/>
  <c r="U29" i="1" l="1"/>
  <c r="T29" i="1"/>
  <c r="T26" i="1"/>
  <c r="T25" i="1"/>
  <c r="T32" i="1"/>
  <c r="T27" i="1"/>
  <c r="T31" i="1"/>
  <c r="T46" i="1"/>
  <c r="T47" i="1"/>
  <c r="T44" i="1"/>
  <c r="T42" i="1"/>
  <c r="T39" i="1"/>
  <c r="T41" i="1"/>
  <c r="U31" i="1"/>
  <c r="T40" i="1"/>
  <c r="T45" i="1"/>
  <c r="U47" i="1"/>
  <c r="U30" i="1"/>
  <c r="U25" i="1"/>
  <c r="U32" i="1"/>
  <c r="U46" i="1"/>
  <c r="U45" i="1"/>
  <c r="U44" i="1"/>
  <c r="U41" i="1"/>
  <c r="U40" i="1"/>
  <c r="U42" i="1"/>
  <c r="U39" i="1"/>
  <c r="U24" i="1"/>
  <c r="U26" i="1"/>
  <c r="U27" i="1"/>
  <c r="N45" i="1"/>
  <c r="O46" i="1" s="1"/>
  <c r="L35" i="1"/>
  <c r="L34" i="1"/>
  <c r="P35" i="1"/>
  <c r="P34" i="1"/>
  <c r="P30" i="1"/>
  <c r="P29" i="1"/>
  <c r="P25" i="1"/>
  <c r="P24" i="1"/>
  <c r="Q47" i="1"/>
  <c r="Q46" i="1"/>
  <c r="Q45" i="1"/>
  <c r="Q44" i="1"/>
  <c r="S42" i="1"/>
  <c r="Q42" i="1"/>
  <c r="S41" i="1"/>
  <c r="Q41" i="1"/>
  <c r="S40" i="1"/>
  <c r="Q40" i="1"/>
  <c r="S39" i="1"/>
  <c r="Q39" i="1"/>
  <c r="S32" i="1"/>
  <c r="S31" i="1"/>
  <c r="S30" i="1"/>
  <c r="S29" i="1"/>
  <c r="S24" i="1"/>
  <c r="S27" i="1"/>
  <c r="S26" i="1"/>
  <c r="S25" i="1"/>
  <c r="O32" i="1"/>
  <c r="O31" i="1"/>
  <c r="O30" i="1"/>
  <c r="O29" i="1"/>
  <c r="O25" i="1"/>
  <c r="O27" i="1"/>
  <c r="O26" i="1"/>
  <c r="M26" i="1"/>
  <c r="M25" i="1"/>
  <c r="O24" i="1"/>
  <c r="M24" i="1"/>
  <c r="M39" i="1"/>
  <c r="M40" i="1"/>
  <c r="M41" i="1"/>
  <c r="M42" i="1"/>
  <c r="O39" i="1"/>
  <c r="O40" i="1"/>
  <c r="O41" i="1"/>
  <c r="O42" i="1"/>
  <c r="M27" i="1"/>
  <c r="V46" i="1" l="1"/>
  <c r="W46" i="1"/>
  <c r="Q29" i="1"/>
  <c r="W29" i="1" s="1"/>
  <c r="W42" i="1"/>
  <c r="M37" i="1"/>
  <c r="W41" i="1"/>
  <c r="V42" i="1"/>
  <c r="W39" i="1"/>
  <c r="V40" i="1"/>
  <c r="W40" i="1"/>
  <c r="V39" i="1"/>
  <c r="V41" i="1"/>
  <c r="Q35" i="1"/>
  <c r="Q25" i="1"/>
  <c r="V25" i="1" s="1"/>
  <c r="Q24" i="1"/>
  <c r="V24" i="1" s="1"/>
  <c r="O47" i="1"/>
  <c r="W47" i="1" s="1"/>
  <c r="Q34" i="1"/>
  <c r="M34" i="1"/>
  <c r="Q36" i="1"/>
  <c r="Q31" i="1"/>
  <c r="V31" i="1" s="1"/>
  <c r="O45" i="1"/>
  <c r="Q37" i="1"/>
  <c r="Q30" i="1"/>
  <c r="W30" i="1" s="1"/>
  <c r="M35" i="1"/>
  <c r="Q32" i="1"/>
  <c r="W32" i="1" s="1"/>
  <c r="Q27" i="1"/>
  <c r="V27" i="1" s="1"/>
  <c r="O44" i="1"/>
  <c r="Q26" i="1"/>
  <c r="W26" i="1" s="1"/>
  <c r="M36" i="1"/>
  <c r="D17" i="1"/>
  <c r="D18" i="1" s="1"/>
  <c r="D10" i="1"/>
  <c r="E16" i="1"/>
  <c r="E13" i="1"/>
  <c r="E10" i="1"/>
  <c r="O18" i="1" l="1"/>
  <c r="N18" i="1"/>
  <c r="V29" i="1"/>
  <c r="V30" i="1"/>
  <c r="V32" i="1"/>
  <c r="V36" i="1"/>
  <c r="W36" i="1"/>
  <c r="W45" i="1"/>
  <c r="V45" i="1"/>
  <c r="V37" i="1"/>
  <c r="W37" i="1"/>
  <c r="V26" i="1"/>
  <c r="W35" i="1"/>
  <c r="V35" i="1"/>
  <c r="W31" i="1"/>
  <c r="W44" i="1"/>
  <c r="V44" i="1"/>
  <c r="V34" i="1"/>
  <c r="W34" i="1"/>
  <c r="V47" i="1"/>
  <c r="W27" i="1"/>
  <c r="W25" i="1"/>
  <c r="W24" i="1"/>
  <c r="F18" i="1"/>
  <c r="E18" i="1"/>
  <c r="D15" i="1"/>
  <c r="E15" i="1"/>
  <c r="F15" i="1"/>
  <c r="Q15" i="1" s="1"/>
  <c r="F12" i="1"/>
  <c r="E12" i="1"/>
  <c r="P12" i="1" s="1"/>
  <c r="D12" i="1"/>
  <c r="F6" i="1"/>
  <c r="E6" i="1"/>
  <c r="D6" i="1"/>
  <c r="Q6" i="1" l="1"/>
  <c r="Q18" i="1"/>
  <c r="P15" i="1"/>
  <c r="N15" i="1"/>
  <c r="O15" i="1"/>
  <c r="O12" i="1"/>
  <c r="N12" i="1"/>
  <c r="Q12" i="1"/>
  <c r="N6" i="1"/>
  <c r="O6" i="1"/>
  <c r="P6" i="1"/>
  <c r="P18" i="1"/>
</calcChain>
</file>

<file path=xl/sharedStrings.xml><?xml version="1.0" encoding="utf-8"?>
<sst xmlns="http://schemas.openxmlformats.org/spreadsheetml/2006/main" count="220" uniqueCount="35">
  <si>
    <t>Y11026</t>
  </si>
  <si>
    <t>1SPB</t>
  </si>
  <si>
    <t>2SPB</t>
  </si>
  <si>
    <t>4d</t>
  </si>
  <si>
    <t>exit 45m</t>
  </si>
  <si>
    <t>exit 60m</t>
  </si>
  <si>
    <t>exit 90m</t>
  </si>
  <si>
    <t>exit 115m</t>
  </si>
  <si>
    <t>Y289</t>
  </si>
  <si>
    <t>WT</t>
  </si>
  <si>
    <t>Y290</t>
  </si>
  <si>
    <t>1SPB QMT</t>
  </si>
  <si>
    <t>2SPB QMT</t>
  </si>
  <si>
    <t>Isy760</t>
  </si>
  <si>
    <t>IsY289</t>
  </si>
  <si>
    <t>1SPB NO-QnMT</t>
  </si>
  <si>
    <t>2SPB NO-QnMT</t>
  </si>
  <si>
    <t>Isy289</t>
  </si>
  <si>
    <t>Isy290</t>
  </si>
  <si>
    <t>wT</t>
  </si>
  <si>
    <t>kip3deltashe1delta</t>
  </si>
  <si>
    <t>nd</t>
  </si>
  <si>
    <t>Mean</t>
  </si>
  <si>
    <t>SD</t>
  </si>
  <si>
    <t>kip3she1delta</t>
  </si>
  <si>
    <t>% 2SPB</t>
  </si>
  <si>
    <t>data1</t>
  </si>
  <si>
    <t>data2</t>
  </si>
  <si>
    <t>data3</t>
  </si>
  <si>
    <t>+45min</t>
  </si>
  <si>
    <t>+60min</t>
  </si>
  <si>
    <t>+90min</t>
  </si>
  <si>
    <t>+115min</t>
  </si>
  <si>
    <t>data4</t>
  </si>
  <si>
    <t>n=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</si>
</sst>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/>
    </xf>
    <xf numFmtId="9" fontId="1" fillId="0" borderId="33" xfId="1" applyFont="1" applyBorder="1" applyAlignment="1">
      <alignment horizontal="center" vertical="center"/>
    </xf>
    <xf numFmtId="9" fontId="1" fillId="0" borderId="36" xfId="1" applyFont="1" applyBorder="1" applyAlignment="1">
      <alignment horizontal="center" vertical="center"/>
    </xf>
    <xf numFmtId="9" fontId="1" fillId="0" borderId="3" xfId="1" applyFont="1" applyBorder="1" applyAlignment="1">
      <alignment horizontal="center" vertical="center"/>
    </xf>
    <xf numFmtId="9" fontId="1" fillId="0" borderId="5" xfId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9" fontId="1" fillId="0" borderId="7" xfId="1" applyFont="1" applyBorder="1" applyAlignment="1">
      <alignment horizontal="center" vertical="center"/>
    </xf>
    <xf numFmtId="9" fontId="1" fillId="0" borderId="46" xfId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/>
    </xf>
    <xf numFmtId="1" fontId="1" fillId="0" borderId="8" xfId="2" applyNumberFormat="1" applyFont="1" applyBorder="1" applyAlignment="1">
      <alignment horizontal="center" vertical="center"/>
    </xf>
    <xf numFmtId="1" fontId="1" fillId="0" borderId="5" xfId="2" applyNumberFormat="1" applyFont="1" applyBorder="1" applyAlignment="1">
      <alignment horizontal="center" vertical="center"/>
    </xf>
    <xf numFmtId="9" fontId="1" fillId="0" borderId="9" xfId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/>
    </xf>
    <xf numFmtId="1" fontId="1" fillId="0" borderId="4" xfId="2" applyNumberFormat="1" applyFont="1" applyBorder="1" applyAlignment="1">
      <alignment horizontal="center" vertical="center"/>
    </xf>
    <xf numFmtId="1" fontId="1" fillId="0" borderId="3" xfId="2" applyNumberFormat="1" applyFont="1" applyBorder="1" applyAlignment="1">
      <alignment horizontal="center" vertical="center"/>
    </xf>
    <xf numFmtId="1" fontId="1" fillId="0" borderId="37" xfId="2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textRotation="90"/>
    </xf>
    <xf numFmtId="0" fontId="0" fillId="0" borderId="0" xfId="0" applyAlignment="1">
      <alignment horizontal="center" textRotation="90" wrapText="1"/>
    </xf>
    <xf numFmtId="0" fontId="0" fillId="0" borderId="2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40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9" fontId="0" fillId="0" borderId="7" xfId="1" applyFont="1" applyFill="1" applyBorder="1" applyAlignment="1">
      <alignment horizontal="center"/>
    </xf>
    <xf numFmtId="9" fontId="0" fillId="0" borderId="4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1" fontId="0" fillId="0" borderId="6" xfId="2" applyNumberFormat="1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37" xfId="1" applyFont="1" applyBorder="1" applyAlignment="1">
      <alignment horizontal="center"/>
    </xf>
    <xf numFmtId="9" fontId="0" fillId="0" borderId="46" xfId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1" fontId="0" fillId="0" borderId="39" xfId="2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9" fontId="0" fillId="0" borderId="36" xfId="1" applyFont="1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39" xfId="0" applyNumberFormat="1" applyFont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9" fontId="0" fillId="0" borderId="33" xfId="1" applyFont="1" applyBorder="1" applyAlignment="1">
      <alignment horizontal="center" vertical="center"/>
    </xf>
    <xf numFmtId="9" fontId="2" fillId="0" borderId="33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0" fillId="0" borderId="40" xfId="1" applyFont="1" applyBorder="1" applyAlignment="1">
      <alignment horizontal="center" vertical="center"/>
    </xf>
    <xf numFmtId="9" fontId="2" fillId="0" borderId="40" xfId="1" applyFon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0" fontId="0" fillId="0" borderId="37" xfId="0" applyFont="1" applyFill="1" applyBorder="1" applyAlignment="1">
      <alignment horizontal="center"/>
    </xf>
    <xf numFmtId="9" fontId="0" fillId="0" borderId="36" xfId="1" applyFont="1" applyBorder="1" applyAlignment="1">
      <alignment horizontal="center" vertical="center"/>
    </xf>
    <xf numFmtId="9" fontId="2" fillId="0" borderId="36" xfId="1" applyFont="1" applyBorder="1" applyAlignment="1">
      <alignment horizontal="center" vertical="center"/>
    </xf>
    <xf numFmtId="9" fontId="0" fillId="0" borderId="37" xfId="1" applyFont="1" applyBorder="1" applyAlignment="1">
      <alignment horizontal="center" vertical="center"/>
    </xf>
    <xf numFmtId="1" fontId="1" fillId="0" borderId="7" xfId="2" applyNumberFormat="1" applyFont="1" applyFill="1" applyBorder="1" applyAlignment="1">
      <alignment horizontal="center" vertical="center"/>
    </xf>
    <xf numFmtId="9" fontId="1" fillId="0" borderId="8" xfId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0" fillId="0" borderId="0" xfId="1" applyFont="1" applyBorder="1"/>
    <xf numFmtId="0" fontId="5" fillId="0" borderId="4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9" xfId="0" applyFont="1" applyBorder="1" applyAlignment="1">
      <alignment horizontal="center" vertical="center"/>
    </xf>
    <xf numFmtId="0" fontId="5" fillId="0" borderId="8" xfId="0" applyFont="1" applyBorder="1"/>
    <xf numFmtId="0" fontId="5" fillId="0" borderId="12" xfId="0" applyFont="1" applyBorder="1"/>
    <xf numFmtId="9" fontId="5" fillId="0" borderId="45" xfId="1" applyFont="1" applyBorder="1" applyAlignment="1">
      <alignment horizontal="center"/>
    </xf>
    <xf numFmtId="9" fontId="5" fillId="0" borderId="9" xfId="1" applyFont="1" applyBorder="1" applyAlignment="1">
      <alignment horizontal="center"/>
    </xf>
    <xf numFmtId="9" fontId="5" fillId="0" borderId="5" xfId="1" applyFont="1" applyBorder="1" applyAlignment="1">
      <alignment horizontal="center" vertical="center"/>
    </xf>
    <xf numFmtId="9" fontId="5" fillId="0" borderId="5" xfId="1" applyFont="1" applyBorder="1"/>
    <xf numFmtId="1" fontId="5" fillId="0" borderId="42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/>
    <xf numFmtId="0" fontId="5" fillId="0" borderId="48" xfId="0" applyFont="1" applyBorder="1" applyAlignment="1">
      <alignment horizontal="center" vertical="center"/>
    </xf>
    <xf numFmtId="0" fontId="5" fillId="0" borderId="13" xfId="0" applyFont="1" applyBorder="1"/>
    <xf numFmtId="9" fontId="5" fillId="0" borderId="21" xfId="1" applyFont="1" applyBorder="1" applyAlignment="1">
      <alignment horizontal="center"/>
    </xf>
    <xf numFmtId="9" fontId="5" fillId="0" borderId="46" xfId="1" applyFont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0" fontId="5" fillId="0" borderId="10" xfId="0" applyFont="1" applyBorder="1"/>
    <xf numFmtId="0" fontId="5" fillId="2" borderId="10" xfId="0" applyFont="1" applyFill="1" applyBorder="1"/>
    <xf numFmtId="0" fontId="5" fillId="2" borderId="13" xfId="0" applyFont="1" applyFill="1" applyBorder="1"/>
    <xf numFmtId="9" fontId="5" fillId="2" borderId="5" xfId="1" applyFont="1" applyFill="1" applyBorder="1"/>
    <xf numFmtId="0" fontId="5" fillId="0" borderId="11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9" fontId="5" fillId="0" borderId="21" xfId="1" applyFont="1" applyFill="1" applyBorder="1" applyAlignment="1">
      <alignment horizontal="center"/>
    </xf>
    <xf numFmtId="9" fontId="5" fillId="0" borderId="5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9" fontId="0" fillId="0" borderId="46" xfId="1" applyFont="1" applyFill="1" applyBorder="1" applyAlignment="1">
      <alignment horizontal="center"/>
    </xf>
    <xf numFmtId="9" fontId="0" fillId="0" borderId="37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8" xfId="0" applyFont="1" applyBorder="1" applyAlignment="1">
      <alignment horizontal="center" vertical="center" textRotation="90"/>
    </xf>
    <xf numFmtId="0" fontId="0" fillId="0" borderId="18" xfId="0" applyFont="1" applyBorder="1" applyAlignment="1">
      <alignment horizontal="center" vertical="center" textRotation="90"/>
    </xf>
    <xf numFmtId="0" fontId="0" fillId="0" borderId="32" xfId="0" applyFont="1" applyBorder="1" applyAlignment="1">
      <alignment horizontal="center" vertical="center" textRotation="90"/>
    </xf>
    <xf numFmtId="0" fontId="0" fillId="0" borderId="34" xfId="0" applyFont="1" applyBorder="1" applyAlignment="1">
      <alignment horizontal="center" vertical="center" textRotation="90"/>
    </xf>
    <xf numFmtId="0" fontId="0" fillId="0" borderId="31" xfId="0" applyFont="1" applyBorder="1" applyAlignment="1">
      <alignment horizontal="center" vertical="center" textRotation="90"/>
    </xf>
    <xf numFmtId="0" fontId="0" fillId="0" borderId="30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9" fontId="1" fillId="0" borderId="45" xfId="1" applyFont="1" applyBorder="1" applyAlignment="1">
      <alignment horizontal="center" vertical="center"/>
    </xf>
    <xf numFmtId="1" fontId="1" fillId="0" borderId="9" xfId="2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textRotation="90" wrapText="1"/>
    </xf>
    <xf numFmtId="1" fontId="0" fillId="0" borderId="33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0" fillId="0" borderId="33" xfId="0" applyNumberFormat="1" applyFont="1" applyBorder="1" applyAlignment="1">
      <alignment horizontal="center"/>
    </xf>
    <xf numFmtId="1" fontId="0" fillId="0" borderId="33" xfId="2" applyNumberFormat="1" applyFont="1" applyFill="1" applyBorder="1" applyAlignment="1">
      <alignment horizontal="center" vertical="center"/>
    </xf>
    <xf numFmtId="1" fontId="1" fillId="0" borderId="33" xfId="2" applyNumberFormat="1" applyFont="1" applyFill="1" applyBorder="1" applyAlignment="1">
      <alignment horizontal="center" vertical="center"/>
    </xf>
    <xf numFmtId="1" fontId="0" fillId="0" borderId="3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" fontId="0" fillId="0" borderId="4" xfId="0" applyNumberFormat="1" applyFont="1" applyBorder="1" applyAlignment="1">
      <alignment horizontal="center" vertical="center"/>
    </xf>
    <xf numFmtId="9" fontId="1" fillId="0" borderId="36" xfId="1" applyFont="1" applyFill="1" applyBorder="1" applyAlignment="1">
      <alignment horizontal="center"/>
    </xf>
    <xf numFmtId="0" fontId="1" fillId="0" borderId="36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1" fillId="0" borderId="7" xfId="2" applyNumberFormat="1" applyFont="1" applyBorder="1" applyAlignment="1">
      <alignment horizontal="center" vertical="center"/>
    </xf>
    <xf numFmtId="1" fontId="1" fillId="0" borderId="46" xfId="2" applyNumberFormat="1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9" fontId="1" fillId="0" borderId="44" xfId="1" applyFont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9" fontId="1" fillId="0" borderId="21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" fillId="0" borderId="44" xfId="2" applyNumberFormat="1" applyFont="1" applyBorder="1" applyAlignment="1">
      <alignment horizontal="center" vertical="center"/>
    </xf>
    <xf numFmtId="9" fontId="1" fillId="0" borderId="21" xfId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1" fontId="1" fillId="0" borderId="4" xfId="2" applyNumberFormat="1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9" fontId="2" fillId="0" borderId="44" xfId="1" applyFont="1" applyBorder="1" applyAlignment="1">
      <alignment horizontal="center" vertical="center"/>
    </xf>
    <xf numFmtId="9" fontId="2" fillId="0" borderId="21" xfId="1" applyFont="1" applyBorder="1" applyAlignment="1">
      <alignment horizontal="center" vertical="center"/>
    </xf>
    <xf numFmtId="9" fontId="1" fillId="0" borderId="4" xfId="1" applyFont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29" xfId="0" applyBorder="1" applyAlignment="1">
      <alignment horizontal="center"/>
    </xf>
    <xf numFmtId="9" fontId="1" fillId="0" borderId="8" xfId="1" applyFont="1" applyBorder="1" applyAlignment="1">
      <alignment horizontal="center" vertical="center"/>
    </xf>
    <xf numFmtId="1" fontId="1" fillId="0" borderId="12" xfId="2" applyNumberFormat="1" applyFont="1" applyBorder="1" applyAlignment="1">
      <alignment horizontal="center" vertical="center"/>
    </xf>
    <xf numFmtId="1" fontId="1" fillId="0" borderId="45" xfId="2" applyNumberFormat="1" applyFont="1" applyBorder="1" applyAlignment="1">
      <alignment horizontal="center" vertical="center"/>
    </xf>
    <xf numFmtId="9" fontId="1" fillId="0" borderId="40" xfId="1" applyFont="1" applyBorder="1" applyAlignment="1">
      <alignment horizontal="center" vertical="center"/>
    </xf>
    <xf numFmtId="0" fontId="1" fillId="0" borderId="40" xfId="1" applyNumberFormat="1" applyFont="1" applyBorder="1" applyAlignment="1">
      <alignment horizontal="center"/>
    </xf>
    <xf numFmtId="9" fontId="1" fillId="0" borderId="12" xfId="1" applyFont="1" applyBorder="1" applyAlignment="1">
      <alignment horizontal="center" vertical="center"/>
    </xf>
    <xf numFmtId="9" fontId="2" fillId="0" borderId="45" xfId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1" fontId="0" fillId="0" borderId="41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1" fontId="0" fillId="0" borderId="41" xfId="0" applyNumberFormat="1" applyFont="1" applyBorder="1" applyAlignment="1">
      <alignment horizontal="center" vertical="center"/>
    </xf>
    <xf numFmtId="1" fontId="0" fillId="0" borderId="39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1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1" fontId="0" fillId="0" borderId="35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1" fillId="0" borderId="36" xfId="1" applyNumberFormat="1" applyFont="1" applyBorder="1" applyAlignment="1">
      <alignment horizontal="center"/>
    </xf>
    <xf numFmtId="9" fontId="1" fillId="0" borderId="37" xfId="1" applyFont="1" applyBorder="1" applyAlignment="1">
      <alignment horizontal="center" vertical="center"/>
    </xf>
    <xf numFmtId="9" fontId="1" fillId="0" borderId="45" xfId="1" applyFont="1" applyFill="1" applyBorder="1" applyAlignment="1">
      <alignment horizontal="center"/>
    </xf>
    <xf numFmtId="9" fontId="1" fillId="0" borderId="40" xfId="1" applyFont="1" applyFill="1" applyBorder="1" applyAlignment="1">
      <alignment horizontal="center"/>
    </xf>
    <xf numFmtId="1" fontId="1" fillId="0" borderId="21" xfId="2" applyNumberFormat="1" applyFont="1" applyBorder="1" applyAlignment="1">
      <alignment horizontal="center" vertical="center"/>
    </xf>
    <xf numFmtId="1" fontId="1" fillId="0" borderId="36" xfId="1" applyNumberFormat="1" applyFont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'exit SPB'!$X$26</c:f>
              <c:strCache>
                <c:ptCount val="1"/>
              </c:strCache>
            </c:strRef>
          </c:tx>
          <c:invertIfNegative val="0"/>
          <c:val>
            <c:numRef>
              <c:f>('exit SPB'!$T$26,'exit SPB'!$T$31,'exit SPB'!$T$36,'exit SPB'!$T$41,'exit SPB'!$T$46,'exit SPB'!$I$48,'exit SPB'!$V$26,'exit SPB'!$V$31,'exit SPB'!$V$36,'exit SPB'!$V$41,'exit SPB'!$V$46)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9.3103448275862061E-3</c:v>
                </c:pt>
                <c:pt idx="4">
                  <c:v>6.41025641025641E-3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3.6767505414918096E-3</c:v>
                </c:pt>
                <c:pt idx="10">
                  <c:v>6.9094304388422033E-3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('exit SPB'!#REF!,'exit SPB'!#REF!,'exit SPB'!#REF!,'exit SPB'!#REF!,'exit SPB'!#REF!)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43A-4153-8B5E-1BB70C006E70}"/>
            </c:ext>
          </c:extLst>
        </c:ser>
        <c:ser>
          <c:idx val="3"/>
          <c:order val="1"/>
          <c:tx>
            <c:strRef>
              <c:f>'exit SPB'!$X$27</c:f>
              <c:strCache>
                <c:ptCount val="1"/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('exit SPB'!$U$27,'exit SPB'!$U$32,'exit SPB'!$U$37,'exit SPB'!$U$42,'exit SPB'!$U$47,'exit SPB'!$I$48,'exit SPB'!$W$27,'exit SPB'!$W$32,'exit SPB'!$W$37,'exit SPB'!$W$42,'exit SPB'!$W$47)</c:f>
                <c:numCache>
                  <c:formatCode>General</c:formatCode>
                  <c:ptCount val="11"/>
                  <c:pt idx="0">
                    <c:v>8.323544258318636E-3</c:v>
                  </c:pt>
                  <c:pt idx="1">
                    <c:v>3.5324835719291237E-3</c:v>
                  </c:pt>
                  <c:pt idx="2">
                    <c:v>0</c:v>
                  </c:pt>
                  <c:pt idx="3">
                    <c:v>4.731627210660309E-3</c:v>
                  </c:pt>
                  <c:pt idx="4">
                    <c:v>7.7066325393861809E-2</c:v>
                  </c:pt>
                  <c:pt idx="6">
                    <c:v>3.304013133986982E-2</c:v>
                  </c:pt>
                  <c:pt idx="7">
                    <c:v>7.6992874055435701E-3</c:v>
                  </c:pt>
                  <c:pt idx="8">
                    <c:v>4.4098676188089967E-3</c:v>
                  </c:pt>
                  <c:pt idx="9">
                    <c:v>0.11330302442258942</c:v>
                  </c:pt>
                  <c:pt idx="10">
                    <c:v>5.3420340370910362E-2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('exit SPB'!$T$27,'exit SPB'!$T$32,'exit SPB'!$T$37,'exit SPB'!$T$42,'exit SPB'!$T$47,'exit SPB'!$I$48,'exit SPB'!$V$27,'exit SPB'!$V$32,'exit SPB'!$V$37,'exit SPB'!$V$42,'exit SPB'!$V$47)</c:f>
              <c:numCache>
                <c:formatCode>0%</c:formatCode>
                <c:ptCount val="11"/>
                <c:pt idx="0">
                  <c:v>1.9218967921896792E-2</c:v>
                </c:pt>
                <c:pt idx="1">
                  <c:v>1.7276168211293869E-2</c:v>
                </c:pt>
                <c:pt idx="2">
                  <c:v>7.3529411764705881E-3</c:v>
                </c:pt>
                <c:pt idx="3">
                  <c:v>0.6071193505923651</c:v>
                </c:pt>
                <c:pt idx="4">
                  <c:v>0.79706837871287128</c:v>
                </c:pt>
                <c:pt idx="6">
                  <c:v>3.4333239122286259E-2</c:v>
                </c:pt>
                <c:pt idx="7">
                  <c:v>8.7143621493541244E-3</c:v>
                </c:pt>
                <c:pt idx="8">
                  <c:v>1.1637109191138341E-2</c:v>
                </c:pt>
                <c:pt idx="9">
                  <c:v>0.16346856092333903</c:v>
                </c:pt>
                <c:pt idx="10">
                  <c:v>0.42341566884000581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('exit SPB'!#REF!,'exit SPB'!#REF!,'exit SPB'!#REF!,'exit SPB'!#REF!,'exit SPB'!#REF!)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43A-4153-8B5E-1BB70C006E70}"/>
            </c:ext>
          </c:extLst>
        </c:ser>
        <c:ser>
          <c:idx val="1"/>
          <c:order val="2"/>
          <c:tx>
            <c:strRef>
              <c:f>'exit SPB'!$X$25</c:f>
              <c:strCache>
                <c:ptCount val="1"/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('exit SPB'!$U$25,'exit SPB'!$U$30,'exit SPB'!$U$35,'exit SPB'!$U$40,'exit SPB'!$U$45,'exit SPB'!$I$48,'exit SPB'!$W$25,'exit SPB'!$W$30,'exit SPB'!$W$35,'exit SPB'!$W$40,'exit SPB'!$W$45)</c:f>
                <c:numCache>
                  <c:formatCode>General</c:formatCode>
                  <c:ptCount val="11"/>
                  <c:pt idx="0">
                    <c:v>5.2860423251881328E-3</c:v>
                  </c:pt>
                  <c:pt idx="1">
                    <c:v>1.0617130290004233E-2</c:v>
                  </c:pt>
                  <c:pt idx="2">
                    <c:v>0</c:v>
                  </c:pt>
                  <c:pt idx="3">
                    <c:v>3.2500849201092995E-2</c:v>
                  </c:pt>
                  <c:pt idx="4">
                    <c:v>6.8588482642940124E-2</c:v>
                  </c:pt>
                  <c:pt idx="6">
                    <c:v>0.11546116762836636</c:v>
                  </c:pt>
                  <c:pt idx="7">
                    <c:v>0.14320503918934074</c:v>
                  </c:pt>
                  <c:pt idx="8">
                    <c:v>7.4160386461172678E-2</c:v>
                  </c:pt>
                  <c:pt idx="9">
                    <c:v>2.4622276885105793E-2</c:v>
                  </c:pt>
                  <c:pt idx="10">
                    <c:v>2.5244680048451977E-2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('exit SPB'!$T$25,'exit SPB'!$T$30,'exit SPB'!$T$35,'exit SPB'!$T$40,'exit SPB'!$T$45,'exit SPB'!$I$48,'exit SPB'!$V$25,'exit SPB'!$V$30,'exit SPB'!$V$35,'exit SPB'!$V$40,'exit SPB'!$V$45)</c:f>
              <c:numCache>
                <c:formatCode>0%</c:formatCode>
                <c:ptCount val="11"/>
                <c:pt idx="0">
                  <c:v>0.4095955369595537</c:v>
                </c:pt>
                <c:pt idx="1">
                  <c:v>0.85972419359327601</c:v>
                </c:pt>
                <c:pt idx="2">
                  <c:v>0.96323529411764708</c:v>
                </c:pt>
                <c:pt idx="3">
                  <c:v>0.35437691970162355</c:v>
                </c:pt>
                <c:pt idx="4">
                  <c:v>0.18912438118811881</c:v>
                </c:pt>
                <c:pt idx="6">
                  <c:v>0.32897673213907791</c:v>
                </c:pt>
                <c:pt idx="7">
                  <c:v>0.41021783994496674</c:v>
                </c:pt>
                <c:pt idx="8">
                  <c:v>0.43594364534220453</c:v>
                </c:pt>
                <c:pt idx="9">
                  <c:v>0.51161883970705435</c:v>
                </c:pt>
                <c:pt idx="10">
                  <c:v>0.41800773107612288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('exit SPB'!#REF!,'exit SPB'!#REF!,'exit SPB'!#REF!,'exit SPB'!#REF!,'exit SPB'!#REF!)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43A-4153-8B5E-1BB70C006E70}"/>
            </c:ext>
          </c:extLst>
        </c:ser>
        <c:ser>
          <c:idx val="0"/>
          <c:order val="3"/>
          <c:tx>
            <c:strRef>
              <c:f>'exit SPB'!$X$24</c:f>
              <c:strCache>
                <c:ptCount val="1"/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('exit SPB'!$U$24,'exit SPB'!$U$29,'exit SPB'!$U$34,'exit SPB'!$U$39,'exit SPB'!$U$44,'exit SPB'!$I$48,'exit SPB'!$W$24,'exit SPB'!$W$29,'exit SPB'!$W$34,'exit SPB'!$W$39,'exit SPB'!$W$44)</c:f>
                <c:numCache>
                  <c:formatCode>General</c:formatCode>
                  <c:ptCount val="11"/>
                  <c:pt idx="0">
                    <c:v>3.0375019331304876E-3</c:v>
                  </c:pt>
                  <c:pt idx="1">
                    <c:v>1.4149613861933367E-2</c:v>
                  </c:pt>
                  <c:pt idx="2">
                    <c:v>0</c:v>
                  </c:pt>
                  <c:pt idx="3">
                    <c:v>2.8105348513594301E-2</c:v>
                  </c:pt>
                  <c:pt idx="4">
                    <c:v>1.4767855114508649E-3</c:v>
                  </c:pt>
                  <c:pt idx="6">
                    <c:v>0.11031661630381676</c:v>
                  </c:pt>
                  <c:pt idx="7">
                    <c:v>0.14847897943052557</c:v>
                  </c:pt>
                  <c:pt idx="8">
                    <c:v>7.5350482040031558E-2</c:v>
                  </c:pt>
                  <c:pt idx="9">
                    <c:v>9.7728428905026574E-2</c:v>
                  </c:pt>
                  <c:pt idx="10">
                    <c:v>6.1593631640368511E-2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('exit SPB'!$T$24,'exit SPB'!$T$29,'exit SPB'!$T$34,'exit SPB'!$T$39,'exit SPB'!$T$44,'exit SPB'!$I$48,'exit SPB'!$V$24,'exit SPB'!$V$29,'exit SPB'!$V$34,'exit SPB'!$V$39,'exit SPB'!$V$44)</c:f>
              <c:numCache>
                <c:formatCode>0%</c:formatCode>
                <c:ptCount val="11"/>
                <c:pt idx="0">
                  <c:v>0.57118549511854955</c:v>
                </c:pt>
                <c:pt idx="1">
                  <c:v>0.12299963819543014</c:v>
                </c:pt>
                <c:pt idx="2">
                  <c:v>2.9411764705882353E-2</c:v>
                </c:pt>
                <c:pt idx="3">
                  <c:v>3.2452098873775051E-2</c:v>
                </c:pt>
                <c:pt idx="4">
                  <c:v>8.8567450495049514E-3</c:v>
                </c:pt>
                <c:pt idx="6">
                  <c:v>0.63669002873863578</c:v>
                </c:pt>
                <c:pt idx="7">
                  <c:v>0.58106779790567908</c:v>
                </c:pt>
                <c:pt idx="8">
                  <c:v>0.55241924546665711</c:v>
                </c:pt>
                <c:pt idx="9">
                  <c:v>0.32288694932177125</c:v>
                </c:pt>
                <c:pt idx="10">
                  <c:v>0.15224807816502073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('exit SPB'!#REF!,'exit SPB'!#REF!,'exit SPB'!#REF!,'exit SPB'!#REF!,'exit SPB'!#REF!)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43A-4153-8B5E-1BB70C00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238400"/>
        <c:axId val="51540480"/>
      </c:barChart>
      <c:catAx>
        <c:axId val="123238400"/>
        <c:scaling>
          <c:orientation val="minMax"/>
        </c:scaling>
        <c:delete val="0"/>
        <c:axPos val="b"/>
        <c:majorTickMark val="out"/>
        <c:minorTickMark val="none"/>
        <c:tickLblPos val="nextTo"/>
        <c:crossAx val="51540480"/>
        <c:crosses val="autoZero"/>
        <c:auto val="1"/>
        <c:lblAlgn val="ctr"/>
        <c:lblOffset val="100"/>
        <c:noMultiLvlLbl val="0"/>
      </c:catAx>
      <c:valAx>
        <c:axId val="51540480"/>
        <c:scaling>
          <c:orientation val="minMax"/>
          <c:max val="1.2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crossAx val="123238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19778079391735E-2"/>
          <c:y val="5.1563315379070933E-2"/>
          <c:w val="0.63298237207803465"/>
          <c:h val="0.89687336924185812"/>
        </c:manualLayout>
      </c:layout>
      <c:lineChart>
        <c:grouping val="standard"/>
        <c:varyColors val="0"/>
        <c:ser>
          <c:idx val="0"/>
          <c:order val="0"/>
          <c:tx>
            <c:strRef>
              <c:f>'exit SPB'!$N$2:$O$2</c:f>
              <c:strCache>
                <c:ptCount val="1"/>
                <c:pt idx="0">
                  <c:v>WT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('exit SPB'!$O$6,'exit SPB'!$O$9,'exit SPB'!$O$12,'exit SPB'!$O$15,'exit SPB'!$O$18)</c:f>
                <c:numCache>
                  <c:formatCode>General</c:formatCode>
                  <c:ptCount val="5"/>
                  <c:pt idx="0">
                    <c:v>1.4306751979712639E-2</c:v>
                  </c:pt>
                  <c:pt idx="1">
                    <c:v>8.0946196466447542E-3</c:v>
                  </c:pt>
                  <c:pt idx="2">
                    <c:v>4.6566111370079315E-2</c:v>
                  </c:pt>
                  <c:pt idx="3">
                    <c:v>5.5286765406903714E-2</c:v>
                  </c:pt>
                  <c:pt idx="4">
                    <c:v>5.9885102225830433E-2</c:v>
                  </c:pt>
                </c:numCache>
              </c:numRef>
            </c:plus>
            <c:minus>
              <c:numRef>
                <c:f>('exit SPB'!$O$6,'exit SPB'!$O$9,'exit SPB'!$O$12,'exit SPB'!$O$15,'exit SPB'!$O$18)</c:f>
                <c:numCache>
                  <c:formatCode>General</c:formatCode>
                  <c:ptCount val="5"/>
                  <c:pt idx="0">
                    <c:v>1.4306751979712639E-2</c:v>
                  </c:pt>
                  <c:pt idx="1">
                    <c:v>8.0946196466447542E-3</c:v>
                  </c:pt>
                  <c:pt idx="2">
                    <c:v>4.6566111370079315E-2</c:v>
                  </c:pt>
                  <c:pt idx="3">
                    <c:v>5.5286765406903714E-2</c:v>
                  </c:pt>
                  <c:pt idx="4">
                    <c:v>5.9885102225830433E-2</c:v>
                  </c:pt>
                </c:numCache>
              </c:numRef>
            </c:minus>
          </c:errBars>
          <c:cat>
            <c:strRef>
              <c:f>('exit SPB'!$R$7,'exit SPB'!$R$8,'exit SPB'!$R$9,'exit SPB'!$R$10,'exit SPB'!$R$11)</c:f>
              <c:strCache>
                <c:ptCount val="5"/>
                <c:pt idx="0">
                  <c:v>4d</c:v>
                </c:pt>
                <c:pt idx="1">
                  <c:v>+45min</c:v>
                </c:pt>
                <c:pt idx="2">
                  <c:v>+60min</c:v>
                </c:pt>
                <c:pt idx="3">
                  <c:v>+90min</c:v>
                </c:pt>
                <c:pt idx="4">
                  <c:v>+115min</c:v>
                </c:pt>
              </c:strCache>
            </c:strRef>
          </c:cat>
          <c:val>
            <c:numRef>
              <c:f>('exit SPB'!$N$6,'exit SPB'!$N$9,'exit SPB'!$N$12,'exit SPB'!$N$15,'exit SPB'!$N$18)</c:f>
              <c:numCache>
                <c:formatCode>0%</c:formatCode>
                <c:ptCount val="5"/>
                <c:pt idx="0">
                  <c:v>3.0887149956924251E-2</c:v>
                </c:pt>
                <c:pt idx="1">
                  <c:v>2.1721527106848975E-2</c:v>
                </c:pt>
                <c:pt idx="2">
                  <c:v>5.0935828877005353E-2</c:v>
                </c:pt>
                <c:pt idx="3">
                  <c:v>0.6541798303349422</c:v>
                </c:pt>
                <c:pt idx="4">
                  <c:v>0.7675313558224619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0-4170-A4BE-574E198CF4B5}"/>
            </c:ext>
          </c:extLst>
        </c:ser>
        <c:ser>
          <c:idx val="1"/>
          <c:order val="1"/>
          <c:tx>
            <c:strRef>
              <c:f>'exit SPB'!$P$2:$Q$2</c:f>
              <c:strCache>
                <c:ptCount val="1"/>
                <c:pt idx="0">
                  <c:v>kip3she1delta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('exit SPB'!$Q$6,'exit SPB'!$Q$9,'exit SPB'!$Q$12,'exit SPB'!$Q$15,'exit SPB'!$Q$18)</c:f>
                <c:numCache>
                  <c:formatCode>General</c:formatCode>
                  <c:ptCount val="5"/>
                  <c:pt idx="0">
                    <c:v>1.8737028245455357E-2</c:v>
                  </c:pt>
                  <c:pt idx="1">
                    <c:v>3.5387977248982433E-2</c:v>
                  </c:pt>
                  <c:pt idx="2">
                    <c:v>1.5874768776514895E-2</c:v>
                  </c:pt>
                  <c:pt idx="3">
                    <c:v>9.5115532539096367E-2</c:v>
                  </c:pt>
                  <c:pt idx="4">
                    <c:v>3.2108104863021562E-2</c:v>
                  </c:pt>
                </c:numCache>
              </c:numRef>
            </c:plus>
            <c:minus>
              <c:numRef>
                <c:f>('exit SPB'!$Q$6,'exit SPB'!$Q$9,'exit SPB'!$Q$12,'exit SPB'!$Q$15,'exit SPB'!$Q$18)</c:f>
                <c:numCache>
                  <c:formatCode>General</c:formatCode>
                  <c:ptCount val="5"/>
                  <c:pt idx="0">
                    <c:v>1.8737028245455357E-2</c:v>
                  </c:pt>
                  <c:pt idx="1">
                    <c:v>3.5387977248982433E-2</c:v>
                  </c:pt>
                  <c:pt idx="2">
                    <c:v>1.5874768776514895E-2</c:v>
                  </c:pt>
                  <c:pt idx="3">
                    <c:v>9.5115532539096367E-2</c:v>
                  </c:pt>
                  <c:pt idx="4">
                    <c:v>3.2108104863021562E-2</c:v>
                  </c:pt>
                </c:numCache>
              </c:numRef>
            </c:minus>
          </c:errBars>
          <c:val>
            <c:numRef>
              <c:f>('exit SPB'!$P$6,'exit SPB'!$P$9,'exit SPB'!$P$12,'exit SPB'!$P$15,'exit SPB'!$P$18)</c:f>
              <c:numCache>
                <c:formatCode>0%</c:formatCode>
                <c:ptCount val="5"/>
                <c:pt idx="0">
                  <c:v>2.6720445446450664E-2</c:v>
                </c:pt>
                <c:pt idx="1">
                  <c:v>3.3494023777735388E-2</c:v>
                </c:pt>
                <c:pt idx="2">
                  <c:v>3.3635224254722325E-2</c:v>
                </c:pt>
                <c:pt idx="3">
                  <c:v>0.16212630308952</c:v>
                </c:pt>
                <c:pt idx="4">
                  <c:v>0.41950356294910879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0-4170-A4BE-574E198CF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39936"/>
        <c:axId val="51542784"/>
      </c:lineChart>
      <c:catAx>
        <c:axId val="12323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542784"/>
        <c:crosses val="autoZero"/>
        <c:auto val="1"/>
        <c:lblAlgn val="ctr"/>
        <c:lblOffset val="100"/>
        <c:noMultiLvlLbl val="0"/>
      </c:catAx>
      <c:valAx>
        <c:axId val="5154278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23239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389965</xdr:colOff>
      <xdr:row>24</xdr:row>
      <xdr:rowOff>305</xdr:rowOff>
    </xdr:from>
    <xdr:to>
      <xdr:col>30</xdr:col>
      <xdr:colOff>179294</xdr:colOff>
      <xdr:row>41</xdr:row>
      <xdr:rowOff>43905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96984</xdr:colOff>
      <xdr:row>2</xdr:row>
      <xdr:rowOff>92033</xdr:rowOff>
    </xdr:from>
    <xdr:to>
      <xdr:col>25</xdr:col>
      <xdr:colOff>98962</xdr:colOff>
      <xdr:row>17</xdr:row>
      <xdr:rowOff>64324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48"/>
  <sheetViews>
    <sheetView tabSelected="1" topLeftCell="A12" zoomScale="80" zoomScaleNormal="80" workbookViewId="0">
      <selection activeCell="L27" sqref="L27"/>
    </sheetView>
  </sheetViews>
  <sheetFormatPr baseColWidth="10" defaultRowHeight="14.4" x14ac:dyDescent="0.3"/>
  <cols>
    <col min="1" max="1" width="3.44140625" customWidth="1"/>
    <col min="2" max="2" width="14.5546875" style="1" customWidth="1"/>
    <col min="3" max="3" width="4.88671875" style="21" customWidth="1"/>
    <col min="4" max="7" width="6.44140625" style="1" customWidth="1"/>
    <col min="8" max="8" width="7.21875" style="1" customWidth="1"/>
    <col min="9" max="10" width="6.33203125" style="1" customWidth="1"/>
    <col min="11" max="11" width="8.6640625" style="1" customWidth="1"/>
    <col min="12" max="19" width="7.109375" style="1" customWidth="1"/>
    <col min="20" max="20" width="7.33203125" style="1" customWidth="1"/>
    <col min="21" max="21" width="11.5546875" style="1"/>
    <col min="22" max="22" width="8.6640625" style="1" customWidth="1"/>
    <col min="23" max="23" width="11.5546875" style="1" customWidth="1"/>
    <col min="24" max="24" width="9.109375" customWidth="1"/>
    <col min="25" max="28" width="8.33203125" customWidth="1"/>
  </cols>
  <sheetData>
    <row r="1" spans="2:26" ht="15" thickBot="1" x14ac:dyDescent="0.35"/>
    <row r="2" spans="2:26" ht="15" thickBot="1" x14ac:dyDescent="0.35">
      <c r="C2" s="22"/>
      <c r="D2" s="23" t="s">
        <v>26</v>
      </c>
      <c r="E2" s="23" t="s">
        <v>26</v>
      </c>
      <c r="F2" s="23" t="s">
        <v>26</v>
      </c>
      <c r="G2" s="23" t="s">
        <v>27</v>
      </c>
      <c r="H2" s="23" t="s">
        <v>27</v>
      </c>
      <c r="I2" s="23" t="s">
        <v>28</v>
      </c>
      <c r="J2" s="24" t="s">
        <v>28</v>
      </c>
      <c r="K2" s="23" t="s">
        <v>33</v>
      </c>
      <c r="L2" s="24" t="s">
        <v>33</v>
      </c>
      <c r="M2" s="24" t="s">
        <v>33</v>
      </c>
      <c r="N2" s="134" t="s">
        <v>9</v>
      </c>
      <c r="O2" s="135"/>
      <c r="P2" s="136" t="s">
        <v>24</v>
      </c>
      <c r="Q2" s="137"/>
      <c r="X2" s="1"/>
      <c r="Y2" s="1"/>
      <c r="Z2" s="1"/>
    </row>
    <row r="3" spans="2:26" ht="15" thickBot="1" x14ac:dyDescent="0.35">
      <c r="C3" s="25"/>
      <c r="D3" s="26" t="s">
        <v>0</v>
      </c>
      <c r="E3" s="27" t="s">
        <v>8</v>
      </c>
      <c r="F3" s="28" t="s">
        <v>10</v>
      </c>
      <c r="G3" s="26" t="s">
        <v>13</v>
      </c>
      <c r="H3" s="29" t="s">
        <v>8</v>
      </c>
      <c r="I3" s="86" t="s">
        <v>13</v>
      </c>
      <c r="J3" s="87" t="s">
        <v>8</v>
      </c>
      <c r="K3" s="88" t="s">
        <v>0</v>
      </c>
      <c r="L3" s="89" t="s">
        <v>8</v>
      </c>
      <c r="M3" s="87" t="s">
        <v>10</v>
      </c>
      <c r="N3" s="84" t="s">
        <v>22</v>
      </c>
      <c r="O3" s="30" t="s">
        <v>23</v>
      </c>
      <c r="P3" s="84" t="s">
        <v>22</v>
      </c>
      <c r="Q3" s="31" t="s">
        <v>23</v>
      </c>
      <c r="X3" s="1"/>
      <c r="Y3" s="1"/>
      <c r="Z3" s="1"/>
    </row>
    <row r="4" spans="2:26" x14ac:dyDescent="0.3">
      <c r="B4" s="7" t="s">
        <v>1</v>
      </c>
      <c r="C4" s="131" t="s">
        <v>3</v>
      </c>
      <c r="D4" s="32">
        <v>67</v>
      </c>
      <c r="E4" s="33">
        <v>75</v>
      </c>
      <c r="F4" s="34">
        <v>71</v>
      </c>
      <c r="G4" s="12">
        <f>I24+I25</f>
        <v>233</v>
      </c>
      <c r="H4" s="35">
        <f>K24+K25</f>
        <v>211</v>
      </c>
      <c r="I4" s="90">
        <f>E24+E25</f>
        <v>222</v>
      </c>
      <c r="J4" s="91">
        <f>G24+G25</f>
        <v>223</v>
      </c>
      <c r="K4" s="92">
        <v>68</v>
      </c>
      <c r="L4" s="93">
        <v>62</v>
      </c>
      <c r="M4" s="94">
        <v>92</v>
      </c>
      <c r="N4" s="36"/>
      <c r="O4" s="34"/>
      <c r="P4" s="36"/>
      <c r="Q4" s="37"/>
      <c r="X4" s="1"/>
      <c r="Y4" s="1"/>
      <c r="Z4" s="1"/>
    </row>
    <row r="5" spans="2:26" x14ac:dyDescent="0.3">
      <c r="B5" s="8" t="s">
        <v>2</v>
      </c>
      <c r="C5" s="132"/>
      <c r="D5" s="32">
        <v>3</v>
      </c>
      <c r="E5" s="33">
        <v>1</v>
      </c>
      <c r="F5" s="34">
        <v>2</v>
      </c>
      <c r="G5" s="12">
        <f>I27+I26</f>
        <v>6</v>
      </c>
      <c r="H5" s="35">
        <f>K27+K26</f>
        <v>3</v>
      </c>
      <c r="I5" s="90">
        <f>E27+E26</f>
        <v>3</v>
      </c>
      <c r="J5" s="91">
        <f>G27+G26</f>
        <v>3</v>
      </c>
      <c r="K5" s="95">
        <v>3</v>
      </c>
      <c r="L5" s="96">
        <v>2</v>
      </c>
      <c r="M5" s="97">
        <v>6</v>
      </c>
      <c r="N5" s="36"/>
      <c r="O5" s="34"/>
      <c r="P5" s="36"/>
      <c r="Q5" s="37"/>
      <c r="X5" s="1"/>
      <c r="Y5" s="1"/>
      <c r="Z5" s="1"/>
    </row>
    <row r="6" spans="2:26" ht="15" thickBot="1" x14ac:dyDescent="0.35">
      <c r="B6" s="9" t="s">
        <v>25</v>
      </c>
      <c r="C6" s="20"/>
      <c r="D6" s="38">
        <f t="shared" ref="D6:J6" si="0">D5/(D5+D4)</f>
        <v>4.2857142857142858E-2</v>
      </c>
      <c r="E6" s="39">
        <f t="shared" si="0"/>
        <v>1.3157894736842105E-2</v>
      </c>
      <c r="F6" s="40">
        <f t="shared" si="0"/>
        <v>2.7397260273972601E-2</v>
      </c>
      <c r="G6" s="38">
        <f t="shared" si="0"/>
        <v>2.5104602510460251E-2</v>
      </c>
      <c r="H6" s="41">
        <f t="shared" si="0"/>
        <v>1.4018691588785047E-2</v>
      </c>
      <c r="I6" s="98">
        <f t="shared" si="0"/>
        <v>1.3333333333333334E-2</v>
      </c>
      <c r="J6" s="99">
        <f t="shared" si="0"/>
        <v>1.3274336283185841E-2</v>
      </c>
      <c r="K6" s="100">
        <f>K5/(K5+K4)</f>
        <v>4.2253521126760563E-2</v>
      </c>
      <c r="L6" s="101">
        <f>L5/(L5+L4)</f>
        <v>3.125E-2</v>
      </c>
      <c r="M6" s="101">
        <f>M5/(M5+M4)</f>
        <v>6.1224489795918366E-2</v>
      </c>
      <c r="N6" s="42">
        <f>AVERAGE(D6,G6,I6,K6)</f>
        <v>3.0887149956924251E-2</v>
      </c>
      <c r="O6" s="43">
        <f>STDEV(D6,G6,I6,K6)</f>
        <v>1.4306751979712639E-2</v>
      </c>
      <c r="P6" s="42">
        <f>AVERAGE(E6,H6,F6,J6,L6,M6)</f>
        <v>2.6720445446450664E-2</v>
      </c>
      <c r="Q6" s="44">
        <f>STDEV(F6,I6,J6,E6,L6,M6)</f>
        <v>1.8737028245455357E-2</v>
      </c>
      <c r="X6" s="1"/>
      <c r="Y6" s="1"/>
      <c r="Z6" s="1"/>
    </row>
    <row r="7" spans="2:26" x14ac:dyDescent="0.3">
      <c r="B7" s="7" t="s">
        <v>1</v>
      </c>
      <c r="C7" s="133" t="s">
        <v>4</v>
      </c>
      <c r="D7" s="45" t="s">
        <v>21</v>
      </c>
      <c r="E7" s="46" t="s">
        <v>21</v>
      </c>
      <c r="F7" s="47" t="s">
        <v>21</v>
      </c>
      <c r="G7" s="16">
        <f>I30+I29</f>
        <v>347</v>
      </c>
      <c r="H7" s="48">
        <f>K30+K29</f>
        <v>195</v>
      </c>
      <c r="I7" s="102">
        <f>E30+E29</f>
        <v>200</v>
      </c>
      <c r="J7" s="103">
        <f>G30+G29</f>
        <v>209</v>
      </c>
      <c r="K7" s="104">
        <v>95</v>
      </c>
      <c r="L7" s="105">
        <f>26+70</f>
        <v>96</v>
      </c>
      <c r="M7" s="105">
        <f>21+13+31+33</f>
        <v>98</v>
      </c>
      <c r="N7" s="36"/>
      <c r="O7" s="34"/>
      <c r="P7" s="36"/>
      <c r="Q7" s="37"/>
      <c r="R7" s="1" t="s">
        <v>3</v>
      </c>
      <c r="X7" s="1"/>
      <c r="Y7" s="1"/>
      <c r="Z7" s="1"/>
    </row>
    <row r="8" spans="2:26" x14ac:dyDescent="0.3">
      <c r="B8" s="8" t="s">
        <v>2</v>
      </c>
      <c r="C8" s="129"/>
      <c r="D8" s="49" t="s">
        <v>21</v>
      </c>
      <c r="E8" s="50" t="s">
        <v>21</v>
      </c>
      <c r="F8" s="51" t="s">
        <v>21</v>
      </c>
      <c r="G8" s="12">
        <f>I31+I32</f>
        <v>7</v>
      </c>
      <c r="H8" s="35">
        <f>K31+K32</f>
        <v>1</v>
      </c>
      <c r="I8" s="90">
        <f>E31+E32</f>
        <v>3</v>
      </c>
      <c r="J8" s="91">
        <f>G31+G32</f>
        <v>1</v>
      </c>
      <c r="K8" s="106">
        <v>3</v>
      </c>
      <c r="L8" s="107">
        <v>4</v>
      </c>
      <c r="M8" s="107">
        <v>9</v>
      </c>
      <c r="N8" s="36"/>
      <c r="O8" s="34"/>
      <c r="P8" s="36"/>
      <c r="Q8" s="37"/>
      <c r="R8" s="52" t="s">
        <v>29</v>
      </c>
      <c r="X8" s="1"/>
      <c r="Y8" s="1"/>
      <c r="Z8" s="1"/>
    </row>
    <row r="9" spans="2:26" ht="15" thickBot="1" x14ac:dyDescent="0.35">
      <c r="B9" s="9" t="s">
        <v>25</v>
      </c>
      <c r="C9" s="130"/>
      <c r="D9" s="53" t="s">
        <v>21</v>
      </c>
      <c r="E9" s="54" t="s">
        <v>21</v>
      </c>
      <c r="F9" s="55" t="s">
        <v>21</v>
      </c>
      <c r="G9" s="56">
        <f t="shared" ref="G9:M9" si="1">G8/(G8+G7)</f>
        <v>1.977401129943503E-2</v>
      </c>
      <c r="H9" s="57">
        <f t="shared" si="1"/>
        <v>5.1020408163265302E-3</v>
      </c>
      <c r="I9" s="108">
        <f t="shared" si="1"/>
        <v>1.4778325123152709E-2</v>
      </c>
      <c r="J9" s="109">
        <f t="shared" si="1"/>
        <v>4.7619047619047623E-3</v>
      </c>
      <c r="K9" s="100">
        <f t="shared" si="1"/>
        <v>3.0612244897959183E-2</v>
      </c>
      <c r="L9" s="101">
        <f t="shared" si="1"/>
        <v>0.04</v>
      </c>
      <c r="M9" s="101">
        <f t="shared" si="1"/>
        <v>8.4112149532710276E-2</v>
      </c>
      <c r="N9" s="42">
        <f>AVERAGE(D9,G9,I9,K9)</f>
        <v>2.1721527106848975E-2</v>
      </c>
      <c r="O9" s="43">
        <f>STDEV(D9,G9,I9,K9)</f>
        <v>8.0946196466447542E-3</v>
      </c>
      <c r="P9" s="42">
        <f>AVERAGE(E9,H9,F9,J9,L9,M9)</f>
        <v>3.3494023777735388E-2</v>
      </c>
      <c r="Q9" s="44">
        <f>STDEV(F9,I9,J9,E9,L9,M9)</f>
        <v>3.5387977248982433E-2</v>
      </c>
      <c r="R9" s="52" t="s">
        <v>30</v>
      </c>
      <c r="X9" s="1"/>
      <c r="Y9" s="1"/>
      <c r="Z9" s="1"/>
    </row>
    <row r="10" spans="2:26" x14ac:dyDescent="0.3">
      <c r="B10" s="7" t="s">
        <v>1</v>
      </c>
      <c r="C10" s="128" t="s">
        <v>5</v>
      </c>
      <c r="D10" s="59">
        <f>71+55</f>
        <v>126</v>
      </c>
      <c r="E10" s="60">
        <f>43+68</f>
        <v>111</v>
      </c>
      <c r="F10" s="61">
        <v>132</v>
      </c>
      <c r="G10" s="62" t="s">
        <v>21</v>
      </c>
      <c r="H10" s="63" t="s">
        <v>21</v>
      </c>
      <c r="I10" s="110">
        <f>E34+E35</f>
        <v>135</v>
      </c>
      <c r="J10" s="111">
        <f>G34+G35</f>
        <v>185</v>
      </c>
      <c r="K10" s="104">
        <f>19+71</f>
        <v>90</v>
      </c>
      <c r="L10" s="112">
        <f>41+18+26+34</f>
        <v>119</v>
      </c>
      <c r="M10" s="113" t="s">
        <v>21</v>
      </c>
      <c r="N10" s="36"/>
      <c r="O10" s="34"/>
      <c r="P10" s="36"/>
      <c r="Q10" s="37"/>
      <c r="R10" s="52" t="s">
        <v>31</v>
      </c>
      <c r="X10" s="1"/>
      <c r="Y10" s="1"/>
      <c r="Z10" s="1"/>
    </row>
    <row r="11" spans="2:26" x14ac:dyDescent="0.3">
      <c r="B11" s="8" t="s">
        <v>2</v>
      </c>
      <c r="C11" s="129"/>
      <c r="D11" s="32">
        <v>6</v>
      </c>
      <c r="E11" s="33">
        <v>4</v>
      </c>
      <c r="F11" s="34">
        <v>6</v>
      </c>
      <c r="G11" s="49" t="s">
        <v>21</v>
      </c>
      <c r="H11" s="64" t="s">
        <v>21</v>
      </c>
      <c r="I11" s="90">
        <f>E37+E36</f>
        <v>1</v>
      </c>
      <c r="J11" s="91">
        <f>G37+G36</f>
        <v>3</v>
      </c>
      <c r="K11" s="106">
        <v>10</v>
      </c>
      <c r="L11" s="107">
        <v>5</v>
      </c>
      <c r="M11" s="114" t="s">
        <v>21</v>
      </c>
      <c r="N11" s="36"/>
      <c r="O11" s="34"/>
      <c r="P11" s="36"/>
      <c r="Q11" s="37"/>
      <c r="R11" s="52" t="s">
        <v>32</v>
      </c>
      <c r="X11" s="1"/>
      <c r="Y11" s="1"/>
      <c r="Z11" s="1"/>
    </row>
    <row r="12" spans="2:26" ht="15" thickBot="1" x14ac:dyDescent="0.35">
      <c r="B12" s="9" t="s">
        <v>25</v>
      </c>
      <c r="C12" s="130"/>
      <c r="D12" s="38">
        <f>D11/(D11+D10)</f>
        <v>4.5454545454545456E-2</v>
      </c>
      <c r="E12" s="39">
        <f>E11/(E11+E10)</f>
        <v>3.4782608695652174E-2</v>
      </c>
      <c r="F12" s="40">
        <f>F11/(F11+F10)</f>
        <v>4.3478260869565216E-2</v>
      </c>
      <c r="G12" s="65" t="s">
        <v>21</v>
      </c>
      <c r="H12" s="66" t="s">
        <v>21</v>
      </c>
      <c r="I12" s="98">
        <f>I11/(I11+I10)</f>
        <v>7.3529411764705881E-3</v>
      </c>
      <c r="J12" s="99">
        <f>J11/(J11+J10)</f>
        <v>1.5957446808510637E-2</v>
      </c>
      <c r="K12" s="100">
        <f>K11/(K11+K10)</f>
        <v>0.1</v>
      </c>
      <c r="L12" s="101">
        <f>L11/(L11+L10)</f>
        <v>4.0322580645161289E-2</v>
      </c>
      <c r="M12" s="115" t="s">
        <v>21</v>
      </c>
      <c r="N12" s="42">
        <f>AVERAGE(D12,I12,K12)</f>
        <v>5.0935828877005353E-2</v>
      </c>
      <c r="O12" s="43">
        <f>STDEV(D12,I12,K12)</f>
        <v>4.6566111370079315E-2</v>
      </c>
      <c r="P12" s="42">
        <f>AVERAGE(E12,F12,J12,L12)</f>
        <v>3.3635224254722325E-2</v>
      </c>
      <c r="Q12" s="44">
        <f>STDEV(F12,I12,J12,E12,L12)</f>
        <v>1.5874768776514895E-2</v>
      </c>
      <c r="X12" s="1"/>
      <c r="Y12" s="1"/>
      <c r="Z12" s="1"/>
    </row>
    <row r="13" spans="2:26" x14ac:dyDescent="0.3">
      <c r="B13" s="7" t="s">
        <v>1</v>
      </c>
      <c r="C13" s="128" t="s">
        <v>6</v>
      </c>
      <c r="D13" s="26">
        <v>36</v>
      </c>
      <c r="E13" s="27">
        <f>36+63</f>
        <v>99</v>
      </c>
      <c r="F13" s="28">
        <v>94</v>
      </c>
      <c r="G13" s="16">
        <f>I40+I39</f>
        <v>66</v>
      </c>
      <c r="H13" s="48">
        <f>K39+K40</f>
        <v>237</v>
      </c>
      <c r="I13" s="102">
        <f>E40+E39</f>
        <v>62</v>
      </c>
      <c r="J13" s="103">
        <f>G39+G40</f>
        <v>175</v>
      </c>
      <c r="K13" s="116">
        <v>27</v>
      </c>
      <c r="L13" s="105">
        <f>16+30+24+24+44</f>
        <v>138</v>
      </c>
      <c r="M13" s="112">
        <f>5+19+14+7+7+9+8+19</f>
        <v>88</v>
      </c>
      <c r="N13" s="36"/>
      <c r="O13" s="34"/>
      <c r="P13" s="36"/>
      <c r="Q13" s="37"/>
      <c r="X13" s="1"/>
      <c r="Y13" s="1"/>
      <c r="Z13" s="1"/>
    </row>
    <row r="14" spans="2:26" x14ac:dyDescent="0.3">
      <c r="B14" s="8" t="s">
        <v>2</v>
      </c>
      <c r="C14" s="129"/>
      <c r="D14" s="32">
        <v>70</v>
      </c>
      <c r="E14" s="33">
        <v>13</v>
      </c>
      <c r="F14" s="34">
        <v>19</v>
      </c>
      <c r="G14" s="12">
        <f>I42+I41</f>
        <v>106</v>
      </c>
      <c r="H14" s="35">
        <f>K42+K41</f>
        <v>19</v>
      </c>
      <c r="I14" s="90">
        <f>E42+E41</f>
        <v>97</v>
      </c>
      <c r="J14" s="91">
        <f>G42+G41</f>
        <v>16</v>
      </c>
      <c r="K14" s="106">
        <v>73</v>
      </c>
      <c r="L14" s="107">
        <f>12+23</f>
        <v>35</v>
      </c>
      <c r="M14" s="107">
        <v>43</v>
      </c>
      <c r="N14" s="36"/>
      <c r="O14" s="34"/>
      <c r="P14" s="36"/>
      <c r="Q14" s="37"/>
      <c r="X14" s="1"/>
      <c r="Y14" s="1"/>
      <c r="Z14" s="1"/>
    </row>
    <row r="15" spans="2:26" ht="15" thickBot="1" x14ac:dyDescent="0.35">
      <c r="B15" s="9" t="s">
        <v>25</v>
      </c>
      <c r="C15" s="130"/>
      <c r="D15" s="56">
        <f t="shared" ref="D15:J15" si="2">D14/(D14+D13)</f>
        <v>0.660377358490566</v>
      </c>
      <c r="E15" s="67">
        <f t="shared" si="2"/>
        <v>0.11607142857142858</v>
      </c>
      <c r="F15" s="58">
        <f t="shared" si="2"/>
        <v>0.16814159292035399</v>
      </c>
      <c r="G15" s="56">
        <f t="shared" si="2"/>
        <v>0.61627906976744184</v>
      </c>
      <c r="H15" s="57">
        <f t="shared" si="2"/>
        <v>7.421875E-2</v>
      </c>
      <c r="I15" s="108">
        <f t="shared" si="2"/>
        <v>0.61006289308176098</v>
      </c>
      <c r="J15" s="109">
        <f t="shared" si="2"/>
        <v>8.3769633507853408E-2</v>
      </c>
      <c r="K15" s="100">
        <f>K14/(K14+K13)</f>
        <v>0.73</v>
      </c>
      <c r="L15" s="101">
        <f>L14/(L14+L13)</f>
        <v>0.20231213872832371</v>
      </c>
      <c r="M15" s="101">
        <f>M14/(M14+M13)</f>
        <v>0.3282442748091603</v>
      </c>
      <c r="N15" s="42">
        <f>AVERAGE(D15,G15,I15,K15)</f>
        <v>0.6541798303349422</v>
      </c>
      <c r="O15" s="43">
        <f>STDEV(D15,G15,I15,K15)</f>
        <v>5.5286765406903714E-2</v>
      </c>
      <c r="P15" s="42">
        <f>AVERAGE(E15,H15,F15,J15,L15,M15)</f>
        <v>0.16212630308952</v>
      </c>
      <c r="Q15" s="44">
        <f>STDEV(F15,H15,J15,E15,L15,M15)</f>
        <v>9.5115532539096367E-2</v>
      </c>
      <c r="X15" s="1"/>
      <c r="Y15" s="1"/>
      <c r="Z15" s="1"/>
    </row>
    <row r="16" spans="2:26" x14ac:dyDescent="0.3">
      <c r="B16" s="7" t="s">
        <v>1</v>
      </c>
      <c r="C16" s="128" t="s">
        <v>7</v>
      </c>
      <c r="D16" s="62">
        <v>19</v>
      </c>
      <c r="E16" s="60">
        <f>9+18+34+29</f>
        <v>90</v>
      </c>
      <c r="F16" s="61">
        <v>68</v>
      </c>
      <c r="G16" s="68">
        <f>I44+I45</f>
        <v>25</v>
      </c>
      <c r="H16" s="69">
        <f>K45+K44</f>
        <v>162</v>
      </c>
      <c r="I16" s="110">
        <f>E44+E45</f>
        <v>19</v>
      </c>
      <c r="J16" s="111">
        <f>G45+G44</f>
        <v>148</v>
      </c>
      <c r="K16" s="117">
        <v>18</v>
      </c>
      <c r="L16" s="105">
        <f>16+18+13+15</f>
        <v>62</v>
      </c>
      <c r="M16" s="105">
        <f>7+14+14+16+12</f>
        <v>63</v>
      </c>
      <c r="N16" s="36"/>
      <c r="O16" s="34"/>
      <c r="P16" s="36"/>
      <c r="Q16" s="37"/>
      <c r="X16" s="1"/>
      <c r="Y16" s="1"/>
      <c r="Z16" s="1"/>
    </row>
    <row r="17" spans="2:31" x14ac:dyDescent="0.3">
      <c r="B17" s="8" t="s">
        <v>2</v>
      </c>
      <c r="C17" s="129"/>
      <c r="D17" s="49">
        <f>18+41</f>
        <v>59</v>
      </c>
      <c r="E17" s="33">
        <v>65</v>
      </c>
      <c r="F17" s="34">
        <v>47</v>
      </c>
      <c r="G17" s="12">
        <f>I46+I47</f>
        <v>76</v>
      </c>
      <c r="H17" s="35">
        <f>K46+K47</f>
        <v>119</v>
      </c>
      <c r="I17" s="90">
        <f>E46+E47</f>
        <v>109</v>
      </c>
      <c r="J17" s="91">
        <f>G46+G47</f>
        <v>129</v>
      </c>
      <c r="K17" s="118">
        <v>44</v>
      </c>
      <c r="L17" s="107">
        <v>36</v>
      </c>
      <c r="M17" s="107">
        <v>48</v>
      </c>
      <c r="N17" s="36"/>
      <c r="O17" s="34"/>
      <c r="P17" s="36"/>
      <c r="Q17" s="37"/>
      <c r="X17" s="1"/>
      <c r="Y17" s="1"/>
      <c r="Z17" s="1"/>
    </row>
    <row r="18" spans="2:31" ht="15" thickBot="1" x14ac:dyDescent="0.35">
      <c r="B18" s="9" t="s">
        <v>25</v>
      </c>
      <c r="C18" s="130"/>
      <c r="D18" s="70">
        <f t="shared" ref="D18:J18" si="3">D17/(D17+D16)</f>
        <v>0.75641025641025639</v>
      </c>
      <c r="E18" s="67">
        <f t="shared" si="3"/>
        <v>0.41935483870967744</v>
      </c>
      <c r="F18" s="58">
        <f t="shared" si="3"/>
        <v>0.40869565217391307</v>
      </c>
      <c r="G18" s="70">
        <f t="shared" si="3"/>
        <v>0.75247524752475248</v>
      </c>
      <c r="H18" s="57">
        <f t="shared" si="3"/>
        <v>0.42348754448398579</v>
      </c>
      <c r="I18" s="119">
        <f t="shared" si="3"/>
        <v>0.8515625</v>
      </c>
      <c r="J18" s="109">
        <f t="shared" si="3"/>
        <v>0.46570397111913359</v>
      </c>
      <c r="K18" s="120">
        <f>K17/(K17+K16)</f>
        <v>0.70967741935483875</v>
      </c>
      <c r="L18" s="101">
        <f>L17/(L17+L16)</f>
        <v>0.36734693877551022</v>
      </c>
      <c r="M18" s="101">
        <f>M17/(M17+M16)</f>
        <v>0.43243243243243246</v>
      </c>
      <c r="N18" s="123">
        <f>AVERAGE(D18,G18,I18,K18)</f>
        <v>0.7675313558224619</v>
      </c>
      <c r="O18" s="124">
        <f>STDEV(D18,G18,I18,K18)</f>
        <v>5.9885102225830433E-2</v>
      </c>
      <c r="P18" s="123">
        <f>AVERAGE(E18,H18,F18,J18,L18,M18)</f>
        <v>0.41950356294910879</v>
      </c>
      <c r="Q18" s="125">
        <f>STDEV(F18,H18,J18,E18,L18,M18)</f>
        <v>3.2108104863021562E-2</v>
      </c>
      <c r="X18" s="1"/>
      <c r="Y18" s="1"/>
      <c r="Z18" s="1"/>
    </row>
    <row r="19" spans="2:31" x14ac:dyDescent="0.3">
      <c r="AE19" s="85"/>
    </row>
    <row r="20" spans="2:31" ht="15" thickBot="1" x14ac:dyDescent="0.35">
      <c r="AE20" s="85"/>
    </row>
    <row r="21" spans="2:31" ht="15" thickBot="1" x14ac:dyDescent="0.35">
      <c r="C21" s="6"/>
      <c r="D21" s="126" t="s">
        <v>19</v>
      </c>
      <c r="E21" s="127"/>
      <c r="F21" s="178" t="s">
        <v>20</v>
      </c>
      <c r="G21" s="179"/>
      <c r="H21" s="127" t="s">
        <v>19</v>
      </c>
      <c r="I21" s="127"/>
      <c r="J21" s="152" t="s">
        <v>20</v>
      </c>
      <c r="K21" s="184"/>
      <c r="L21" s="127" t="s">
        <v>20</v>
      </c>
      <c r="M21" s="127"/>
      <c r="N21" s="127"/>
      <c r="O21" s="127"/>
      <c r="P21" s="126" t="s">
        <v>20</v>
      </c>
      <c r="Q21" s="127"/>
      <c r="R21" s="127"/>
      <c r="S21" s="151"/>
      <c r="T21" s="186" t="s">
        <v>9</v>
      </c>
      <c r="U21" s="153"/>
      <c r="V21" s="154" t="s">
        <v>24</v>
      </c>
      <c r="W21" s="155"/>
      <c r="AE21" s="85"/>
    </row>
    <row r="22" spans="2:31" x14ac:dyDescent="0.3">
      <c r="C22" s="143"/>
      <c r="D22" s="162" t="s">
        <v>13</v>
      </c>
      <c r="E22" s="169"/>
      <c r="F22" s="162" t="s">
        <v>14</v>
      </c>
      <c r="G22" s="180"/>
      <c r="H22" s="173" t="s">
        <v>13</v>
      </c>
      <c r="I22" s="169"/>
      <c r="J22" s="162" t="s">
        <v>14</v>
      </c>
      <c r="K22" s="180"/>
      <c r="L22" s="173" t="s">
        <v>17</v>
      </c>
      <c r="M22" s="163"/>
      <c r="N22" s="163" t="s">
        <v>18</v>
      </c>
      <c r="O22" s="169"/>
      <c r="P22" s="162" t="s">
        <v>17</v>
      </c>
      <c r="Q22" s="163"/>
      <c r="R22" s="163" t="s">
        <v>18</v>
      </c>
      <c r="S22" s="180"/>
      <c r="T22" s="187" t="s">
        <v>22</v>
      </c>
      <c r="U22" s="164" t="s">
        <v>23</v>
      </c>
      <c r="V22" s="164" t="s">
        <v>22</v>
      </c>
      <c r="W22" s="31" t="s">
        <v>23</v>
      </c>
    </row>
    <row r="23" spans="2:31" ht="15" thickBot="1" x14ac:dyDescent="0.35">
      <c r="C23" s="141"/>
      <c r="D23" s="165" t="s">
        <v>34</v>
      </c>
      <c r="E23" s="170">
        <f>SUM(E24:E27)</f>
        <v>225</v>
      </c>
      <c r="F23" s="165" t="s">
        <v>34</v>
      </c>
      <c r="G23" s="181">
        <f>SUM(G24:G27)</f>
        <v>226</v>
      </c>
      <c r="H23" s="174" t="s">
        <v>34</v>
      </c>
      <c r="I23" s="170">
        <f>SUM(I24:I27)</f>
        <v>239</v>
      </c>
      <c r="J23" s="165" t="s">
        <v>34</v>
      </c>
      <c r="K23" s="181">
        <f>SUM(K24:K27)</f>
        <v>214</v>
      </c>
      <c r="L23" s="174" t="s">
        <v>34</v>
      </c>
      <c r="M23" s="157">
        <f>SUM(L24:L27)</f>
        <v>206</v>
      </c>
      <c r="N23" s="156" t="s">
        <v>34</v>
      </c>
      <c r="O23" s="170">
        <f>SUM(N24:N27)</f>
        <v>234</v>
      </c>
      <c r="P23" s="165" t="s">
        <v>34</v>
      </c>
      <c r="Q23" s="157">
        <f>SUM(P24:P27)</f>
        <v>198</v>
      </c>
      <c r="R23" s="156" t="s">
        <v>34</v>
      </c>
      <c r="S23" s="181">
        <f>SUM(R24:R27)</f>
        <v>234</v>
      </c>
      <c r="T23" s="174" t="s">
        <v>34</v>
      </c>
      <c r="U23" s="142">
        <f>E23+I23</f>
        <v>464</v>
      </c>
      <c r="V23" s="156" t="s">
        <v>34</v>
      </c>
      <c r="W23" s="166">
        <f>G23+K23+M23+O23+Q23+S23</f>
        <v>1312</v>
      </c>
    </row>
    <row r="24" spans="2:31" ht="15" customHeight="1" x14ac:dyDescent="0.3">
      <c r="B24" s="7" t="s">
        <v>11</v>
      </c>
      <c r="C24" s="144" t="s">
        <v>3</v>
      </c>
      <c r="D24" s="4">
        <f>E24/(E24+E25+E26+E27)</f>
        <v>0.57333333333333336</v>
      </c>
      <c r="E24" s="171">
        <f>11+118</f>
        <v>129</v>
      </c>
      <c r="F24" s="4">
        <f>G24/(G24+G25+G26+G27)</f>
        <v>0.65486725663716816</v>
      </c>
      <c r="G24" s="17">
        <v>148</v>
      </c>
      <c r="H24" s="175">
        <f>I24/(I24+I25+I26+I27)</f>
        <v>0.56903765690376573</v>
      </c>
      <c r="I24" s="171">
        <f>16+17+30+34+24+15</f>
        <v>136</v>
      </c>
      <c r="J24" s="4">
        <f>K24/(K24+K25+K26+K27)</f>
        <v>0.81308411214953269</v>
      </c>
      <c r="K24" s="17">
        <f>29+23+21+44+48+9</f>
        <v>174</v>
      </c>
      <c r="L24" s="182">
        <v>96</v>
      </c>
      <c r="M24" s="2">
        <f>L24/(L24+L25+L26+L27)</f>
        <v>0.46601941747572817</v>
      </c>
      <c r="N24" s="158">
        <v>148</v>
      </c>
      <c r="O24" s="10">
        <f>N24/(N24+N25+N26+N27)</f>
        <v>0.63247863247863245</v>
      </c>
      <c r="P24" s="18">
        <f>35+45+2+35+6</f>
        <v>123</v>
      </c>
      <c r="Q24" s="2">
        <f>P24/(P24+P25+P26+P27)</f>
        <v>0.62121212121212122</v>
      </c>
      <c r="R24" s="158">
        <v>148</v>
      </c>
      <c r="S24" s="190">
        <f>R24/(R24+R25+R26+R27)</f>
        <v>0.63247863247863245</v>
      </c>
      <c r="T24" s="188">
        <f t="shared" ref="T24:T47" si="4">AVERAGE(H24,D24)</f>
        <v>0.57118549511854955</v>
      </c>
      <c r="U24" s="71">
        <f t="shared" ref="U24:U32" si="5">STDEVA(H24,D24)</f>
        <v>3.0375019331304876E-3</v>
      </c>
      <c r="V24" s="72">
        <f>AVERAGE(S24,M24,J24,F24,Q24,O24)</f>
        <v>0.63669002873863578</v>
      </c>
      <c r="W24" s="73">
        <f>STDEVA(O24,M24,J24,F24,Q24,S24)</f>
        <v>0.11031661630381676</v>
      </c>
    </row>
    <row r="25" spans="2:31" x14ac:dyDescent="0.3">
      <c r="B25" s="8" t="s">
        <v>15</v>
      </c>
      <c r="C25" s="145"/>
      <c r="D25" s="4">
        <f>E25/(E25+E26+E27+E24)</f>
        <v>0.41333333333333333</v>
      </c>
      <c r="E25" s="171">
        <f>32+34+18+9</f>
        <v>93</v>
      </c>
      <c r="F25" s="4">
        <f>G25/(G25+G26+G27+G24)</f>
        <v>0.33185840707964603</v>
      </c>
      <c r="G25" s="17">
        <f>20+22+12+14+7</f>
        <v>75</v>
      </c>
      <c r="H25" s="175">
        <f>I25/(I25+I26+I27+I24)</f>
        <v>0.40585774058577406</v>
      </c>
      <c r="I25" s="171">
        <f>34+11+16+21+15</f>
        <v>97</v>
      </c>
      <c r="J25" s="4">
        <f>K25/(K25+K26+K27+K24)</f>
        <v>0.17289719626168223</v>
      </c>
      <c r="K25" s="17">
        <f>10+8+14+5</f>
        <v>37</v>
      </c>
      <c r="L25" s="182">
        <v>108</v>
      </c>
      <c r="M25" s="2">
        <f>L25/(L25+L26+L27+L24)</f>
        <v>0.52427184466019416</v>
      </c>
      <c r="N25" s="158">
        <v>68</v>
      </c>
      <c r="O25" s="10">
        <f>N25/(N25+N26+N27+N24)</f>
        <v>0.29059829059829062</v>
      </c>
      <c r="P25" s="18">
        <f>24+24+24</f>
        <v>72</v>
      </c>
      <c r="Q25" s="2">
        <f>P25/(P25+P26+P27+P24)</f>
        <v>0.36363636363636365</v>
      </c>
      <c r="R25" s="158">
        <v>68</v>
      </c>
      <c r="S25" s="190">
        <f>R25/(R25+R26+R27+R24)</f>
        <v>0.29059829059829062</v>
      </c>
      <c r="T25" s="188">
        <f t="shared" si="4"/>
        <v>0.4095955369595537</v>
      </c>
      <c r="U25" s="71">
        <f t="shared" si="5"/>
        <v>5.2860423251881328E-3</v>
      </c>
      <c r="V25" s="72">
        <f>AVERAGE(S25,M25,J25,F25,Q25,O25)</f>
        <v>0.32897673213907791</v>
      </c>
      <c r="W25" s="73">
        <f>STDEVA(O25,M25,J25,F25,Q25,S25)</f>
        <v>0.11546116762836636</v>
      </c>
    </row>
    <row r="26" spans="2:31" x14ac:dyDescent="0.3">
      <c r="B26" s="8" t="s">
        <v>12</v>
      </c>
      <c r="C26" s="145"/>
      <c r="D26" s="4">
        <f>E26/(E26+E27+E26+E24)</f>
        <v>0</v>
      </c>
      <c r="E26" s="171">
        <v>0</v>
      </c>
      <c r="F26" s="4">
        <f>G26/(G26+G27+G26+G24)</f>
        <v>0</v>
      </c>
      <c r="G26" s="17">
        <v>0</v>
      </c>
      <c r="H26" s="175">
        <f>I26/(I26+I27+I26+I24)</f>
        <v>0</v>
      </c>
      <c r="I26" s="171">
        <v>0</v>
      </c>
      <c r="J26" s="4">
        <f>K26/(K26+K27+K26+K24)</f>
        <v>0</v>
      </c>
      <c r="K26" s="17">
        <v>0</v>
      </c>
      <c r="L26" s="182">
        <v>0</v>
      </c>
      <c r="M26" s="2">
        <f>L26/(L26+L27+L25+L24)</f>
        <v>0</v>
      </c>
      <c r="N26" s="158">
        <v>0</v>
      </c>
      <c r="O26" s="10">
        <f>N26/(N26+N27+N25+N24)</f>
        <v>0</v>
      </c>
      <c r="P26" s="18">
        <v>0</v>
      </c>
      <c r="Q26" s="2">
        <f>P26/(P26+P27+P25+P24)</f>
        <v>0</v>
      </c>
      <c r="R26" s="158">
        <v>0</v>
      </c>
      <c r="S26" s="190">
        <f>R26/(R26+R27+R25+R24)</f>
        <v>0</v>
      </c>
      <c r="T26" s="188">
        <f t="shared" si="4"/>
        <v>0</v>
      </c>
      <c r="U26" s="71">
        <f t="shared" si="5"/>
        <v>0</v>
      </c>
      <c r="V26" s="72">
        <f>AVERAGE(S26,M26,J26,F26,Q26,O26)</f>
        <v>0</v>
      </c>
      <c r="W26" s="73">
        <f>STDEVA(O26,M26,J26,F26,Q26,S26)</f>
        <v>0</v>
      </c>
    </row>
    <row r="27" spans="2:31" ht="15" thickBot="1" x14ac:dyDescent="0.35">
      <c r="B27" s="192" t="s">
        <v>16</v>
      </c>
      <c r="C27" s="145"/>
      <c r="D27" s="193">
        <f>E27/(E27+E25+E26+E24)</f>
        <v>1.3333333333333334E-2</v>
      </c>
      <c r="E27" s="140">
        <v>3</v>
      </c>
      <c r="F27" s="193">
        <f>G27/(G27+G25+G26+G24)</f>
        <v>1.3274336283185841E-2</v>
      </c>
      <c r="G27" s="194">
        <v>3</v>
      </c>
      <c r="H27" s="139">
        <f>I27/(I27+I25+I26+I24)</f>
        <v>2.5104602510460251E-2</v>
      </c>
      <c r="I27" s="140">
        <v>6</v>
      </c>
      <c r="J27" s="193">
        <f>K27/(K27+K25+K26+K24)</f>
        <v>1.4018691588785047E-2</v>
      </c>
      <c r="K27" s="194">
        <v>3</v>
      </c>
      <c r="L27" s="195">
        <v>2</v>
      </c>
      <c r="M27" s="196">
        <f>L27/(L27+L24+L25+L26)</f>
        <v>9.7087378640776691E-3</v>
      </c>
      <c r="N27" s="197">
        <v>18</v>
      </c>
      <c r="O27" s="15">
        <f>N27/(N27+N24+N25+N26)</f>
        <v>7.6923076923076927E-2</v>
      </c>
      <c r="P27" s="13">
        <v>3</v>
      </c>
      <c r="Q27" s="196">
        <f>P27/(P27+P24+P25+P26)</f>
        <v>1.5151515151515152E-2</v>
      </c>
      <c r="R27" s="197">
        <v>18</v>
      </c>
      <c r="S27" s="198">
        <f>R27/(R27+R24+R25+R26)</f>
        <v>7.6923076923076927E-2</v>
      </c>
      <c r="T27" s="199">
        <f t="shared" si="4"/>
        <v>1.9218967921896792E-2</v>
      </c>
      <c r="U27" s="74">
        <f t="shared" si="5"/>
        <v>8.323544258318636E-3</v>
      </c>
      <c r="V27" s="75">
        <f>AVERAGE(S27,M27,J27,F27,Q27,O27)</f>
        <v>3.4333239122286259E-2</v>
      </c>
      <c r="W27" s="76">
        <f>STDEVA(O27,M27,J27,F27,Q27,S27)</f>
        <v>3.304013133986982E-2</v>
      </c>
    </row>
    <row r="28" spans="2:31" ht="15" thickBot="1" x14ac:dyDescent="0.35">
      <c r="B28" s="208"/>
      <c r="C28" s="209"/>
      <c r="D28" s="210" t="s">
        <v>34</v>
      </c>
      <c r="E28" s="211">
        <f>SUM(E29:E32)</f>
        <v>203</v>
      </c>
      <c r="F28" s="210" t="s">
        <v>34</v>
      </c>
      <c r="G28" s="212">
        <f>SUM(G29:G32)</f>
        <v>210</v>
      </c>
      <c r="H28" s="213" t="s">
        <v>34</v>
      </c>
      <c r="I28" s="211">
        <f>SUM(I29:I32)</f>
        <v>354</v>
      </c>
      <c r="J28" s="210" t="s">
        <v>34</v>
      </c>
      <c r="K28" s="212">
        <f>SUM(K29:K32)</f>
        <v>196</v>
      </c>
      <c r="L28" s="213" t="s">
        <v>34</v>
      </c>
      <c r="M28" s="214">
        <f>SUM(L29:L32)</f>
        <v>0</v>
      </c>
      <c r="N28" s="215" t="s">
        <v>34</v>
      </c>
      <c r="O28" s="211">
        <f>SUM(N29:N32)</f>
        <v>178</v>
      </c>
      <c r="P28" s="210" t="s">
        <v>34</v>
      </c>
      <c r="Q28" s="214">
        <f>SUM(P29:P32)</f>
        <v>175</v>
      </c>
      <c r="R28" s="215" t="s">
        <v>34</v>
      </c>
      <c r="S28" s="212">
        <f>SUM(R29:R32)</f>
        <v>178</v>
      </c>
      <c r="T28" s="213" t="s">
        <v>34</v>
      </c>
      <c r="U28" s="216">
        <f>E28+I28</f>
        <v>557</v>
      </c>
      <c r="V28" s="215" t="s">
        <v>34</v>
      </c>
      <c r="W28" s="217">
        <f>G28+K28+M28+O28+Q28+S28</f>
        <v>937</v>
      </c>
    </row>
    <row r="29" spans="2:31" x14ac:dyDescent="0.3">
      <c r="B29" s="7" t="s">
        <v>11</v>
      </c>
      <c r="C29" s="148" t="s">
        <v>4</v>
      </c>
      <c r="D29" s="4">
        <f>E29/(E29+E30+E31+E32)</f>
        <v>0.13300492610837439</v>
      </c>
      <c r="E29" s="171">
        <f>2+25</f>
        <v>27</v>
      </c>
      <c r="F29" s="4">
        <f>G29/(G29+G30+G31+G32)</f>
        <v>0.59523809523809523</v>
      </c>
      <c r="G29" s="17">
        <f>125</f>
        <v>125</v>
      </c>
      <c r="H29" s="175">
        <f>I29/(I29+I30+I31+I32)</f>
        <v>0.11299435028248588</v>
      </c>
      <c r="I29" s="171">
        <v>40</v>
      </c>
      <c r="J29" s="4">
        <f>K29/(K29+K30+K31+K32)</f>
        <v>0.81122448979591832</v>
      </c>
      <c r="K29" s="17">
        <f>78+28+27+26</f>
        <v>159</v>
      </c>
      <c r="L29" s="176" t="s">
        <v>21</v>
      </c>
      <c r="M29" s="159" t="s">
        <v>21</v>
      </c>
      <c r="N29" s="158">
        <v>80</v>
      </c>
      <c r="O29" s="10">
        <f>N29/(N29+N30+N31+N32)</f>
        <v>0.449438202247191</v>
      </c>
      <c r="P29" s="18">
        <f>16+23+22+14+17+13</f>
        <v>105</v>
      </c>
      <c r="Q29" s="2">
        <f>P29/(P29+P30+P31+P32)</f>
        <v>0.6</v>
      </c>
      <c r="R29" s="158">
        <v>80</v>
      </c>
      <c r="S29" s="190">
        <f>R29/(R29+R30+R31+R32)</f>
        <v>0.449438202247191</v>
      </c>
      <c r="T29" s="188">
        <f t="shared" si="4"/>
        <v>0.12299963819543014</v>
      </c>
      <c r="U29" s="71">
        <f t="shared" si="5"/>
        <v>1.4149613861933367E-2</v>
      </c>
      <c r="V29" s="72">
        <f>AVERAGE(S29,J29,F29,Q29,O29)</f>
        <v>0.58106779790567908</v>
      </c>
      <c r="W29" s="73">
        <f>STDEVA(O29,J29,F29,Q29,S29)</f>
        <v>0.14847897943052557</v>
      </c>
    </row>
    <row r="30" spans="2:31" x14ac:dyDescent="0.3">
      <c r="B30" s="8" t="s">
        <v>15</v>
      </c>
      <c r="C30" s="145"/>
      <c r="D30" s="4">
        <f>E30/(E30+E31+E32+E29)</f>
        <v>0.85221674876847286</v>
      </c>
      <c r="E30" s="171">
        <f>22+139+12</f>
        <v>173</v>
      </c>
      <c r="F30" s="4">
        <f>G30/(G30+G31+G32+G29)</f>
        <v>0.4</v>
      </c>
      <c r="G30" s="17">
        <f>12+9+63</f>
        <v>84</v>
      </c>
      <c r="H30" s="175">
        <f>I30/(I30+I31+I32+I29)</f>
        <v>0.86723163841807904</v>
      </c>
      <c r="I30" s="171">
        <v>307</v>
      </c>
      <c r="J30" s="4">
        <f>K30/(K30+K31+K32+K29)</f>
        <v>0.18367346938775511</v>
      </c>
      <c r="K30" s="17">
        <f>30+5+1</f>
        <v>36</v>
      </c>
      <c r="L30" s="176" t="s">
        <v>21</v>
      </c>
      <c r="M30" s="50" t="s">
        <v>21</v>
      </c>
      <c r="N30" s="158">
        <v>95</v>
      </c>
      <c r="O30" s="10">
        <f>N30/(N30+N31+N32+N29)</f>
        <v>0.5337078651685393</v>
      </c>
      <c r="P30" s="18">
        <f>14+9+14+13+2+11+7</f>
        <v>70</v>
      </c>
      <c r="Q30" s="2">
        <f>P30/(P30+P31+P32+P29)</f>
        <v>0.4</v>
      </c>
      <c r="R30" s="158">
        <v>95</v>
      </c>
      <c r="S30" s="190">
        <f>R30/(R30+R31+R32+R29)</f>
        <v>0.5337078651685393</v>
      </c>
      <c r="T30" s="188">
        <f t="shared" si="4"/>
        <v>0.85972419359327601</v>
      </c>
      <c r="U30" s="71">
        <f t="shared" si="5"/>
        <v>1.0617130290004233E-2</v>
      </c>
      <c r="V30" s="72">
        <f t="shared" ref="V30:V32" si="6">AVERAGE(S30,J30,F30,Q30,O30)</f>
        <v>0.41021783994496674</v>
      </c>
      <c r="W30" s="73">
        <f t="shared" ref="W30:W32" si="7">STDEVA(O30,J30,F30,Q30,S30)</f>
        <v>0.14320503918934074</v>
      </c>
    </row>
    <row r="31" spans="2:31" x14ac:dyDescent="0.3">
      <c r="B31" s="8" t="s">
        <v>12</v>
      </c>
      <c r="C31" s="145"/>
      <c r="D31" s="4">
        <f>E31/(E31+E32+E31+E29)</f>
        <v>0</v>
      </c>
      <c r="E31" s="171">
        <v>0</v>
      </c>
      <c r="F31" s="4">
        <f>G31/(G31+G32+G31+G29)</f>
        <v>0</v>
      </c>
      <c r="G31" s="17">
        <v>0</v>
      </c>
      <c r="H31" s="175">
        <f>I31/(I31+I32+I31+I29)</f>
        <v>0</v>
      </c>
      <c r="I31" s="171">
        <v>0</v>
      </c>
      <c r="J31" s="4">
        <f>K31/(K31+K32+K31+K29)</f>
        <v>0</v>
      </c>
      <c r="K31" s="17">
        <v>0</v>
      </c>
      <c r="L31" s="176" t="s">
        <v>21</v>
      </c>
      <c r="M31" s="50" t="s">
        <v>21</v>
      </c>
      <c r="N31" s="158">
        <v>0</v>
      </c>
      <c r="O31" s="10">
        <f>N31/(N31+N32+N30+N29)</f>
        <v>0</v>
      </c>
      <c r="P31" s="18">
        <v>0</v>
      </c>
      <c r="Q31" s="2">
        <f>P31/(P31+P32+P30+P29)</f>
        <v>0</v>
      </c>
      <c r="R31" s="158">
        <v>0</v>
      </c>
      <c r="S31" s="190">
        <f>R31/(R31+R32+R30+R29)</f>
        <v>0</v>
      </c>
      <c r="T31" s="188">
        <f t="shared" si="4"/>
        <v>0</v>
      </c>
      <c r="U31" s="71">
        <f t="shared" si="5"/>
        <v>0</v>
      </c>
      <c r="V31" s="72">
        <f t="shared" si="6"/>
        <v>0</v>
      </c>
      <c r="W31" s="73">
        <f t="shared" si="7"/>
        <v>0</v>
      </c>
      <c r="Z31" s="1"/>
    </row>
    <row r="32" spans="2:31" ht="15" thickBot="1" x14ac:dyDescent="0.35">
      <c r="B32" s="9" t="s">
        <v>16</v>
      </c>
      <c r="C32" s="146"/>
      <c r="D32" s="5">
        <f>E32/(E32+E30+E31+E29)</f>
        <v>1.4778325123152709E-2</v>
      </c>
      <c r="E32" s="172">
        <v>3</v>
      </c>
      <c r="F32" s="5">
        <f>G32/(G32+G30+G31+G29)</f>
        <v>4.7619047619047623E-3</v>
      </c>
      <c r="G32" s="19">
        <v>1</v>
      </c>
      <c r="H32" s="177">
        <f>I32/(I32+I30+I31+I29)</f>
        <v>1.977401129943503E-2</v>
      </c>
      <c r="I32" s="172">
        <v>7</v>
      </c>
      <c r="J32" s="5">
        <f>K32/(K32+K30+K31+K29)</f>
        <v>5.1020408163265302E-3</v>
      </c>
      <c r="K32" s="19">
        <v>1</v>
      </c>
      <c r="L32" s="183" t="s">
        <v>21</v>
      </c>
      <c r="M32" s="54" t="s">
        <v>21</v>
      </c>
      <c r="N32" s="218">
        <v>3</v>
      </c>
      <c r="O32" s="11">
        <f>N32/(N32+N29+N30+N31)</f>
        <v>1.6853932584269662E-2</v>
      </c>
      <c r="P32" s="14">
        <v>0</v>
      </c>
      <c r="Q32" s="3">
        <f>P32/(P32+P29+P30+P31)</f>
        <v>0</v>
      </c>
      <c r="R32" s="218">
        <v>3</v>
      </c>
      <c r="S32" s="219">
        <f>R32/(R32+R29+R30+R31)</f>
        <v>1.6853932584269662E-2</v>
      </c>
      <c r="T32" s="189">
        <f t="shared" si="4"/>
        <v>1.7276168211293869E-2</v>
      </c>
      <c r="U32" s="78">
        <f t="shared" si="5"/>
        <v>3.5324835719291237E-3</v>
      </c>
      <c r="V32" s="79">
        <f t="shared" si="6"/>
        <v>8.7143621493541244E-3</v>
      </c>
      <c r="W32" s="80">
        <f t="shared" si="7"/>
        <v>7.6992874055435701E-3</v>
      </c>
    </row>
    <row r="33" spans="2:23" ht="15" thickBot="1" x14ac:dyDescent="0.35">
      <c r="B33" s="138"/>
      <c r="C33" s="147"/>
      <c r="D33" s="200" t="s">
        <v>34</v>
      </c>
      <c r="E33" s="201">
        <f>SUM(E34:E37)</f>
        <v>136</v>
      </c>
      <c r="F33" s="200" t="s">
        <v>34</v>
      </c>
      <c r="G33" s="202">
        <f>SUM(G34:G37)</f>
        <v>188</v>
      </c>
      <c r="H33" s="203" t="s">
        <v>34</v>
      </c>
      <c r="I33" s="201">
        <f>SUM(I34:I37)</f>
        <v>0</v>
      </c>
      <c r="J33" s="200" t="s">
        <v>34</v>
      </c>
      <c r="K33" s="202">
        <f>SUM(K34:K37)</f>
        <v>0</v>
      </c>
      <c r="L33" s="203" t="s">
        <v>34</v>
      </c>
      <c r="M33" s="204">
        <f>SUM(L34:L37)</f>
        <v>254</v>
      </c>
      <c r="N33" s="205" t="s">
        <v>34</v>
      </c>
      <c r="O33" s="201">
        <f>SUM(N34:N37)</f>
        <v>0</v>
      </c>
      <c r="P33" s="200" t="s">
        <v>34</v>
      </c>
      <c r="Q33" s="204">
        <f>SUM(P34:P37)</f>
        <v>140</v>
      </c>
      <c r="R33" s="205" t="s">
        <v>34</v>
      </c>
      <c r="S33" s="202">
        <f>SUM(R34:R37)</f>
        <v>0</v>
      </c>
      <c r="T33" s="203" t="s">
        <v>34</v>
      </c>
      <c r="U33" s="206">
        <f>E33+I33</f>
        <v>136</v>
      </c>
      <c r="V33" s="205" t="s">
        <v>34</v>
      </c>
      <c r="W33" s="207">
        <f>G33+K33+M33+O33+Q33+S33</f>
        <v>582</v>
      </c>
    </row>
    <row r="34" spans="2:23" x14ac:dyDescent="0.3">
      <c r="B34" s="7" t="s">
        <v>11</v>
      </c>
      <c r="C34" s="148" t="s">
        <v>5</v>
      </c>
      <c r="D34" s="4">
        <f>E34/(E34+E35+E36+E37)</f>
        <v>2.9411764705882353E-2</v>
      </c>
      <c r="E34" s="171">
        <v>4</v>
      </c>
      <c r="F34" s="4">
        <f>G34/(G34+G35+G36+G37)</f>
        <v>0.57446808510638303</v>
      </c>
      <c r="G34" s="17">
        <f>12+96</f>
        <v>108</v>
      </c>
      <c r="H34" s="176" t="s">
        <v>21</v>
      </c>
      <c r="I34" s="81" t="s">
        <v>21</v>
      </c>
      <c r="J34" s="49" t="s">
        <v>21</v>
      </c>
      <c r="K34" s="185" t="s">
        <v>21</v>
      </c>
      <c r="L34" s="182">
        <f>24+95</f>
        <v>119</v>
      </c>
      <c r="M34" s="2">
        <f>L34/(L34+L35+L36+L37)</f>
        <v>0.46850393700787402</v>
      </c>
      <c r="N34" s="50" t="s">
        <v>21</v>
      </c>
      <c r="O34" s="81" t="s">
        <v>21</v>
      </c>
      <c r="P34" s="18">
        <f>6+19+6+6+10+9+11+10+7+2</f>
        <v>86</v>
      </c>
      <c r="Q34" s="2">
        <f>P34/(P34+P35+P36+P37)</f>
        <v>0.61428571428571432</v>
      </c>
      <c r="R34" s="50" t="s">
        <v>21</v>
      </c>
      <c r="S34" s="185" t="s">
        <v>21</v>
      </c>
      <c r="T34" s="188">
        <f t="shared" si="4"/>
        <v>2.9411764705882353E-2</v>
      </c>
      <c r="U34" s="71" t="e">
        <f>STDEVA(D34)</f>
        <v>#DIV/0!</v>
      </c>
      <c r="V34" s="72">
        <f>AVERAGE(M34,F34,Q34)</f>
        <v>0.55241924546665711</v>
      </c>
      <c r="W34" s="73">
        <f>STDEVA(M34,F34,Q34)</f>
        <v>7.5350482040031558E-2</v>
      </c>
    </row>
    <row r="35" spans="2:23" x14ac:dyDescent="0.3">
      <c r="B35" s="8" t="s">
        <v>15</v>
      </c>
      <c r="C35" s="145"/>
      <c r="D35" s="4">
        <f>E35/(E35+E36+E37+E34)</f>
        <v>0.96323529411764708</v>
      </c>
      <c r="E35" s="171">
        <f>87+23+21</f>
        <v>131</v>
      </c>
      <c r="F35" s="4">
        <f>G35/(G35+G36+G37+G34)</f>
        <v>0.40957446808510639</v>
      </c>
      <c r="G35" s="17">
        <f>7+57+7+6</f>
        <v>77</v>
      </c>
      <c r="H35" s="176" t="s">
        <v>21</v>
      </c>
      <c r="I35" s="51" t="s">
        <v>21</v>
      </c>
      <c r="J35" s="49" t="s">
        <v>21</v>
      </c>
      <c r="K35" s="64" t="s">
        <v>21</v>
      </c>
      <c r="L35" s="182">
        <f>17+115</f>
        <v>132</v>
      </c>
      <c r="M35" s="2">
        <f>L35/(L35+L36+L37+L34)</f>
        <v>0.51968503937007871</v>
      </c>
      <c r="N35" s="50" t="s">
        <v>21</v>
      </c>
      <c r="O35" s="51" t="s">
        <v>21</v>
      </c>
      <c r="P35" s="18">
        <f>7+7+9+6+8+9+4+1+2</f>
        <v>53</v>
      </c>
      <c r="Q35" s="2">
        <f>P35/(P35+P36+P37+P34)</f>
        <v>0.37857142857142856</v>
      </c>
      <c r="R35" s="50" t="s">
        <v>21</v>
      </c>
      <c r="S35" s="64" t="s">
        <v>21</v>
      </c>
      <c r="T35" s="188">
        <f t="shared" si="4"/>
        <v>0.96323529411764708</v>
      </c>
      <c r="U35" s="71" t="e">
        <f t="shared" ref="U35:U37" si="8">STDEVA(D35)</f>
        <v>#DIV/0!</v>
      </c>
      <c r="V35" s="72">
        <f t="shared" ref="V35:V37" si="9">AVERAGE(M35,F35,Q35)</f>
        <v>0.43594364534220453</v>
      </c>
      <c r="W35" s="73">
        <f t="shared" ref="W35:W37" si="10">STDEVA(M35,F35,Q35)</f>
        <v>7.4160386461172678E-2</v>
      </c>
    </row>
    <row r="36" spans="2:23" x14ac:dyDescent="0.3">
      <c r="B36" s="8" t="s">
        <v>12</v>
      </c>
      <c r="C36" s="145"/>
      <c r="D36" s="4">
        <f>E36/(E36+E37+E36+E34)</f>
        <v>0</v>
      </c>
      <c r="E36" s="171">
        <v>0</v>
      </c>
      <c r="F36" s="4">
        <f>G36/(G36+G37+G36+G34)</f>
        <v>0</v>
      </c>
      <c r="G36" s="17">
        <v>0</v>
      </c>
      <c r="H36" s="176" t="s">
        <v>21</v>
      </c>
      <c r="I36" s="51" t="s">
        <v>21</v>
      </c>
      <c r="J36" s="49" t="s">
        <v>21</v>
      </c>
      <c r="K36" s="64" t="s">
        <v>21</v>
      </c>
      <c r="L36" s="182">
        <v>0</v>
      </c>
      <c r="M36" s="2">
        <f>L36/(L36+L37+L35+L34)</f>
        <v>0</v>
      </c>
      <c r="N36" s="50" t="s">
        <v>21</v>
      </c>
      <c r="O36" s="51" t="s">
        <v>21</v>
      </c>
      <c r="P36" s="18">
        <v>0</v>
      </c>
      <c r="Q36" s="2">
        <f>P36/(P36+P37+P35+P34)</f>
        <v>0</v>
      </c>
      <c r="R36" s="50" t="s">
        <v>21</v>
      </c>
      <c r="S36" s="64" t="s">
        <v>21</v>
      </c>
      <c r="T36" s="188">
        <f t="shared" si="4"/>
        <v>0</v>
      </c>
      <c r="U36" s="71" t="e">
        <f t="shared" si="8"/>
        <v>#DIV/0!</v>
      </c>
      <c r="V36" s="72">
        <f t="shared" si="9"/>
        <v>0</v>
      </c>
      <c r="W36" s="73">
        <f t="shared" si="10"/>
        <v>0</v>
      </c>
    </row>
    <row r="37" spans="2:23" ht="15" thickBot="1" x14ac:dyDescent="0.35">
      <c r="B37" s="192" t="s">
        <v>16</v>
      </c>
      <c r="C37" s="145"/>
      <c r="D37" s="193">
        <f>E37/(E37+E35+E36+E34)</f>
        <v>7.3529411764705881E-3</v>
      </c>
      <c r="E37" s="140">
        <v>1</v>
      </c>
      <c r="F37" s="193">
        <f>G37/(G37+G35+G36+G34)</f>
        <v>1.5957446808510637E-2</v>
      </c>
      <c r="G37" s="194">
        <v>3</v>
      </c>
      <c r="H37" s="220" t="s">
        <v>21</v>
      </c>
      <c r="I37" s="83" t="s">
        <v>21</v>
      </c>
      <c r="J37" s="82" t="s">
        <v>21</v>
      </c>
      <c r="K37" s="66" t="s">
        <v>21</v>
      </c>
      <c r="L37" s="195">
        <v>3</v>
      </c>
      <c r="M37" s="196">
        <f>L37/(L37+L34+L35+L36)</f>
        <v>1.1811023622047244E-2</v>
      </c>
      <c r="N37" s="221" t="s">
        <v>21</v>
      </c>
      <c r="O37" s="83" t="s">
        <v>21</v>
      </c>
      <c r="P37" s="13">
        <v>1</v>
      </c>
      <c r="Q37" s="196">
        <f>P37/(P37+P34+P35+P36)</f>
        <v>7.1428571428571426E-3</v>
      </c>
      <c r="R37" s="221" t="s">
        <v>21</v>
      </c>
      <c r="S37" s="66" t="s">
        <v>21</v>
      </c>
      <c r="T37" s="199">
        <f t="shared" si="4"/>
        <v>7.3529411764705881E-3</v>
      </c>
      <c r="U37" s="74" t="e">
        <f t="shared" si="8"/>
        <v>#DIV/0!</v>
      </c>
      <c r="V37" s="75">
        <f t="shared" si="9"/>
        <v>1.1637109191138341E-2</v>
      </c>
      <c r="W37" s="76">
        <f t="shared" si="10"/>
        <v>4.4098676188089967E-3</v>
      </c>
    </row>
    <row r="38" spans="2:23" ht="15" thickBot="1" x14ac:dyDescent="0.35">
      <c r="B38" s="208"/>
      <c r="C38" s="209"/>
      <c r="D38" s="210" t="s">
        <v>34</v>
      </c>
      <c r="E38" s="211">
        <f>SUM(E39:E42)</f>
        <v>159</v>
      </c>
      <c r="F38" s="210" t="s">
        <v>34</v>
      </c>
      <c r="G38" s="212">
        <f>SUM(G39:G42)</f>
        <v>191</v>
      </c>
      <c r="H38" s="213" t="s">
        <v>34</v>
      </c>
      <c r="I38" s="211">
        <f>SUM(I39:I42)</f>
        <v>172</v>
      </c>
      <c r="J38" s="210" t="s">
        <v>34</v>
      </c>
      <c r="K38" s="212">
        <f>SUM(K39:K42)</f>
        <v>256</v>
      </c>
      <c r="L38" s="213" t="s">
        <v>34</v>
      </c>
      <c r="M38" s="214">
        <f>SUM(L39:L42)</f>
        <v>238</v>
      </c>
      <c r="N38" s="215" t="s">
        <v>34</v>
      </c>
      <c r="O38" s="211">
        <f>SUM(N39:N42)</f>
        <v>240</v>
      </c>
      <c r="P38" s="210" t="s">
        <v>34</v>
      </c>
      <c r="Q38" s="214">
        <f>SUM(P39:P42)</f>
        <v>332</v>
      </c>
      <c r="R38" s="215" t="s">
        <v>34</v>
      </c>
      <c r="S38" s="212">
        <f>SUM(R39:R42)</f>
        <v>240</v>
      </c>
      <c r="T38" s="213" t="s">
        <v>34</v>
      </c>
      <c r="U38" s="216">
        <f>E38+I38</f>
        <v>331</v>
      </c>
      <c r="V38" s="215" t="s">
        <v>34</v>
      </c>
      <c r="W38" s="217">
        <f>G38+K38+M38+O38+Q38+S38</f>
        <v>1497</v>
      </c>
    </row>
    <row r="39" spans="2:23" x14ac:dyDescent="0.3">
      <c r="B39" s="7" t="s">
        <v>11</v>
      </c>
      <c r="C39" s="149" t="s">
        <v>6</v>
      </c>
      <c r="D39" s="4">
        <f>E39/(E39+E40+E41+E42)</f>
        <v>1.2578616352201259E-2</v>
      </c>
      <c r="E39" s="171">
        <v>2</v>
      </c>
      <c r="F39" s="4">
        <f>G39/(G39+G40+G41+G42)</f>
        <v>0.37696335078534032</v>
      </c>
      <c r="G39" s="17">
        <v>72</v>
      </c>
      <c r="H39" s="175">
        <f>I39/(I39+I40+I41+I42)</f>
        <v>5.232558139534884E-2</v>
      </c>
      <c r="I39" s="171">
        <f>2+6+1</f>
        <v>9</v>
      </c>
      <c r="J39" s="4">
        <f>K39/(K39+K40+K41+K42)</f>
        <v>0.421875</v>
      </c>
      <c r="K39" s="17">
        <v>108</v>
      </c>
      <c r="L39" s="182">
        <v>84</v>
      </c>
      <c r="M39" s="2">
        <f>L39/(L39+L40+L41+L42)</f>
        <v>0.35294117647058826</v>
      </c>
      <c r="N39" s="161">
        <v>48</v>
      </c>
      <c r="O39" s="10">
        <f>N39/(N39+N40+N41+N42)</f>
        <v>0.2</v>
      </c>
      <c r="P39" s="18">
        <v>128</v>
      </c>
      <c r="Q39" s="2">
        <f>P39/(P39+P40+P41+P42)</f>
        <v>0.38554216867469882</v>
      </c>
      <c r="R39" s="161">
        <v>48</v>
      </c>
      <c r="S39" s="190">
        <f>R39/(R39+R40+R41+R42)</f>
        <v>0.2</v>
      </c>
      <c r="T39" s="188">
        <f t="shared" si="4"/>
        <v>3.2452098873775051E-2</v>
      </c>
      <c r="U39" s="71">
        <f t="shared" ref="U39:U47" si="11">STDEVA(H39,D39)</f>
        <v>2.8105348513594301E-2</v>
      </c>
      <c r="V39" s="72">
        <f>AVERAGE(S39,M39,J39,F39,Q39,O39)</f>
        <v>0.32288694932177125</v>
      </c>
      <c r="W39" s="73">
        <f>STDEVA(O39,M39,J39,F39,Q39,S39)</f>
        <v>9.7728428905026574E-2</v>
      </c>
    </row>
    <row r="40" spans="2:23" x14ac:dyDescent="0.3">
      <c r="B40" s="8" t="s">
        <v>15</v>
      </c>
      <c r="C40" s="145"/>
      <c r="D40" s="4">
        <f>E40/(E40+E41+E42+E39)</f>
        <v>0.37735849056603776</v>
      </c>
      <c r="E40" s="171">
        <v>60</v>
      </c>
      <c r="F40" s="4">
        <f>G40/(G40+G41+G42+G39)</f>
        <v>0.53926701570680624</v>
      </c>
      <c r="G40" s="17">
        <f>6+97</f>
        <v>103</v>
      </c>
      <c r="H40" s="175">
        <f>I40/(I40+I41+I42+I39)</f>
        <v>0.33139534883720928</v>
      </c>
      <c r="I40" s="171">
        <v>57</v>
      </c>
      <c r="J40" s="4">
        <f>K40/(K40+K41+K42+K39)</f>
        <v>0.50390625</v>
      </c>
      <c r="K40" s="17">
        <v>129</v>
      </c>
      <c r="L40" s="182">
        <v>130</v>
      </c>
      <c r="M40" s="2">
        <f>L40/(L40+L41+L42+L39)</f>
        <v>0.54621848739495793</v>
      </c>
      <c r="N40" s="161">
        <v>118</v>
      </c>
      <c r="O40" s="10">
        <f>N40/(N40+N41+N42+N39)</f>
        <v>0.49166666666666664</v>
      </c>
      <c r="P40" s="18">
        <v>165</v>
      </c>
      <c r="Q40" s="2">
        <f>P40/(P40+P41+P42+P39)</f>
        <v>0.49698795180722893</v>
      </c>
      <c r="R40" s="161">
        <v>118</v>
      </c>
      <c r="S40" s="190">
        <f>R40/(R40+R41+R42+R39)</f>
        <v>0.49166666666666664</v>
      </c>
      <c r="T40" s="188">
        <f t="shared" si="4"/>
        <v>0.35437691970162355</v>
      </c>
      <c r="U40" s="71">
        <f t="shared" si="11"/>
        <v>3.2500849201092995E-2</v>
      </c>
      <c r="V40" s="72">
        <f>AVERAGE(S40,M40,J40,F40,Q40,O40)</f>
        <v>0.51161883970705435</v>
      </c>
      <c r="W40" s="73">
        <f>STDEVA(O40,M40,J40,F40,Q40,S40)</f>
        <v>2.4622276885105793E-2</v>
      </c>
    </row>
    <row r="41" spans="2:23" x14ac:dyDescent="0.3">
      <c r="B41" s="8" t="s">
        <v>12</v>
      </c>
      <c r="C41" s="145"/>
      <c r="D41" s="4">
        <f>E41/(E41+E42+E41+E39)</f>
        <v>0.01</v>
      </c>
      <c r="E41" s="171">
        <v>1</v>
      </c>
      <c r="F41" s="4">
        <f>G41/(G41+G42+G41+G39)</f>
        <v>1.1235955056179775E-2</v>
      </c>
      <c r="G41" s="17">
        <v>1</v>
      </c>
      <c r="H41" s="175">
        <f>I41/(I41+I42+I41+I39)</f>
        <v>8.6206896551724137E-3</v>
      </c>
      <c r="I41" s="171">
        <v>1</v>
      </c>
      <c r="J41" s="4">
        <f>K41/(K41+K42+K41+K39)</f>
        <v>7.8125E-3</v>
      </c>
      <c r="K41" s="17">
        <v>1</v>
      </c>
      <c r="L41" s="182">
        <v>0</v>
      </c>
      <c r="M41" s="2">
        <f>L41/(L41+L42+L40+L39)</f>
        <v>0</v>
      </c>
      <c r="N41" s="161">
        <v>0</v>
      </c>
      <c r="O41" s="10">
        <f>N41/(N41+N42+N40+N39)</f>
        <v>0</v>
      </c>
      <c r="P41" s="18">
        <v>1</v>
      </c>
      <c r="Q41" s="2">
        <f>P41/(P41+P42+P40+P39)</f>
        <v>3.0120481927710845E-3</v>
      </c>
      <c r="R41" s="161">
        <v>0</v>
      </c>
      <c r="S41" s="190">
        <f>R41/(R41+R42+R40+R39)</f>
        <v>0</v>
      </c>
      <c r="T41" s="188">
        <f t="shared" si="4"/>
        <v>9.3103448275862061E-3</v>
      </c>
      <c r="U41" s="71">
        <f t="shared" si="11"/>
        <v>9.7531969818834166E-4</v>
      </c>
      <c r="V41" s="72">
        <f>AVERAGE(S41,M41,J41,F41,Q41,O41)</f>
        <v>3.6767505414918096E-3</v>
      </c>
      <c r="W41" s="73">
        <f>STDEVA(O41,M41,J41,F41,Q41,S41)</f>
        <v>4.8009021927947152E-3</v>
      </c>
    </row>
    <row r="42" spans="2:23" ht="15" thickBot="1" x14ac:dyDescent="0.35">
      <c r="B42" s="9" t="s">
        <v>16</v>
      </c>
      <c r="C42" s="150"/>
      <c r="D42" s="5">
        <f>E42/(E42+E40+E41+E39)</f>
        <v>0.60377358490566035</v>
      </c>
      <c r="E42" s="172">
        <v>96</v>
      </c>
      <c r="F42" s="5">
        <f>G42/(G42+G40+G41+G39)</f>
        <v>7.8534031413612565E-2</v>
      </c>
      <c r="G42" s="19">
        <v>15</v>
      </c>
      <c r="H42" s="177">
        <f>I42/(I42+I40+I41+I39)</f>
        <v>0.61046511627906974</v>
      </c>
      <c r="I42" s="172">
        <f>105</f>
        <v>105</v>
      </c>
      <c r="J42" s="5">
        <f>K42/(K42+K40+K41+K39)</f>
        <v>7.03125E-2</v>
      </c>
      <c r="K42" s="19">
        <v>18</v>
      </c>
      <c r="L42" s="222">
        <v>24</v>
      </c>
      <c r="M42" s="3">
        <f>L42/(L42+L39+L40+L41)</f>
        <v>0.10084033613445378</v>
      </c>
      <c r="N42" s="223">
        <v>74</v>
      </c>
      <c r="O42" s="11">
        <f>N42/(N42+N39+N40+N41)</f>
        <v>0.30833333333333335</v>
      </c>
      <c r="P42" s="14">
        <v>38</v>
      </c>
      <c r="Q42" s="3">
        <f>P42/(P42+P39+P40+P41)</f>
        <v>0.1144578313253012</v>
      </c>
      <c r="R42" s="223">
        <v>74</v>
      </c>
      <c r="S42" s="219">
        <f>R42/(R42+R39+R40+R41)</f>
        <v>0.30833333333333335</v>
      </c>
      <c r="T42" s="189">
        <f t="shared" si="4"/>
        <v>0.6071193505923651</v>
      </c>
      <c r="U42" s="78">
        <f t="shared" si="11"/>
        <v>4.731627210660309E-3</v>
      </c>
      <c r="V42" s="79">
        <f>AVERAGE(S42,M42,J42,F42,Q42,O42)</f>
        <v>0.16346856092333903</v>
      </c>
      <c r="W42" s="80">
        <f>STDEVA(O42,M42,J42,F42,Q42,S42)</f>
        <v>0.11330302442258942</v>
      </c>
    </row>
    <row r="43" spans="2:23" ht="15" thickBot="1" x14ac:dyDescent="0.35">
      <c r="B43" s="138"/>
      <c r="C43" s="147"/>
      <c r="D43" s="200" t="s">
        <v>34</v>
      </c>
      <c r="E43" s="201">
        <f>SUM(E44:E47)</f>
        <v>128</v>
      </c>
      <c r="F43" s="200" t="s">
        <v>34</v>
      </c>
      <c r="G43" s="202">
        <f>SUM(G44:G47)</f>
        <v>277</v>
      </c>
      <c r="H43" s="203" t="s">
        <v>34</v>
      </c>
      <c r="I43" s="201">
        <f>SUM(I44:I47)</f>
        <v>101</v>
      </c>
      <c r="J43" s="200" t="s">
        <v>34</v>
      </c>
      <c r="K43" s="202">
        <f>SUM(K44:K47)</f>
        <v>281</v>
      </c>
      <c r="L43" s="203" t="s">
        <v>34</v>
      </c>
      <c r="M43" s="204">
        <f>SUM(L44:L47)</f>
        <v>0</v>
      </c>
      <c r="N43" s="205" t="s">
        <v>34</v>
      </c>
      <c r="O43" s="201">
        <f>SUM(N44:N47)</f>
        <v>126</v>
      </c>
      <c r="P43" s="200" t="s">
        <v>34</v>
      </c>
      <c r="Q43" s="204">
        <f>SUM(P44:P47)</f>
        <v>170</v>
      </c>
      <c r="R43" s="205" t="s">
        <v>34</v>
      </c>
      <c r="S43" s="202">
        <f>SUM(R44:R47)</f>
        <v>0</v>
      </c>
      <c r="T43" s="203" t="s">
        <v>34</v>
      </c>
      <c r="U43" s="206">
        <f>E43+I43</f>
        <v>229</v>
      </c>
      <c r="V43" s="205" t="s">
        <v>34</v>
      </c>
      <c r="W43" s="207">
        <f>G43+K43+M43+O43+Q43+S43</f>
        <v>854</v>
      </c>
    </row>
    <row r="44" spans="2:23" x14ac:dyDescent="0.3">
      <c r="B44" s="7" t="s">
        <v>11</v>
      </c>
      <c r="C44" s="149" t="s">
        <v>7</v>
      </c>
      <c r="D44" s="4">
        <f>E44/(E44+E45+E46+E47)</f>
        <v>7.8125E-3</v>
      </c>
      <c r="E44" s="171">
        <v>1</v>
      </c>
      <c r="F44" s="4">
        <f>G44/(G44+G45+G46+G47)</f>
        <v>7.9422382671480149E-2</v>
      </c>
      <c r="G44" s="17">
        <v>22</v>
      </c>
      <c r="H44" s="175">
        <f>I44/(I44+I45+I46+I47)</f>
        <v>9.9009900990099011E-3</v>
      </c>
      <c r="I44" s="171">
        <v>1</v>
      </c>
      <c r="J44" s="4">
        <f>K44/(K44+K45+K46+K47)</f>
        <v>0.17793594306049823</v>
      </c>
      <c r="K44" s="17">
        <v>50</v>
      </c>
      <c r="L44" s="176" t="s">
        <v>21</v>
      </c>
      <c r="M44" s="160" t="s">
        <v>21</v>
      </c>
      <c r="N44" s="50">
        <v>28</v>
      </c>
      <c r="O44" s="10">
        <f>N44/(N44+N45+N46+N47)</f>
        <v>0.22222222222222221</v>
      </c>
      <c r="P44" s="18">
        <v>22</v>
      </c>
      <c r="Q44" s="2">
        <f>P44/(P44+P45+P46+P47)</f>
        <v>0.12941176470588237</v>
      </c>
      <c r="R44" s="50" t="s">
        <v>21</v>
      </c>
      <c r="S44" s="185" t="s">
        <v>21</v>
      </c>
      <c r="T44" s="188">
        <f t="shared" si="4"/>
        <v>8.8567450495049514E-3</v>
      </c>
      <c r="U44" s="71">
        <f t="shared" si="11"/>
        <v>1.4767855114508649E-3</v>
      </c>
      <c r="V44" s="72">
        <f>AVERAGE(J44,F44,Q44,O44)</f>
        <v>0.15224807816502073</v>
      </c>
      <c r="W44" s="73">
        <f>STDEVA(O44,J44,F44,Q44)</f>
        <v>6.1593631640368511E-2</v>
      </c>
    </row>
    <row r="45" spans="2:23" x14ac:dyDescent="0.3">
      <c r="B45" s="8" t="s">
        <v>15</v>
      </c>
      <c r="C45" s="145"/>
      <c r="D45" s="4">
        <f>E45/(E45+E46+E47+E44)</f>
        <v>0.140625</v>
      </c>
      <c r="E45" s="171">
        <v>18</v>
      </c>
      <c r="F45" s="4">
        <f>G45/(G45+G46+G47+G44)</f>
        <v>0.45487364620938631</v>
      </c>
      <c r="G45" s="17">
        <v>126</v>
      </c>
      <c r="H45" s="175">
        <f>I45/(I45+I46+I47+I44)</f>
        <v>0.23762376237623761</v>
      </c>
      <c r="I45" s="171">
        <v>24</v>
      </c>
      <c r="J45" s="4">
        <f>K45/(K45+K46+K47+K44)</f>
        <v>0.39857651245551601</v>
      </c>
      <c r="K45" s="17">
        <v>112</v>
      </c>
      <c r="L45" s="176" t="s">
        <v>21</v>
      </c>
      <c r="M45" s="50" t="s">
        <v>21</v>
      </c>
      <c r="N45" s="50">
        <f>15+37</f>
        <v>52</v>
      </c>
      <c r="O45" s="10">
        <f>N45/(N45+N46+N47+N44)</f>
        <v>0.41269841269841268</v>
      </c>
      <c r="P45" s="18">
        <v>69</v>
      </c>
      <c r="Q45" s="2">
        <f>P45/(P45+P46+P47+P44)</f>
        <v>0.40588235294117647</v>
      </c>
      <c r="R45" s="50" t="s">
        <v>21</v>
      </c>
      <c r="S45" s="64" t="s">
        <v>21</v>
      </c>
      <c r="T45" s="188">
        <f t="shared" si="4"/>
        <v>0.18912438118811881</v>
      </c>
      <c r="U45" s="71">
        <f t="shared" si="11"/>
        <v>6.8588482642940124E-2</v>
      </c>
      <c r="V45" s="72">
        <f t="shared" ref="V45:V47" si="12">AVERAGE(J45,F45,Q45,O45)</f>
        <v>0.41800773107612288</v>
      </c>
      <c r="W45" s="73">
        <f t="shared" ref="W45:W47" si="13">STDEVA(O45,J45,F45,Q45)</f>
        <v>2.5244680048451977E-2</v>
      </c>
    </row>
    <row r="46" spans="2:23" x14ac:dyDescent="0.3">
      <c r="B46" s="8" t="s">
        <v>12</v>
      </c>
      <c r="C46" s="145"/>
      <c r="D46" s="4">
        <f>E46/(E46+E47+E46+E44)</f>
        <v>0</v>
      </c>
      <c r="E46" s="171">
        <v>0</v>
      </c>
      <c r="F46" s="4">
        <f>G46/(G46+G47+G46+G44)</f>
        <v>0</v>
      </c>
      <c r="G46" s="17">
        <v>0</v>
      </c>
      <c r="H46" s="175">
        <f>I46/(I46+I47+I46+I44)</f>
        <v>1.282051282051282E-2</v>
      </c>
      <c r="I46" s="171">
        <v>1</v>
      </c>
      <c r="J46" s="4">
        <f>K46/(K46+K47+K46+K44)</f>
        <v>5.8823529411764705E-3</v>
      </c>
      <c r="K46" s="17">
        <v>1</v>
      </c>
      <c r="L46" s="176" t="s">
        <v>21</v>
      </c>
      <c r="M46" s="50" t="s">
        <v>21</v>
      </c>
      <c r="N46" s="50">
        <v>2</v>
      </c>
      <c r="O46" s="10">
        <f>N46/(N46+N47+N45+N44)</f>
        <v>1.5873015873015872E-2</v>
      </c>
      <c r="P46" s="18">
        <v>1</v>
      </c>
      <c r="Q46" s="2">
        <f>P46/(P46+P47+P45+P44)</f>
        <v>5.8823529411764705E-3</v>
      </c>
      <c r="R46" s="50" t="s">
        <v>21</v>
      </c>
      <c r="S46" s="64" t="s">
        <v>21</v>
      </c>
      <c r="T46" s="188">
        <f t="shared" si="4"/>
        <v>6.41025641025641E-3</v>
      </c>
      <c r="U46" s="71">
        <f t="shared" si="11"/>
        <v>9.0654715536736853E-3</v>
      </c>
      <c r="V46" s="72">
        <f t="shared" si="12"/>
        <v>6.9094304388422033E-3</v>
      </c>
      <c r="W46" s="73">
        <f t="shared" si="13"/>
        <v>6.5877631306676503E-3</v>
      </c>
    </row>
    <row r="47" spans="2:23" ht="15" thickBot="1" x14ac:dyDescent="0.35">
      <c r="B47" s="9" t="s">
        <v>16</v>
      </c>
      <c r="C47" s="150"/>
      <c r="D47" s="5">
        <f>E47/(E47+E45+E46+E44)</f>
        <v>0.8515625</v>
      </c>
      <c r="E47" s="172">
        <v>109</v>
      </c>
      <c r="F47" s="5">
        <f>G47/(G47+G45+G46+G44)</f>
        <v>0.46570397111913359</v>
      </c>
      <c r="G47" s="19">
        <v>129</v>
      </c>
      <c r="H47" s="177">
        <f>I47/(I47+I45+I46+I44)</f>
        <v>0.74257425742574257</v>
      </c>
      <c r="I47" s="172">
        <v>75</v>
      </c>
      <c r="J47" s="5">
        <f>K47/(K47+K45+K46+K44)</f>
        <v>0.41992882562277578</v>
      </c>
      <c r="K47" s="19">
        <v>118</v>
      </c>
      <c r="L47" s="183" t="s">
        <v>21</v>
      </c>
      <c r="M47" s="54" t="s">
        <v>21</v>
      </c>
      <c r="N47" s="168">
        <v>44</v>
      </c>
      <c r="O47" s="11">
        <f>N47/(N47+N44+N45+N46)</f>
        <v>0.34920634920634919</v>
      </c>
      <c r="P47" s="14">
        <v>78</v>
      </c>
      <c r="Q47" s="3">
        <f>P47/(P47+P44+P45+P46)</f>
        <v>0.45882352941176469</v>
      </c>
      <c r="R47" s="167" t="s">
        <v>21</v>
      </c>
      <c r="S47" s="77" t="s">
        <v>21</v>
      </c>
      <c r="T47" s="189">
        <f t="shared" si="4"/>
        <v>0.79706837871287128</v>
      </c>
      <c r="U47" s="78">
        <f t="shared" si="11"/>
        <v>7.7066325393861809E-2</v>
      </c>
      <c r="V47" s="79">
        <f t="shared" si="12"/>
        <v>0.42341566884000581</v>
      </c>
      <c r="W47" s="80">
        <f t="shared" si="13"/>
        <v>5.3420340370910362E-2</v>
      </c>
    </row>
    <row r="48" spans="2:23" ht="15" thickBot="1" x14ac:dyDescent="0.35">
      <c r="P48" s="122"/>
      <c r="Q48" s="121"/>
      <c r="R48" s="121"/>
      <c r="S48" s="191"/>
    </row>
  </sheetData>
  <mergeCells count="28">
    <mergeCell ref="N2:O2"/>
    <mergeCell ref="P2:Q2"/>
    <mergeCell ref="R22:S22"/>
    <mergeCell ref="L22:M22"/>
    <mergeCell ref="N22:O22"/>
    <mergeCell ref="P21:S21"/>
    <mergeCell ref="P22:Q22"/>
    <mergeCell ref="C16:C18"/>
    <mergeCell ref="C4:C5"/>
    <mergeCell ref="C7:C9"/>
    <mergeCell ref="C10:C12"/>
    <mergeCell ref="C13:C15"/>
    <mergeCell ref="C34:C37"/>
    <mergeCell ref="C39:C42"/>
    <mergeCell ref="C44:C47"/>
    <mergeCell ref="C29:C32"/>
    <mergeCell ref="C24:C27"/>
    <mergeCell ref="T21:U21"/>
    <mergeCell ref="V21:W21"/>
    <mergeCell ref="D22:E22"/>
    <mergeCell ref="F22:G22"/>
    <mergeCell ref="H22:I22"/>
    <mergeCell ref="J22:K22"/>
    <mergeCell ref="D21:E21"/>
    <mergeCell ref="F21:G21"/>
    <mergeCell ref="J21:K21"/>
    <mergeCell ref="H21:I21"/>
    <mergeCell ref="L21:O2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exit SPB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2021-07-22T21:38:29Z</dcterms:created>
  <dcterms:modified xsi:type="dcterms:W3CDTF">2024-03-04T21:33:20Z</dcterms:modified>
</cp:coreProperties>
</file>