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D:\G256W Paper Data\G256W Paper Source data and reagents table\"/>
    </mc:Choice>
  </mc:AlternateContent>
  <xr:revisionPtr revIDLastSave="0" documentId="13_ncr:1_{47E5A288-0C24-4476-8B17-DA19203C7E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Metadata" sheetId="1" r:id="rId1"/>
    <sheet name="Hip Kcnq2" sheetId="14" r:id="rId2"/>
    <sheet name="One sample ttest hip Q2" sheetId="24" r:id="rId3"/>
    <sheet name="DeltaDelta CT Hip Kcnq2" sheetId="15" r:id="rId4"/>
    <sheet name="Hip Kcnq2 CT QC" sheetId="28" r:id="rId5"/>
    <sheet name="CTX Kcnq2" sheetId="18" r:id="rId6"/>
    <sheet name="CTX Kcnq2 G256W Grubbs test" sheetId="26" r:id="rId7"/>
    <sheet name="One sample ttest CTX Q2" sheetId="25" r:id="rId8"/>
    <sheet name="DeltaDelta CT CTX Kcnq2" sheetId="19" r:id="rId9"/>
    <sheet name="Cortex Kcnq2 CT QC" sheetId="27" r:id="rId10"/>
    <sheet name="Hip Kcnq3" sheetId="16" r:id="rId11"/>
    <sheet name="DeltaDeltaCT Hip Kcnq3" sheetId="17" r:id="rId12"/>
    <sheet name="Hip Kcnq3 CT QC" sheetId="29" r:id="rId13"/>
    <sheet name="CTX Kcnq3" sheetId="22" r:id="rId14"/>
    <sheet name="DeltaDeltaCT CTX Kcnq3" sheetId="23" r:id="rId15"/>
    <sheet name="CTX Kcnq3 CT QC" sheetId="30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8" i="30" l="1" a="1"/>
  <c r="K18" i="30" s="1"/>
  <c r="J18" i="30" a="1"/>
  <c r="J18" i="30" s="1"/>
  <c r="I18" i="30"/>
  <c r="H18" i="30"/>
  <c r="K17" i="30" a="1"/>
  <c r="K17" i="30" s="1"/>
  <c r="J17" i="30" a="1"/>
  <c r="J17" i="30" s="1"/>
  <c r="I17" i="30"/>
  <c r="H17" i="30"/>
  <c r="K16" i="30" a="1"/>
  <c r="K16" i="30" s="1"/>
  <c r="J16" i="30" a="1"/>
  <c r="J16" i="30" s="1"/>
  <c r="I16" i="30"/>
  <c r="H16" i="30"/>
  <c r="K15" i="30" a="1"/>
  <c r="K15" i="30" s="1"/>
  <c r="J15" i="30" a="1"/>
  <c r="J15" i="30" s="1"/>
  <c r="I15" i="30"/>
  <c r="H15" i="30"/>
  <c r="K14" i="30" a="1"/>
  <c r="K14" i="30" s="1"/>
  <c r="J14" i="30" a="1"/>
  <c r="J14" i="30" s="1"/>
  <c r="I14" i="30"/>
  <c r="H14" i="30"/>
  <c r="K13" i="30" a="1"/>
  <c r="K13" i="30" s="1"/>
  <c r="J13" i="30" a="1"/>
  <c r="J13" i="30" s="1"/>
  <c r="I13" i="30"/>
  <c r="H13" i="30"/>
  <c r="K12" i="30" a="1"/>
  <c r="K12" i="30" s="1"/>
  <c r="J12" i="30" a="1"/>
  <c r="J12" i="30" s="1"/>
  <c r="I12" i="30"/>
  <c r="H12" i="30"/>
  <c r="K11" i="30" a="1"/>
  <c r="K11" i="30" s="1"/>
  <c r="J11" i="30" a="1"/>
  <c r="J11" i="30" s="1"/>
  <c r="I11" i="30"/>
  <c r="H11" i="30"/>
  <c r="K10" i="30" a="1"/>
  <c r="K10" i="30" s="1"/>
  <c r="J10" i="30" a="1"/>
  <c r="J10" i="30" s="1"/>
  <c r="I10" i="30"/>
  <c r="H10" i="30"/>
  <c r="K9" i="30" a="1"/>
  <c r="K9" i="30" s="1"/>
  <c r="J9" i="30" a="1"/>
  <c r="J9" i="30" s="1"/>
  <c r="I9" i="30"/>
  <c r="H9" i="30"/>
  <c r="K8" i="30" a="1"/>
  <c r="K8" i="30" s="1"/>
  <c r="J8" i="30" a="1"/>
  <c r="J8" i="30" s="1"/>
  <c r="I8" i="30"/>
  <c r="N8" i="30" s="1"/>
  <c r="H8" i="30"/>
  <c r="K7" i="30" a="1"/>
  <c r="K7" i="30" s="1"/>
  <c r="J7" i="30"/>
  <c r="J7" i="30" a="1"/>
  <c r="I7" i="30"/>
  <c r="H7" i="30"/>
  <c r="K6" i="30"/>
  <c r="K6" i="30" a="1"/>
  <c r="J6" i="30" a="1"/>
  <c r="J6" i="30" s="1"/>
  <c r="I6" i="30"/>
  <c r="H6" i="30"/>
  <c r="K5" i="30" a="1"/>
  <c r="K5" i="30" s="1"/>
  <c r="J5" i="30"/>
  <c r="J5" i="30" a="1"/>
  <c r="I5" i="30"/>
  <c r="H5" i="30"/>
  <c r="N4" i="30"/>
  <c r="K4" i="30" a="1"/>
  <c r="K4" i="30" s="1"/>
  <c r="J4" i="30" a="1"/>
  <c r="J4" i="30" s="1"/>
  <c r="I4" i="30"/>
  <c r="H4" i="30"/>
  <c r="K3" i="30" a="1"/>
  <c r="K3" i="30" s="1"/>
  <c r="J3" i="30" a="1"/>
  <c r="J3" i="30" s="1"/>
  <c r="I3" i="30"/>
  <c r="H3" i="30"/>
  <c r="O4" i="30" s="1" a="1"/>
  <c r="O4" i="30" s="1"/>
  <c r="K2" i="30" a="1"/>
  <c r="K2" i="30" s="1"/>
  <c r="J2" i="30" a="1"/>
  <c r="J2" i="30" s="1"/>
  <c r="I2" i="30"/>
  <c r="H2" i="30"/>
  <c r="K18" i="29" a="1"/>
  <c r="K18" i="29" s="1"/>
  <c r="J18" i="29" a="1"/>
  <c r="J18" i="29" s="1"/>
  <c r="I18" i="29"/>
  <c r="H18" i="29"/>
  <c r="K17" i="29" a="1"/>
  <c r="K17" i="29" s="1"/>
  <c r="J17" i="29" a="1"/>
  <c r="J17" i="29" s="1"/>
  <c r="I17" i="29"/>
  <c r="H17" i="29"/>
  <c r="K16" i="29" a="1"/>
  <c r="K16" i="29" s="1"/>
  <c r="J16" i="29" a="1"/>
  <c r="J16" i="29" s="1"/>
  <c r="I16" i="29"/>
  <c r="H16" i="29"/>
  <c r="K15" i="29" a="1"/>
  <c r="K15" i="29" s="1"/>
  <c r="J15" i="29" a="1"/>
  <c r="J15" i="29" s="1"/>
  <c r="I15" i="29"/>
  <c r="H15" i="29"/>
  <c r="K14" i="29" a="1"/>
  <c r="K14" i="29" s="1"/>
  <c r="J14" i="29" a="1"/>
  <c r="J14" i="29" s="1"/>
  <c r="I14" i="29"/>
  <c r="H14" i="29"/>
  <c r="K13" i="29" a="1"/>
  <c r="K13" i="29" s="1"/>
  <c r="J13" i="29" a="1"/>
  <c r="J13" i="29" s="1"/>
  <c r="I13" i="29"/>
  <c r="H13" i="29"/>
  <c r="K12" i="29" a="1"/>
  <c r="K12" i="29" s="1"/>
  <c r="J12" i="29" a="1"/>
  <c r="J12" i="29" s="1"/>
  <c r="I12" i="29"/>
  <c r="H12" i="29"/>
  <c r="K11" i="29" a="1"/>
  <c r="K11" i="29" s="1"/>
  <c r="J11" i="29" a="1"/>
  <c r="J11" i="29" s="1"/>
  <c r="I11" i="29"/>
  <c r="H11" i="29"/>
  <c r="K10" i="29" a="1"/>
  <c r="K10" i="29" s="1"/>
  <c r="J10" i="29" a="1"/>
  <c r="J10" i="29" s="1"/>
  <c r="I10" i="29"/>
  <c r="H10" i="29"/>
  <c r="K9" i="29" a="1"/>
  <c r="K9" i="29" s="1"/>
  <c r="J9" i="29" a="1"/>
  <c r="J9" i="29" s="1"/>
  <c r="I9" i="29"/>
  <c r="H9" i="29"/>
  <c r="K8" i="29" a="1"/>
  <c r="K8" i="29" s="1"/>
  <c r="J8" i="29" a="1"/>
  <c r="J8" i="29" s="1"/>
  <c r="I8" i="29"/>
  <c r="H8" i="29"/>
  <c r="K7" i="29" a="1"/>
  <c r="K7" i="29" s="1"/>
  <c r="J7" i="29" a="1"/>
  <c r="J7" i="29" s="1"/>
  <c r="I7" i="29"/>
  <c r="H7" i="29"/>
  <c r="K6" i="29" a="1"/>
  <c r="K6" i="29" s="1"/>
  <c r="J6" i="29" a="1"/>
  <c r="J6" i="29" s="1"/>
  <c r="I6" i="29"/>
  <c r="H6" i="29"/>
  <c r="K5" i="29" a="1"/>
  <c r="K5" i="29" s="1"/>
  <c r="J5" i="29" a="1"/>
  <c r="J5" i="29" s="1"/>
  <c r="I5" i="29"/>
  <c r="H5" i="29"/>
  <c r="K4" i="29" a="1"/>
  <c r="K4" i="29" s="1"/>
  <c r="J4" i="29" a="1"/>
  <c r="J4" i="29" s="1"/>
  <c r="I4" i="29"/>
  <c r="H4" i="29"/>
  <c r="K3" i="29" a="1"/>
  <c r="K3" i="29" s="1"/>
  <c r="J3" i="29" a="1"/>
  <c r="J3" i="29" s="1"/>
  <c r="I3" i="29"/>
  <c r="H3" i="29"/>
  <c r="K2" i="29" a="1"/>
  <c r="K2" i="29" s="1"/>
  <c r="J2" i="29" a="1"/>
  <c r="J2" i="29" s="1"/>
  <c r="I2" i="29"/>
  <c r="H2" i="29"/>
  <c r="K18" i="28" a="1"/>
  <c r="K18" i="28" s="1"/>
  <c r="J18" i="28" a="1"/>
  <c r="J18" i="28" s="1"/>
  <c r="I18" i="28"/>
  <c r="H18" i="28"/>
  <c r="K17" i="28" a="1"/>
  <c r="K17" i="28" s="1"/>
  <c r="J17" i="28" a="1"/>
  <c r="J17" i="28" s="1"/>
  <c r="I17" i="28"/>
  <c r="H17" i="28"/>
  <c r="K16" i="28" a="1"/>
  <c r="K16" i="28" s="1"/>
  <c r="J16" i="28" a="1"/>
  <c r="J16" i="28" s="1"/>
  <c r="I16" i="28"/>
  <c r="H16" i="28"/>
  <c r="K15" i="28" a="1"/>
  <c r="K15" i="28" s="1"/>
  <c r="J15" i="28" a="1"/>
  <c r="J15" i="28" s="1"/>
  <c r="I15" i="28"/>
  <c r="H15" i="28"/>
  <c r="K14" i="28" a="1"/>
  <c r="K14" i="28" s="1"/>
  <c r="J14" i="28" a="1"/>
  <c r="J14" i="28" s="1"/>
  <c r="I14" i="28"/>
  <c r="H14" i="28"/>
  <c r="K13" i="28" a="1"/>
  <c r="K13" i="28" s="1"/>
  <c r="J13" i="28" a="1"/>
  <c r="J13" i="28" s="1"/>
  <c r="I13" i="28"/>
  <c r="H13" i="28"/>
  <c r="K12" i="28" a="1"/>
  <c r="K12" i="28" s="1"/>
  <c r="J12" i="28" a="1"/>
  <c r="J12" i="28" s="1"/>
  <c r="I12" i="28"/>
  <c r="H12" i="28"/>
  <c r="K11" i="28" a="1"/>
  <c r="K11" i="28" s="1"/>
  <c r="J11" i="28" a="1"/>
  <c r="J11" i="28" s="1"/>
  <c r="I11" i="28"/>
  <c r="H11" i="28"/>
  <c r="K10" i="28" a="1"/>
  <c r="K10" i="28" s="1"/>
  <c r="J10" i="28" a="1"/>
  <c r="J10" i="28" s="1"/>
  <c r="I10" i="28"/>
  <c r="H10" i="28"/>
  <c r="K9" i="28" a="1"/>
  <c r="K9" i="28" s="1"/>
  <c r="J9" i="28" a="1"/>
  <c r="J9" i="28" s="1"/>
  <c r="I9" i="28"/>
  <c r="H9" i="28"/>
  <c r="K8" i="28" a="1"/>
  <c r="K8" i="28" s="1"/>
  <c r="J8" i="28" a="1"/>
  <c r="J8" i="28" s="1"/>
  <c r="I8" i="28"/>
  <c r="H8" i="28"/>
  <c r="K7" i="28" a="1"/>
  <c r="K7" i="28" s="1"/>
  <c r="J7" i="28" a="1"/>
  <c r="J7" i="28" s="1"/>
  <c r="I7" i="28"/>
  <c r="H7" i="28"/>
  <c r="K6" i="28" a="1"/>
  <c r="K6" i="28" s="1"/>
  <c r="J6" i="28" a="1"/>
  <c r="J6" i="28" s="1"/>
  <c r="I6" i="28"/>
  <c r="H6" i="28"/>
  <c r="K5" i="28" a="1"/>
  <c r="K5" i="28" s="1"/>
  <c r="J5" i="28" a="1"/>
  <c r="J5" i="28" s="1"/>
  <c r="I5" i="28"/>
  <c r="H5" i="28"/>
  <c r="K4" i="28" a="1"/>
  <c r="K4" i="28" s="1"/>
  <c r="J4" i="28" a="1"/>
  <c r="J4" i="28" s="1"/>
  <c r="I4" i="28"/>
  <c r="H4" i="28"/>
  <c r="K3" i="28" a="1"/>
  <c r="K3" i="28" s="1"/>
  <c r="J3" i="28" a="1"/>
  <c r="J3" i="28" s="1"/>
  <c r="I3" i="28"/>
  <c r="H3" i="28"/>
  <c r="K2" i="28" a="1"/>
  <c r="K2" i="28" s="1"/>
  <c r="J2" i="28" a="1"/>
  <c r="J2" i="28" s="1"/>
  <c r="I2" i="28"/>
  <c r="H2" i="28"/>
  <c r="K3" i="27" a="1"/>
  <c r="K3" i="27" s="1"/>
  <c r="K4" i="27" a="1"/>
  <c r="K4" i="27" s="1"/>
  <c r="K5" i="27" a="1"/>
  <c r="K5" i="27" s="1"/>
  <c r="K6" i="27" a="1"/>
  <c r="K6" i="27" s="1"/>
  <c r="K7" i="27" a="1"/>
  <c r="K7" i="27" s="1"/>
  <c r="K8" i="27" a="1"/>
  <c r="K8" i="27" s="1"/>
  <c r="K9" i="27" a="1"/>
  <c r="K9" i="27" s="1"/>
  <c r="K10" i="27" a="1"/>
  <c r="K10" i="27" s="1"/>
  <c r="K11" i="27" a="1"/>
  <c r="K11" i="27" s="1"/>
  <c r="K12" i="27" a="1"/>
  <c r="K12" i="27" s="1"/>
  <c r="K13" i="27" a="1"/>
  <c r="K13" i="27" s="1"/>
  <c r="K14" i="27" a="1"/>
  <c r="K14" i="27" s="1"/>
  <c r="K15" i="27" a="1"/>
  <c r="K15" i="27" s="1"/>
  <c r="K16" i="27" a="1"/>
  <c r="K16" i="27" s="1"/>
  <c r="K17" i="27" a="1"/>
  <c r="K17" i="27" s="1"/>
  <c r="K18" i="27" a="1"/>
  <c r="K18" i="27" s="1"/>
  <c r="K2" i="27" a="1"/>
  <c r="K2" i="27" s="1"/>
  <c r="J3" i="27" a="1"/>
  <c r="J3" i="27" s="1"/>
  <c r="J4" i="27" a="1"/>
  <c r="J4" i="27" s="1"/>
  <c r="J5" i="27" a="1"/>
  <c r="J5" i="27" s="1"/>
  <c r="J6" i="27" a="1"/>
  <c r="J6" i="27" s="1"/>
  <c r="J7" i="27" a="1"/>
  <c r="J7" i="27" s="1"/>
  <c r="J8" i="27" a="1"/>
  <c r="J8" i="27" s="1"/>
  <c r="J9" i="27" a="1"/>
  <c r="J9" i="27" s="1"/>
  <c r="J10" i="27" a="1"/>
  <c r="J10" i="27" s="1"/>
  <c r="J11" i="27" a="1"/>
  <c r="J11" i="27" s="1"/>
  <c r="J12" i="27" a="1"/>
  <c r="J12" i="27" s="1"/>
  <c r="J13" i="27" a="1"/>
  <c r="J13" i="27" s="1"/>
  <c r="J14" i="27" a="1"/>
  <c r="J14" i="27" s="1"/>
  <c r="J15" i="27" a="1"/>
  <c r="J15" i="27" s="1"/>
  <c r="J16" i="27" a="1"/>
  <c r="J16" i="27" s="1"/>
  <c r="J17" i="27" a="1"/>
  <c r="J17" i="27" s="1"/>
  <c r="J18" i="27" a="1"/>
  <c r="J18" i="27" s="1"/>
  <c r="J2" i="27" a="1"/>
  <c r="J2" i="27" s="1"/>
  <c r="I3" i="27"/>
  <c r="I4" i="27"/>
  <c r="I5" i="27"/>
  <c r="I6" i="27"/>
  <c r="I7" i="27"/>
  <c r="I8" i="27"/>
  <c r="I9" i="27"/>
  <c r="I10" i="27"/>
  <c r="I11" i="27"/>
  <c r="I12" i="27"/>
  <c r="I13" i="27"/>
  <c r="I14" i="27"/>
  <c r="O11" i="27" s="1"/>
  <c r="I15" i="27"/>
  <c r="I16" i="27"/>
  <c r="I17" i="27"/>
  <c r="I18" i="27"/>
  <c r="H3" i="27"/>
  <c r="H4" i="27"/>
  <c r="H5" i="27"/>
  <c r="H6" i="27"/>
  <c r="H7" i="27"/>
  <c r="H8" i="27"/>
  <c r="H9" i="27"/>
  <c r="H10" i="27"/>
  <c r="H11" i="27"/>
  <c r="H12" i="27"/>
  <c r="H13" i="27"/>
  <c r="H14" i="27"/>
  <c r="O5" i="27" s="1"/>
  <c r="H15" i="27"/>
  <c r="H16" i="27"/>
  <c r="H17" i="27"/>
  <c r="H18" i="27"/>
  <c r="H2" i="27"/>
  <c r="I2" i="27"/>
  <c r="O10" i="27" s="1" a="1"/>
  <c r="O10" i="27" s="1"/>
  <c r="N3" i="30" l="1"/>
  <c r="N9" i="30"/>
  <c r="O2" i="30" a="1"/>
  <c r="O2" i="30" s="1"/>
  <c r="O8" i="30" a="1"/>
  <c r="O8" i="30" s="1"/>
  <c r="O9" i="30" a="1"/>
  <c r="O9" i="30" s="1"/>
  <c r="N2" i="30"/>
  <c r="N7" i="30"/>
  <c r="O7" i="30" a="1"/>
  <c r="O7" i="30" s="1"/>
  <c r="O3" i="30" a="1"/>
  <c r="O3" i="30" s="1"/>
  <c r="N2" i="29"/>
  <c r="N8" i="29"/>
  <c r="N9" i="29"/>
  <c r="O4" i="29" a="1"/>
  <c r="O4" i="29" s="1"/>
  <c r="N3" i="29"/>
  <c r="O9" i="29" a="1"/>
  <c r="O9" i="29" s="1"/>
  <c r="N4" i="29"/>
  <c r="O8" i="29" a="1"/>
  <c r="O8" i="29" s="1"/>
  <c r="O3" i="29" a="1"/>
  <c r="O3" i="29" s="1"/>
  <c r="N7" i="29"/>
  <c r="O7" i="29" a="1"/>
  <c r="O7" i="29" s="1"/>
  <c r="O2" i="29" a="1"/>
  <c r="O2" i="29" s="1"/>
  <c r="N4" i="28"/>
  <c r="O4" i="28" a="1"/>
  <c r="O4" i="28" s="1"/>
  <c r="N9" i="28"/>
  <c r="N8" i="28"/>
  <c r="O9" i="28" a="1"/>
  <c r="O9" i="28" s="1"/>
  <c r="O7" i="28" a="1"/>
  <c r="O7" i="28" s="1"/>
  <c r="N3" i="28"/>
  <c r="N2" i="28"/>
  <c r="O8" i="28" a="1"/>
  <c r="O8" i="28" s="1"/>
  <c r="O3" i="28" a="1"/>
  <c r="O3" i="28" s="1"/>
  <c r="N7" i="28"/>
  <c r="O2" i="28" a="1"/>
  <c r="O2" i="28" s="1"/>
  <c r="N5" i="27"/>
  <c r="N10" i="27"/>
  <c r="N11" i="27"/>
  <c r="N3" i="27"/>
  <c r="N4" i="27"/>
  <c r="O2" i="27" a="1"/>
  <c r="O2" i="27" s="1"/>
  <c r="N9" i="27"/>
  <c r="O9" i="27" a="1"/>
  <c r="O9" i="27" s="1"/>
  <c r="O8" i="27" a="1"/>
  <c r="O8" i="27" s="1"/>
  <c r="O3" i="27" a="1"/>
  <c r="O3" i="27" s="1"/>
  <c r="O4" i="27" a="1"/>
  <c r="O4" i="27" s="1"/>
  <c r="N8" i="27"/>
  <c r="N2" i="27"/>
  <c r="K4" i="22" a="1"/>
  <c r="K4" i="22" s="1"/>
  <c r="J4" i="22"/>
  <c r="K4" i="16" a="1"/>
  <c r="K4" i="16" s="1"/>
  <c r="J4" i="16"/>
  <c r="K4" i="18"/>
  <c r="J4" i="18"/>
  <c r="K4" i="14" a="1"/>
  <c r="K4" i="14" s="1"/>
  <c r="J4" i="14"/>
  <c r="D9" i="26"/>
  <c r="D1" i="26"/>
  <c r="D10" i="26"/>
  <c r="D11" i="26" s="1"/>
  <c r="D8" i="26"/>
  <c r="D3" i="26"/>
  <c r="D2" i="26"/>
  <c r="D4" i="26" l="1"/>
  <c r="K5" i="18"/>
  <c r="J5" i="18"/>
  <c r="G17" i="19"/>
  <c r="H17" i="19" a="1"/>
  <c r="H17" i="19" s="1"/>
  <c r="G10" i="19"/>
  <c r="H10" i="19" a="1"/>
  <c r="H10" i="19" s="1"/>
  <c r="G12" i="19"/>
  <c r="K5" i="22" l="1" a="1"/>
  <c r="K5" i="22" s="1"/>
  <c r="K5" i="14" a="1"/>
  <c r="K5" i="14" s="1"/>
  <c r="K5" i="16" a="1"/>
  <c r="K5" i="16" s="1"/>
  <c r="D3" i="25"/>
  <c r="D4" i="25" s="1"/>
  <c r="D2" i="25"/>
  <c r="D5" i="25"/>
  <c r="D3" i="24"/>
  <c r="D4" i="24" s="1"/>
  <c r="D2" i="24"/>
  <c r="D7" i="24" s="1"/>
  <c r="D8" i="24" s="1"/>
  <c r="D1" i="24"/>
  <c r="D5" i="24" s="1"/>
  <c r="K3" i="18" a="1"/>
  <c r="K3" i="18" s="1"/>
  <c r="K3" i="22" a="1"/>
  <c r="K3" i="22" s="1"/>
  <c r="J5" i="22"/>
  <c r="G10" i="23"/>
  <c r="H10" i="23" a="1"/>
  <c r="H10" i="23" s="1"/>
  <c r="G17" i="23"/>
  <c r="H17" i="23" a="1"/>
  <c r="H17" i="23" s="1"/>
  <c r="H18" i="23" a="1"/>
  <c r="H18" i="23" s="1"/>
  <c r="G18" i="23"/>
  <c r="H16" i="23" a="1"/>
  <c r="H16" i="23" s="1"/>
  <c r="G16" i="23"/>
  <c r="H15" i="23" a="1"/>
  <c r="H15" i="23" s="1"/>
  <c r="G15" i="23"/>
  <c r="H14" i="23" a="1"/>
  <c r="H14" i="23" s="1"/>
  <c r="G14" i="23"/>
  <c r="H13" i="23" a="1"/>
  <c r="H13" i="23" s="1"/>
  <c r="G13" i="23"/>
  <c r="H12" i="23" a="1"/>
  <c r="H12" i="23" s="1"/>
  <c r="G12" i="23"/>
  <c r="H11" i="23" a="1"/>
  <c r="H11" i="23" s="1"/>
  <c r="G11" i="23"/>
  <c r="H9" i="23" a="1"/>
  <c r="H9" i="23" s="1"/>
  <c r="G9" i="23"/>
  <c r="H8" i="23" a="1"/>
  <c r="H8" i="23" s="1"/>
  <c r="G8" i="23"/>
  <c r="H7" i="23" a="1"/>
  <c r="H7" i="23" s="1"/>
  <c r="G7" i="23"/>
  <c r="H6" i="23" a="1"/>
  <c r="H6" i="23" s="1"/>
  <c r="G6" i="23"/>
  <c r="H5" i="23" a="1"/>
  <c r="H5" i="23" s="1"/>
  <c r="G5" i="23"/>
  <c r="H4" i="23" a="1"/>
  <c r="H4" i="23" s="1"/>
  <c r="G4" i="23"/>
  <c r="H3" i="23" a="1"/>
  <c r="H3" i="23" s="1"/>
  <c r="G3" i="23"/>
  <c r="H2" i="23" a="1"/>
  <c r="H2" i="23" s="1"/>
  <c r="G2" i="23"/>
  <c r="G3" i="19"/>
  <c r="H3" i="19" a="1"/>
  <c r="H3" i="19" s="1"/>
  <c r="G4" i="19"/>
  <c r="H4" i="19" a="1"/>
  <c r="H4" i="19" s="1"/>
  <c r="G5" i="19"/>
  <c r="H5" i="19" a="1"/>
  <c r="H5" i="19" s="1"/>
  <c r="G6" i="19"/>
  <c r="H6" i="19" a="1"/>
  <c r="H6" i="19" s="1"/>
  <c r="G7" i="19"/>
  <c r="H7" i="19" a="1"/>
  <c r="H7" i="19" s="1"/>
  <c r="G8" i="19"/>
  <c r="H8" i="19" a="1"/>
  <c r="H8" i="19" s="1"/>
  <c r="G9" i="19"/>
  <c r="H9" i="19" a="1"/>
  <c r="H9" i="19" s="1"/>
  <c r="G11" i="19"/>
  <c r="H11" i="19" a="1"/>
  <c r="H11" i="19" s="1"/>
  <c r="H12" i="19" a="1"/>
  <c r="H12" i="19" s="1"/>
  <c r="G13" i="19"/>
  <c r="H13" i="19" a="1"/>
  <c r="H13" i="19" s="1"/>
  <c r="G14" i="19"/>
  <c r="H14" i="19" a="1"/>
  <c r="H14" i="19" s="1"/>
  <c r="G15" i="19"/>
  <c r="H15" i="19" a="1"/>
  <c r="H15" i="19" s="1"/>
  <c r="G16" i="19"/>
  <c r="H16" i="19" a="1"/>
  <c r="H16" i="19" s="1"/>
  <c r="G18" i="19"/>
  <c r="H18" i="19" a="1"/>
  <c r="H18" i="19" s="1"/>
  <c r="H2" i="19" a="1"/>
  <c r="H2" i="19" s="1"/>
  <c r="G2" i="19"/>
  <c r="I17" i="19" s="1"/>
  <c r="J17" i="19" s="1"/>
  <c r="I10" i="19" l="1"/>
  <c r="J10" i="19" s="1"/>
  <c r="D7" i="25"/>
  <c r="D8" i="25" s="1"/>
  <c r="I10" i="23"/>
  <c r="K10" i="23" s="1"/>
  <c r="J10" i="23"/>
  <c r="L10" i="23" s="1"/>
  <c r="I17" i="23"/>
  <c r="K17" i="23" s="1"/>
  <c r="J3" i="22"/>
  <c r="J17" i="23"/>
  <c r="L17" i="23" s="1"/>
  <c r="J5" i="23"/>
  <c r="L5" i="23" s="1"/>
  <c r="J8" i="23"/>
  <c r="L8" i="23" s="1"/>
  <c r="I3" i="23"/>
  <c r="K3" i="23" s="1"/>
  <c r="J11" i="23"/>
  <c r="L11" i="23" s="1"/>
  <c r="J4" i="23"/>
  <c r="L4" i="23" s="1"/>
  <c r="I7" i="23"/>
  <c r="K7" i="23" s="1"/>
  <c r="J9" i="23"/>
  <c r="L9" i="23" s="1"/>
  <c r="J13" i="23"/>
  <c r="L13" i="23" s="1"/>
  <c r="I16" i="23"/>
  <c r="K16" i="23" s="1"/>
  <c r="J18" i="23"/>
  <c r="L18" i="23" s="1"/>
  <c r="I12" i="23"/>
  <c r="K12" i="23" s="1"/>
  <c r="J14" i="23"/>
  <c r="L14" i="23" s="1"/>
  <c r="I2" i="23"/>
  <c r="K2" i="23" s="1"/>
  <c r="J6" i="23"/>
  <c r="L6" i="23" s="1"/>
  <c r="J15" i="23"/>
  <c r="L15" i="23" s="1"/>
  <c r="I11" i="23"/>
  <c r="K11" i="23" s="1"/>
  <c r="J12" i="23"/>
  <c r="L12" i="23" s="1"/>
  <c r="I15" i="23"/>
  <c r="K15" i="23" s="1"/>
  <c r="J16" i="23"/>
  <c r="L16" i="23" s="1"/>
  <c r="J2" i="23"/>
  <c r="L2" i="23" s="1"/>
  <c r="I5" i="23"/>
  <c r="K5" i="23" s="1"/>
  <c r="I9" i="23"/>
  <c r="K9" i="23" s="1"/>
  <c r="I14" i="23"/>
  <c r="K14" i="23" s="1"/>
  <c r="I18" i="23"/>
  <c r="K18" i="23" s="1"/>
  <c r="J3" i="23"/>
  <c r="L3" i="23" s="1"/>
  <c r="I6" i="23"/>
  <c r="K6" i="23" s="1"/>
  <c r="J7" i="23"/>
  <c r="L7" i="23" s="1"/>
  <c r="I4" i="23"/>
  <c r="K4" i="23" s="1"/>
  <c r="I8" i="23"/>
  <c r="K8" i="23" s="1"/>
  <c r="I13" i="23"/>
  <c r="K13" i="23" s="1"/>
  <c r="J3" i="18"/>
  <c r="I15" i="19"/>
  <c r="J15" i="19" s="1"/>
  <c r="I13" i="19"/>
  <c r="J13" i="19" s="1"/>
  <c r="I11" i="19"/>
  <c r="J11" i="19" s="1"/>
  <c r="I18" i="19"/>
  <c r="J18" i="19" s="1"/>
  <c r="I8" i="19"/>
  <c r="J8" i="19" s="1"/>
  <c r="I9" i="19"/>
  <c r="J9" i="19" s="1"/>
  <c r="I7" i="19"/>
  <c r="J7" i="19" s="1"/>
  <c r="I16" i="19"/>
  <c r="J16" i="19" s="1"/>
  <c r="I12" i="19"/>
  <c r="J12" i="19" s="1"/>
  <c r="I4" i="19"/>
  <c r="J4" i="19" s="1"/>
  <c r="I3" i="19"/>
  <c r="J3" i="19" s="1"/>
  <c r="I5" i="19"/>
  <c r="J5" i="19" s="1"/>
  <c r="I14" i="19"/>
  <c r="J14" i="19" s="1"/>
  <c r="I6" i="19"/>
  <c r="J6" i="19" s="1"/>
  <c r="I2" i="19"/>
  <c r="J2" i="19" s="1"/>
  <c r="H18" i="17" a="1"/>
  <c r="H18" i="17" s="1"/>
  <c r="G18" i="17"/>
  <c r="H17" i="17" a="1"/>
  <c r="H17" i="17" s="1"/>
  <c r="G17" i="17"/>
  <c r="H16" i="17" a="1"/>
  <c r="H16" i="17" s="1"/>
  <c r="G16" i="17"/>
  <c r="H15" i="17" a="1"/>
  <c r="H15" i="17" s="1"/>
  <c r="G15" i="17"/>
  <c r="H14" i="17" a="1"/>
  <c r="H14" i="17" s="1"/>
  <c r="G14" i="17"/>
  <c r="H13" i="17" a="1"/>
  <c r="H13" i="17" s="1"/>
  <c r="G13" i="17"/>
  <c r="H12" i="17" a="1"/>
  <c r="H12" i="17" s="1"/>
  <c r="G12" i="17"/>
  <c r="H11" i="17" a="1"/>
  <c r="H11" i="17" s="1"/>
  <c r="G11" i="17"/>
  <c r="H10" i="17" a="1"/>
  <c r="H10" i="17" s="1"/>
  <c r="G10" i="17"/>
  <c r="H9" i="17" a="1"/>
  <c r="H9" i="17" s="1"/>
  <c r="G9" i="17"/>
  <c r="H8" i="17" a="1"/>
  <c r="H8" i="17" s="1"/>
  <c r="G8" i="17"/>
  <c r="H7" i="17" a="1"/>
  <c r="H7" i="17" s="1"/>
  <c r="G7" i="17"/>
  <c r="H6" i="17" a="1"/>
  <c r="H6" i="17" s="1"/>
  <c r="G6" i="17"/>
  <c r="H5" i="17" a="1"/>
  <c r="H5" i="17" s="1"/>
  <c r="G5" i="17"/>
  <c r="H4" i="17" a="1"/>
  <c r="H4" i="17" s="1"/>
  <c r="G4" i="17"/>
  <c r="H3" i="17" a="1"/>
  <c r="H3" i="17" s="1"/>
  <c r="G3" i="17"/>
  <c r="H2" i="17" a="1"/>
  <c r="H2" i="17" s="1"/>
  <c r="G2" i="17"/>
  <c r="J5" i="16"/>
  <c r="K3" i="16" a="1"/>
  <c r="K3" i="16" s="1"/>
  <c r="J3" i="16"/>
  <c r="J5" i="14"/>
  <c r="H6" i="15" a="1"/>
  <c r="H6" i="15" s="1"/>
  <c r="H18" i="15" a="1"/>
  <c r="H18" i="15" s="1"/>
  <c r="G18" i="15"/>
  <c r="H17" i="15" a="1"/>
  <c r="H17" i="15" s="1"/>
  <c r="G17" i="15"/>
  <c r="H16" i="15" a="1"/>
  <c r="H16" i="15" s="1"/>
  <c r="G16" i="15"/>
  <c r="H15" i="15" a="1"/>
  <c r="H15" i="15" s="1"/>
  <c r="G15" i="15"/>
  <c r="H14" i="15" a="1"/>
  <c r="H14" i="15" s="1"/>
  <c r="G14" i="15"/>
  <c r="H13" i="15" a="1"/>
  <c r="H13" i="15" s="1"/>
  <c r="G13" i="15"/>
  <c r="H12" i="15" a="1"/>
  <c r="H12" i="15" s="1"/>
  <c r="G12" i="15"/>
  <c r="H11" i="15" a="1"/>
  <c r="H11" i="15" s="1"/>
  <c r="G11" i="15"/>
  <c r="H10" i="15" a="1"/>
  <c r="H10" i="15" s="1"/>
  <c r="G10" i="15"/>
  <c r="H9" i="15" a="1"/>
  <c r="H9" i="15" s="1"/>
  <c r="G9" i="15"/>
  <c r="H8" i="15" a="1"/>
  <c r="H8" i="15" s="1"/>
  <c r="G8" i="15"/>
  <c r="H7" i="15" a="1"/>
  <c r="H7" i="15" s="1"/>
  <c r="G7" i="15"/>
  <c r="G6" i="15"/>
  <c r="H5" i="15" a="1"/>
  <c r="H5" i="15" s="1"/>
  <c r="G5" i="15"/>
  <c r="H4" i="15" a="1"/>
  <c r="H4" i="15" s="1"/>
  <c r="G4" i="15"/>
  <c r="H3" i="15" a="1"/>
  <c r="H3" i="15" s="1"/>
  <c r="G3" i="15"/>
  <c r="H2" i="15" a="1"/>
  <c r="H2" i="15" s="1"/>
  <c r="G2" i="15"/>
  <c r="J3" i="14"/>
  <c r="I2" i="17" l="1"/>
  <c r="J2" i="17" s="1"/>
  <c r="I10" i="17"/>
  <c r="J10" i="17" s="1"/>
  <c r="I17" i="17"/>
  <c r="J17" i="17" s="1"/>
  <c r="I6" i="17"/>
  <c r="J6" i="17" s="1"/>
  <c r="I14" i="17"/>
  <c r="J14" i="17" s="1"/>
  <c r="I13" i="17"/>
  <c r="J13" i="17" s="1"/>
  <c r="I5" i="17"/>
  <c r="J5" i="17" s="1"/>
  <c r="I9" i="17"/>
  <c r="J9" i="17" s="1"/>
  <c r="I4" i="17"/>
  <c r="J4" i="17" s="1"/>
  <c r="I8" i="17"/>
  <c r="J8" i="17" s="1"/>
  <c r="I12" i="17"/>
  <c r="J12" i="17" s="1"/>
  <c r="I16" i="17"/>
  <c r="J16" i="17" s="1"/>
  <c r="I3" i="17"/>
  <c r="J3" i="17" s="1"/>
  <c r="I7" i="17"/>
  <c r="J7" i="17" s="1"/>
  <c r="I11" i="17"/>
  <c r="J11" i="17" s="1"/>
  <c r="I15" i="17"/>
  <c r="J15" i="17" s="1"/>
  <c r="I18" i="17"/>
  <c r="J18" i="17" s="1"/>
  <c r="K3" i="14" a="1"/>
  <c r="K3" i="14" s="1"/>
  <c r="I4" i="15"/>
  <c r="J4" i="15" s="1"/>
  <c r="I9" i="15"/>
  <c r="J9" i="15" s="1"/>
  <c r="I5" i="15"/>
  <c r="J5" i="15" s="1"/>
  <c r="I13" i="15"/>
  <c r="J13" i="15" s="1"/>
  <c r="I8" i="15"/>
  <c r="J8" i="15" s="1"/>
  <c r="I16" i="15"/>
  <c r="J16" i="15" s="1"/>
  <c r="I3" i="15"/>
  <c r="J3" i="15" s="1"/>
  <c r="I7" i="15"/>
  <c r="J7" i="15" s="1"/>
  <c r="I11" i="15"/>
  <c r="J11" i="15" s="1"/>
  <c r="I15" i="15"/>
  <c r="J15" i="15" s="1"/>
  <c r="I18" i="15"/>
  <c r="J18" i="15" s="1"/>
  <c r="I12" i="15"/>
  <c r="J12" i="15" s="1"/>
  <c r="I2" i="15"/>
  <c r="J2" i="15" s="1"/>
  <c r="I6" i="15"/>
  <c r="J6" i="15" s="1"/>
  <c r="I10" i="15"/>
  <c r="J10" i="15" s="1"/>
  <c r="I14" i="15"/>
  <c r="J14" i="15" s="1"/>
  <c r="I17" i="15"/>
  <c r="J17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<sst xmlns="http://schemas.openxmlformats.org/spreadsheetml/2006/main" count="2149" uniqueCount="106">
  <si>
    <t>Mouse ID</t>
  </si>
  <si>
    <t>Strain</t>
  </si>
  <si>
    <t>Sex</t>
  </si>
  <si>
    <t>Age (Days)</t>
  </si>
  <si>
    <t>Genotype</t>
  </si>
  <si>
    <t>Brain Weight (g)</t>
  </si>
  <si>
    <t>F</t>
  </si>
  <si>
    <t>Het</t>
  </si>
  <si>
    <t>M</t>
  </si>
  <si>
    <t>A120.1-2</t>
  </si>
  <si>
    <t>WT</t>
  </si>
  <si>
    <t>A120.1-4</t>
  </si>
  <si>
    <t>A120.3-11</t>
  </si>
  <si>
    <t>A120.3-2</t>
  </si>
  <si>
    <t>A120.3-4</t>
  </si>
  <si>
    <t>A120.3-5</t>
  </si>
  <si>
    <t>D105.2-3</t>
  </si>
  <si>
    <t>D100.5-2</t>
  </si>
  <si>
    <t>D105.4-5</t>
  </si>
  <si>
    <t>D100.5-1</t>
  </si>
  <si>
    <t>D105.4-4</t>
  </si>
  <si>
    <t>D105.6-1</t>
  </si>
  <si>
    <t>T111.4-4</t>
  </si>
  <si>
    <t>T111.4-5</t>
  </si>
  <si>
    <t>T111.4-6</t>
  </si>
  <si>
    <t>T111.6-4</t>
  </si>
  <si>
    <t>T111.6-5</t>
  </si>
  <si>
    <t>RNA Tube ID</t>
  </si>
  <si>
    <t>W1</t>
  </si>
  <si>
    <t>W2</t>
  </si>
  <si>
    <t>W3</t>
  </si>
  <si>
    <t>W4</t>
  </si>
  <si>
    <t>W5</t>
  </si>
  <si>
    <t>W6</t>
  </si>
  <si>
    <t>D1</t>
  </si>
  <si>
    <t>D2</t>
  </si>
  <si>
    <t>D3</t>
  </si>
  <si>
    <t>D4</t>
  </si>
  <si>
    <t>D5</t>
  </si>
  <si>
    <t>D6</t>
  </si>
  <si>
    <t>G1</t>
  </si>
  <si>
    <t>G2</t>
  </si>
  <si>
    <t>G3</t>
  </si>
  <si>
    <t>G5</t>
  </si>
  <si>
    <t>G6</t>
  </si>
  <si>
    <t>Delta Ct</t>
  </si>
  <si>
    <t>RNA ID</t>
  </si>
  <si>
    <t>DeltaCt</t>
  </si>
  <si>
    <t>DeltaDeltaCT</t>
  </si>
  <si>
    <t>DeltaDeltaCT By Sex</t>
  </si>
  <si>
    <t>Fold Change</t>
  </si>
  <si>
    <t>Fold Change By Sex</t>
  </si>
  <si>
    <t>Average Fold Change</t>
  </si>
  <si>
    <t>SEM</t>
  </si>
  <si>
    <t>G256W/+</t>
  </si>
  <si>
    <t>G256W</t>
  </si>
  <si>
    <t>Stdev Tech Reps</t>
  </si>
  <si>
    <t>Sample Name</t>
  </si>
  <si>
    <t/>
  </si>
  <si>
    <t>Sample size</t>
  </si>
  <si>
    <t>Sample mean</t>
  </si>
  <si>
    <t>Sample standard deviation</t>
  </si>
  <si>
    <t>Sample SEM</t>
  </si>
  <si>
    <t>Hypothesized mean</t>
  </si>
  <si>
    <r>
      <t xml:space="preserve">T statistic </t>
    </r>
    <r>
      <rPr>
        <i/>
        <sz val="11"/>
        <color theme="1"/>
        <rFont val="Calibri"/>
        <family val="2"/>
        <scheme val="minor"/>
      </rPr>
      <t>t</t>
    </r>
  </si>
  <si>
    <t>P-value</t>
  </si>
  <si>
    <t>Degrees of freedom</t>
  </si>
  <si>
    <t>Notes</t>
  </si>
  <si>
    <t>Outlier removed from analysis</t>
  </si>
  <si>
    <r>
      <t xml:space="preserve">G256W </t>
    </r>
    <r>
      <rPr>
        <b/>
        <i/>
        <sz val="11"/>
        <color theme="1"/>
        <rFont val="Calibri"/>
        <family val="2"/>
        <scheme val="minor"/>
      </rPr>
      <t>Kcnq2</t>
    </r>
    <r>
      <rPr>
        <b/>
        <sz val="11"/>
        <color theme="1"/>
        <rFont val="Calibri"/>
        <family val="2"/>
        <scheme val="minor"/>
      </rPr>
      <t xml:space="preserve"> fold change </t>
    </r>
  </si>
  <si>
    <t>Max</t>
  </si>
  <si>
    <t>Mean</t>
  </si>
  <si>
    <t>Standard Deviation</t>
  </si>
  <si>
    <t xml:space="preserve">G </t>
  </si>
  <si>
    <t>Alpha</t>
  </si>
  <si>
    <t>Sample Size</t>
  </si>
  <si>
    <t>Significance value</t>
  </si>
  <si>
    <t>Degrees of Freedom</t>
  </si>
  <si>
    <t>t-Critical Value</t>
  </si>
  <si>
    <t>G-Critical Value</t>
  </si>
  <si>
    <t>Test statistic G &gt; G-Critical, thus maximum value is signifcant outlier</t>
  </si>
  <si>
    <t>=MAX(A2:A6)</t>
  </si>
  <si>
    <t>=AVERAGE(A2:A6)</t>
  </si>
  <si>
    <t>=STDEV(A2:A6)</t>
  </si>
  <si>
    <t>=(D1-D2)/D3</t>
  </si>
  <si>
    <t>=D6/D7</t>
  </si>
  <si>
    <t>=D7-2</t>
  </si>
  <si>
    <t>=T.INV(1-D8,D9)</t>
  </si>
  <si>
    <t>=(D7-1)*(D10/SQRT(D7*(D9*(D9+D10^2))))</t>
  </si>
  <si>
    <r>
      <t xml:space="preserve">E254fs </t>
    </r>
    <r>
      <rPr>
        <b/>
        <i/>
        <sz val="11"/>
        <color theme="1"/>
        <rFont val="Calibri"/>
        <family val="2"/>
        <scheme val="minor"/>
      </rPr>
      <t>Kcnq2</t>
    </r>
    <r>
      <rPr>
        <b/>
        <sz val="11"/>
        <color theme="1"/>
        <rFont val="Calibri"/>
        <family val="2"/>
        <scheme val="minor"/>
      </rPr>
      <t xml:space="preserve"> fold change </t>
    </r>
  </si>
  <si>
    <t>E254fs</t>
  </si>
  <si>
    <t>Animal</t>
  </si>
  <si>
    <t>Technical replicate number</t>
  </si>
  <si>
    <t>Target</t>
  </si>
  <si>
    <t>Cycle threshold (CT)</t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</si>
  <si>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</si>
  <si>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r>
      <t xml:space="preserve">Average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</si>
  <si>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SD </t>
    </r>
    <r>
      <rPr>
        <i/>
        <sz val="11"/>
        <color theme="1"/>
        <rFont val="Calibri"/>
        <family val="2"/>
        <scheme val="minor"/>
      </rPr>
      <t>Kcnq2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</si>
  <si>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SD </t>
    </r>
    <r>
      <rPr>
        <i/>
        <sz val="11"/>
        <color theme="1"/>
        <rFont val="Calibri"/>
        <family val="2"/>
        <scheme val="minor"/>
      </rPr>
      <t xml:space="preserve">Gapdh </t>
    </r>
    <r>
      <rPr>
        <sz val="11"/>
        <color theme="1"/>
        <rFont val="Calibri"/>
        <family val="2"/>
        <scheme val="minor"/>
      </rPr>
      <t>CT</t>
    </r>
  </si>
  <si>
    <r>
      <t xml:space="preserve">SEM </t>
    </r>
    <r>
      <rPr>
        <i/>
        <sz val="11"/>
        <color theme="1"/>
        <rFont val="Calibri"/>
        <family val="2"/>
        <scheme val="minor"/>
      </rPr>
      <t xml:space="preserve">Kcnq2 </t>
    </r>
    <r>
      <rPr>
        <sz val="11"/>
        <color theme="1"/>
        <rFont val="Calibri"/>
        <family val="2"/>
        <scheme val="minor"/>
      </rPr>
      <t>CT</t>
    </r>
  </si>
  <si>
    <t>Gapdh</t>
  </si>
  <si>
    <t>Kcnq2</t>
  </si>
  <si>
    <t>E254fs/+</t>
  </si>
  <si>
    <r>
      <t xml:space="preserve">Average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</si>
  <si>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r>
      <t xml:space="preserve">SEM </t>
    </r>
    <r>
      <rPr>
        <i/>
        <sz val="11"/>
        <color theme="1"/>
        <rFont val="Calibri"/>
        <family val="2"/>
        <scheme val="minor"/>
      </rPr>
      <t>Gapdh</t>
    </r>
    <r>
      <rPr>
        <sz val="11"/>
        <color theme="1"/>
        <rFont val="Calibri"/>
        <family val="2"/>
        <scheme val="minor"/>
      </rPr>
      <t xml:space="preserve"> CT</t>
    </r>
  </si>
  <si>
    <t>G256W/+ No 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</si>
</sst>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/>
    <xf numFmtId="14" fontId="1" fillId="0" borderId="1" xfId="0" applyNumberFormat="1" applyFont="1" applyBorder="1"/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2" fillId="0" borderId="1" xfId="0" applyFont="1" applyBorder="1"/>
    <xf numFmtId="164" fontId="0" fillId="0" borderId="0" xfId="0" applyNumberFormat="1"/>
    <xf numFmtId="0" fontId="0" fillId="0" borderId="2" xfId="0" applyBorder="1"/>
    <xf numFmtId="165" fontId="0" fillId="0" borderId="1" xfId="0" applyNumberFormat="1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" fillId="2" borderId="1" xfId="0" applyFont="1" applyFill="1" applyBorder="1"/>
    <xf numFmtId="0" fontId="1" fillId="2" borderId="1" xfId="0" applyFont="1" applyFill="1" applyBorder="1"/>
    <xf numFmtId="164" fontId="0" fillId="2" borderId="1" xfId="0" applyNumberFormat="1" applyFill="1" applyBorder="1"/>
    <xf numFmtId="4" fontId="0" fillId="2" borderId="1" xfId="0" applyNumberFormat="1" applyFill="1" applyBorder="1"/>
    <xf numFmtId="0" fontId="1" fillId="0" borderId="0" xfId="0" applyFont="1" applyAlignment="1">
      <alignment wrapText="1"/>
    </xf>
    <xf numFmtId="0" fontId="0" fillId="0" borderId="0" xfId="0" quotePrefix="1"/>
    <xf numFmtId="0" fontId="0" fillId="0" borderId="1" xfId="0" quotePrefix="1" applyBorder="1"/>
    <xf numFmtId="0" fontId="0" fillId="0" borderId="1" xfId="0" applyFill="1" applyBorder="1"/>
    <xf numFmtId="0" fontId="4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8"/>
  <sheetViews>
    <sheetView tabSelected="1" workbookViewId="0">
      <selection activeCell="I7" sqref="I7"/>
    </sheetView>
  </sheetViews>
  <sheetFormatPr defaultRowHeight="15" x14ac:dyDescent="0.25"/>
  <cols>
    <col min="1" max="1" width="9.5703125" bestFit="1" customWidth="1"/>
    <col min="2" max="2" width="7.140625" bestFit="1" customWidth="1"/>
    <col min="3" max="3" width="4.140625" bestFit="1" customWidth="1"/>
    <col min="4" max="4" width="12" bestFit="1" customWidth="1"/>
    <col min="5" max="5" width="10.42578125" bestFit="1" customWidth="1"/>
    <col min="6" max="6" width="9.85546875" bestFit="1" customWidth="1"/>
    <col min="7" max="7" width="15.5703125" bestFit="1" customWidth="1"/>
  </cols>
  <sheetData>
    <row r="1" spans="1:7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5</v>
      </c>
    </row>
    <row r="2" spans="1:7" x14ac:dyDescent="0.25">
      <c r="A2" s="3" t="s">
        <v>9</v>
      </c>
      <c r="B2" s="4" t="s">
        <v>55</v>
      </c>
      <c r="C2" s="3" t="s">
        <v>6</v>
      </c>
      <c r="D2" s="1" t="s">
        <v>28</v>
      </c>
      <c r="E2" s="3">
        <v>21</v>
      </c>
      <c r="F2" s="3" t="s">
        <v>10</v>
      </c>
      <c r="G2" s="3">
        <v>0.44</v>
      </c>
    </row>
    <row r="3" spans="1:7" x14ac:dyDescent="0.25">
      <c r="A3" s="3" t="s">
        <v>11</v>
      </c>
      <c r="B3" s="4" t="s">
        <v>55</v>
      </c>
      <c r="C3" s="3" t="s">
        <v>6</v>
      </c>
      <c r="D3" s="1" t="s">
        <v>29</v>
      </c>
      <c r="E3" s="3">
        <v>21</v>
      </c>
      <c r="F3" s="3" t="s">
        <v>10</v>
      </c>
      <c r="G3" s="3">
        <v>0.42</v>
      </c>
    </row>
    <row r="4" spans="1:7" x14ac:dyDescent="0.25">
      <c r="A4" s="3" t="s">
        <v>12</v>
      </c>
      <c r="B4" s="4" t="s">
        <v>55</v>
      </c>
      <c r="C4" s="3" t="s">
        <v>6</v>
      </c>
      <c r="D4" s="1" t="s">
        <v>30</v>
      </c>
      <c r="E4" s="3">
        <v>21</v>
      </c>
      <c r="F4" s="3" t="s">
        <v>10</v>
      </c>
      <c r="G4" s="3">
        <v>0.43</v>
      </c>
    </row>
    <row r="5" spans="1:7" x14ac:dyDescent="0.25">
      <c r="A5" s="3" t="s">
        <v>13</v>
      </c>
      <c r="B5" s="4" t="s">
        <v>55</v>
      </c>
      <c r="C5" s="3" t="s">
        <v>8</v>
      </c>
      <c r="D5" s="1" t="s">
        <v>31</v>
      </c>
      <c r="E5" s="3">
        <v>21</v>
      </c>
      <c r="F5" s="3" t="s">
        <v>10</v>
      </c>
      <c r="G5" s="3">
        <v>0.41</v>
      </c>
    </row>
    <row r="6" spans="1:7" x14ac:dyDescent="0.25">
      <c r="A6" s="3" t="s">
        <v>14</v>
      </c>
      <c r="B6" s="4" t="s">
        <v>55</v>
      </c>
      <c r="C6" s="3" t="s">
        <v>8</v>
      </c>
      <c r="D6" s="1" t="s">
        <v>32</v>
      </c>
      <c r="E6" s="3">
        <v>21</v>
      </c>
      <c r="F6" s="3" t="s">
        <v>10</v>
      </c>
      <c r="G6" s="3">
        <v>0.42</v>
      </c>
    </row>
    <row r="7" spans="1:7" x14ac:dyDescent="0.25">
      <c r="A7" s="3" t="s">
        <v>15</v>
      </c>
      <c r="B7" s="4" t="s">
        <v>55</v>
      </c>
      <c r="C7" s="3" t="s">
        <v>8</v>
      </c>
      <c r="D7" s="1" t="s">
        <v>33</v>
      </c>
      <c r="E7" s="3">
        <v>21</v>
      </c>
      <c r="F7" s="3" t="s">
        <v>10</v>
      </c>
      <c r="G7" s="3">
        <v>0.42</v>
      </c>
    </row>
    <row r="8" spans="1:7" ht="15.75" x14ac:dyDescent="0.25">
      <c r="A8" s="3" t="s">
        <v>16</v>
      </c>
      <c r="B8" s="4" t="s">
        <v>90</v>
      </c>
      <c r="C8" s="5" t="s">
        <v>6</v>
      </c>
      <c r="D8" s="2" t="s">
        <v>34</v>
      </c>
      <c r="E8" s="3">
        <v>21</v>
      </c>
      <c r="F8" s="6" t="s">
        <v>7</v>
      </c>
      <c r="G8" s="6">
        <v>0.41</v>
      </c>
    </row>
    <row r="9" spans="1:7" ht="15.75" x14ac:dyDescent="0.25">
      <c r="A9" s="3" t="s">
        <v>17</v>
      </c>
      <c r="B9" s="4" t="s">
        <v>90</v>
      </c>
      <c r="C9" s="5" t="s">
        <v>6</v>
      </c>
      <c r="D9" s="2" t="s">
        <v>35</v>
      </c>
      <c r="E9" s="3">
        <v>21</v>
      </c>
      <c r="F9" s="6" t="s">
        <v>7</v>
      </c>
      <c r="G9" s="6">
        <v>0.42</v>
      </c>
    </row>
    <row r="10" spans="1:7" ht="15.75" x14ac:dyDescent="0.25">
      <c r="A10" s="3" t="s">
        <v>18</v>
      </c>
      <c r="B10" s="4" t="s">
        <v>90</v>
      </c>
      <c r="C10" s="5" t="s">
        <v>6</v>
      </c>
      <c r="D10" s="2" t="s">
        <v>36</v>
      </c>
      <c r="E10" s="3">
        <v>22</v>
      </c>
      <c r="F10" s="6" t="s">
        <v>7</v>
      </c>
      <c r="G10" s="3">
        <v>0.43</v>
      </c>
    </row>
    <row r="11" spans="1:7" ht="15.75" x14ac:dyDescent="0.25">
      <c r="A11" s="3" t="s">
        <v>19</v>
      </c>
      <c r="B11" s="4" t="s">
        <v>90</v>
      </c>
      <c r="C11" s="5" t="s">
        <v>8</v>
      </c>
      <c r="D11" s="2" t="s">
        <v>37</v>
      </c>
      <c r="E11" s="3">
        <v>21</v>
      </c>
      <c r="F11" s="6" t="s">
        <v>7</v>
      </c>
      <c r="G11" s="6">
        <v>0.44</v>
      </c>
    </row>
    <row r="12" spans="1:7" ht="15.75" x14ac:dyDescent="0.25">
      <c r="A12" s="3" t="s">
        <v>20</v>
      </c>
      <c r="B12" s="4" t="s">
        <v>90</v>
      </c>
      <c r="C12" s="5" t="s">
        <v>8</v>
      </c>
      <c r="D12" s="2" t="s">
        <v>38</v>
      </c>
      <c r="E12" s="3">
        <v>22</v>
      </c>
      <c r="F12" s="6" t="s">
        <v>7</v>
      </c>
      <c r="G12" s="3">
        <v>0.41</v>
      </c>
    </row>
    <row r="13" spans="1:7" ht="15.75" x14ac:dyDescent="0.25">
      <c r="A13" s="3" t="s">
        <v>21</v>
      </c>
      <c r="B13" s="4" t="s">
        <v>90</v>
      </c>
      <c r="C13" s="5" t="s">
        <v>8</v>
      </c>
      <c r="D13" s="2" t="s">
        <v>39</v>
      </c>
      <c r="E13" s="3">
        <v>20</v>
      </c>
      <c r="F13" s="6" t="s">
        <v>7</v>
      </c>
      <c r="G13" s="3">
        <v>0.36</v>
      </c>
    </row>
    <row r="14" spans="1:7" ht="15.75" x14ac:dyDescent="0.25">
      <c r="A14" s="3" t="s">
        <v>24</v>
      </c>
      <c r="B14" s="4" t="s">
        <v>55</v>
      </c>
      <c r="C14" s="3" t="s">
        <v>6</v>
      </c>
      <c r="D14" s="1" t="s">
        <v>40</v>
      </c>
      <c r="E14" s="3">
        <v>21</v>
      </c>
      <c r="F14" s="6" t="s">
        <v>7</v>
      </c>
      <c r="G14" s="3">
        <v>0.44</v>
      </c>
    </row>
    <row r="15" spans="1:7" ht="15.75" x14ac:dyDescent="0.25">
      <c r="A15" s="3" t="s">
        <v>25</v>
      </c>
      <c r="B15" s="4" t="s">
        <v>55</v>
      </c>
      <c r="C15" s="3" t="s">
        <v>6</v>
      </c>
      <c r="D15" s="1" t="s">
        <v>41</v>
      </c>
      <c r="E15" s="3">
        <v>21</v>
      </c>
      <c r="F15" s="6" t="s">
        <v>7</v>
      </c>
      <c r="G15" s="3">
        <v>0.42</v>
      </c>
    </row>
    <row r="16" spans="1:7" ht="15.75" x14ac:dyDescent="0.25">
      <c r="A16" s="3" t="s">
        <v>26</v>
      </c>
      <c r="B16" s="4" t="s">
        <v>55</v>
      </c>
      <c r="C16" s="3" t="s">
        <v>6</v>
      </c>
      <c r="D16" s="1" t="s">
        <v>42</v>
      </c>
      <c r="E16" s="3">
        <v>21</v>
      </c>
      <c r="F16" s="6" t="s">
        <v>7</v>
      </c>
      <c r="G16" s="3">
        <v>0.43</v>
      </c>
    </row>
    <row r="17" spans="1:7" ht="15.75" x14ac:dyDescent="0.25">
      <c r="A17" s="3" t="s">
        <v>22</v>
      </c>
      <c r="B17" s="4" t="s">
        <v>55</v>
      </c>
      <c r="C17" s="3" t="s">
        <v>8</v>
      </c>
      <c r="D17" s="1" t="s">
        <v>43</v>
      </c>
      <c r="E17" s="3">
        <v>21</v>
      </c>
      <c r="F17" s="6" t="s">
        <v>7</v>
      </c>
      <c r="G17" s="3">
        <v>0.44</v>
      </c>
    </row>
    <row r="18" spans="1:7" ht="15.75" x14ac:dyDescent="0.25">
      <c r="A18" s="3" t="s">
        <v>23</v>
      </c>
      <c r="B18" s="4" t="s">
        <v>55</v>
      </c>
      <c r="C18" s="3" t="s">
        <v>8</v>
      </c>
      <c r="D18" s="1" t="s">
        <v>44</v>
      </c>
      <c r="E18" s="3">
        <v>21</v>
      </c>
      <c r="F18" s="6" t="s">
        <v>7</v>
      </c>
      <c r="G18" s="3">
        <v>0.44</v>
      </c>
    </row>
  </sheetData>
  <phoneticPr fontId="3" type="noConversion"/>
  <pageMargins left="0.7" right="0.7" top="0.75" bottom="0.75" header="0.3" footer="0.3"/>
  <pageSetup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103"/>
  <sheetViews>
    <sheetView workbookViewId="0">
      <selection activeCell="O12" sqref="O12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14.85546875" bestFit="1" customWidth="1"/>
    <col min="14" max="14" width="17.7109375" bestFit="1" customWidth="1"/>
    <col min="15" max="15" width="14" bestFit="1" customWidth="1"/>
  </cols>
  <sheetData>
    <row r="1" spans="1:15" x14ac:dyDescent="0.25">
      <c r="A1" s="3" t="s">
        <v>91</v>
      </c>
      <c r="B1" s="3" t="s">
        <v>92</v>
      </c>
      <c r="C1" s="3" t="s">
        <v>93</v>
      </c>
      <c r="D1" s="3" t="s">
        <v>94</v>
      </c>
      <c r="F1" s="3" t="s">
        <v>91</v>
      </c>
      <c r="G1" s="3" t="s">
        <v>4</v>
      </c>
      <c r="H1" s="3" t="s">
        <v>95</v>
      </c>
      <c r="I1" s="3" t="s">
        <v>96</v>
      </c>
      <c r="J1" s="3" t="s">
        <v>97</v>
      </c>
      <c r="K1" s="3" t="s">
        <v>98</v>
      </c>
      <c r="M1" s="3" t="s">
        <v>4</v>
      </c>
      <c r="N1" s="3" t="s">
        <v>95</v>
      </c>
      <c r="O1" s="3" t="s">
        <v>99</v>
      </c>
    </row>
    <row r="2" spans="1:15" x14ac:dyDescent="0.25">
      <c r="A2" s="3" t="s">
        <v>28</v>
      </c>
      <c r="B2" s="8">
        <v>1</v>
      </c>
      <c r="C2" s="23" t="s">
        <v>100</v>
      </c>
      <c r="D2" s="10">
        <v>19.997732162475586</v>
      </c>
      <c r="F2" s="3" t="s">
        <v>28</v>
      </c>
      <c r="G2" s="3" t="s">
        <v>10</v>
      </c>
      <c r="H2" s="3">
        <f>AVERAGEIFS($D$2:$D$103,$A$2:$A$103,$F2,$C$2:$C$103,"Kcnq2")</f>
        <v>24.087561289469402</v>
      </c>
      <c r="I2" s="3">
        <f>AVERAGEIFS($D$2:$D$103,$A$2:$A$103,$F2,$C$2:$C$103,"Gapdh")</f>
        <v>20.034725824991863</v>
      </c>
      <c r="J2" s="3">
        <f t="array" ref="J2">STDEV(IF($A$2:$A$103=$F2,IF($C$2:$C$103="Kcnq2",$D$2:$D$103,"NA"),"NA"))</f>
        <v>6.9915377830708128E-2</v>
      </c>
      <c r="K2" s="3">
        <f t="array" ref="K2">STDEV(IF($A$2:$A$103=$F2,IF($C$2:$C$103="Gapdh",$D$2:$D$103,"NA"),"NA"))</f>
        <v>8.0369183974514535E-2</v>
      </c>
      <c r="M2" s="3" t="s">
        <v>10</v>
      </c>
      <c r="N2" s="3">
        <f>AVERAGEIF($G$2:$G$18,$M2,$H$2:$H$18)</f>
        <v>24.018648995293514</v>
      </c>
      <c r="O2" s="3">
        <f t="array" ref="O2">STDEV(IF($G$2:$G$18=$M2,$H$2:$H$18,"NA"))/SQRT(6)</f>
        <v>0.20692274244834824</v>
      </c>
    </row>
    <row r="3" spans="1:15" x14ac:dyDescent="0.25">
      <c r="A3" s="3" t="s">
        <v>28</v>
      </c>
      <c r="B3" s="8">
        <v>2</v>
      </c>
      <c r="C3" s="23" t="s">
        <v>101</v>
      </c>
      <c r="D3" s="10">
        <v>24.098300933837891</v>
      </c>
      <c r="F3" s="3" t="s">
        <v>29</v>
      </c>
      <c r="G3" s="3" t="s">
        <v>10</v>
      </c>
      <c r="H3" s="3">
        <f t="shared" ref="H3:H18" si="0">AVERAGEIFS($D$2:$D$103,$A$2:$A$103,$F3,$C$2:$C$103,"Kcnq2")</f>
        <v>23.293551762898762</v>
      </c>
      <c r="I3" s="3">
        <f t="shared" ref="I3:I18" si="1">AVERAGEIFS($D$2:$D$103,$A$2:$A$103,$F3,$C$2:$C$103,"Gapdh")</f>
        <v>19.037350336710613</v>
      </c>
      <c r="J3" s="3">
        <f t="array" ref="J3">STDEV(IF($A$2:$A$103=$F3,IF($C$2:$C$103="Kcnq2",$D$2:$D$103,"NA"),"NA"))</f>
        <v>7.1781617476845874E-2</v>
      </c>
      <c r="K3" s="3">
        <f t="array" ref="K3">STDEV(IF($A$2:$A$103=$F3,IF($C$2:$C$103="Gapdh",$D$2:$D$103,"NA"),"NA"))</f>
        <v>4.7681551172078604E-2</v>
      </c>
      <c r="M3" s="22" t="s">
        <v>102</v>
      </c>
      <c r="N3" s="3">
        <f>AVERAGEIF($G$2:$G$18,$M3,$H$2:$H$18)</f>
        <v>24.361529350280762</v>
      </c>
      <c r="O3" s="3">
        <f t="array" ref="O3">STDEV(IF($G$2:$G$18=$M3,$H$2:$H$18,"NA"))/SQRT(6)</f>
        <v>0.26051113734875525</v>
      </c>
    </row>
    <row r="4" spans="1:15" x14ac:dyDescent="0.25">
      <c r="A4" s="3" t="s">
        <v>28</v>
      </c>
      <c r="B4" s="8">
        <v>3</v>
      </c>
      <c r="C4" s="23" t="s">
        <v>100</v>
      </c>
      <c r="D4" s="10">
        <v>20.126930236816406</v>
      </c>
      <c r="F4" s="3" t="s">
        <v>30</v>
      </c>
      <c r="G4" s="3" t="s">
        <v>10</v>
      </c>
      <c r="H4" s="3">
        <f t="shared" si="0"/>
        <v>24.747908910115559</v>
      </c>
      <c r="I4" s="3">
        <f t="shared" si="1"/>
        <v>20.800914764404297</v>
      </c>
      <c r="J4" s="3">
        <f t="array" ref="J4">STDEV(IF($A$2:$A$103=$F4,IF($C$2:$C$103="Kcnq2",$D$2:$D$103,"NA"),"NA"))</f>
        <v>8.6365576054603127E-2</v>
      </c>
      <c r="K4" s="3">
        <f t="array" ref="K4">STDEV(IF($A$2:$A$103=$F4,IF($C$2:$C$103="Gapdh",$D$2:$D$103,"NA"),"NA"))</f>
        <v>9.5862733248511411E-2</v>
      </c>
      <c r="M4" s="22" t="s">
        <v>54</v>
      </c>
      <c r="N4" s="3">
        <f>AVERAGEIF($G$2:$G$18,$M4,$H$2:$H$18)</f>
        <v>23.97488390604655</v>
      </c>
      <c r="O4" s="3">
        <f t="array" ref="O4">STDEV(IF($G$2:$G$18=$M4,$H$2:$H$18,"NA"))/SQRT(6)</f>
        <v>0.28890580498697938</v>
      </c>
    </row>
    <row r="5" spans="1:15" x14ac:dyDescent="0.25">
      <c r="A5" s="3" t="s">
        <v>28</v>
      </c>
      <c r="B5" s="8">
        <v>1</v>
      </c>
      <c r="C5" s="23" t="s">
        <v>101</v>
      </c>
      <c r="D5" s="10">
        <v>24.151485443115234</v>
      </c>
      <c r="F5" s="3" t="s">
        <v>31</v>
      </c>
      <c r="G5" s="3" t="s">
        <v>10</v>
      </c>
      <c r="H5" s="3">
        <f t="shared" si="0"/>
        <v>24.343525568644207</v>
      </c>
      <c r="I5" s="3">
        <f t="shared" si="1"/>
        <v>20.002985000610352</v>
      </c>
      <c r="J5" s="3">
        <f t="array" ref="J5">STDEV(IF($A$2:$A$103=$F5,IF($C$2:$C$103="Kcnq2",$D$2:$D$103,"NA"),"NA"))</f>
        <v>0.16134752325563551</v>
      </c>
      <c r="K5" s="3">
        <f t="array" ref="K5">STDEV(IF($A$2:$A$103=$F5,IF($C$2:$C$103="Gapdh",$D$2:$D$103,"NA"),"NA"))</f>
        <v>0.12390433268862214</v>
      </c>
      <c r="M5" s="22" t="s">
        <v>105</v>
      </c>
      <c r="N5" s="3">
        <f>AVERAGE(H14,H15,H16,H18)</f>
        <v>24.264386336008709</v>
      </c>
      <c r="O5" s="3">
        <f>STDEV(H14,H15,H16,H18)/SQRT(4)</f>
        <v>0.16506675433601226</v>
      </c>
    </row>
    <row r="6" spans="1:15" x14ac:dyDescent="0.25">
      <c r="A6" s="3" t="s">
        <v>28</v>
      </c>
      <c r="B6" s="8">
        <v>2</v>
      </c>
      <c r="C6" s="23" t="s">
        <v>100</v>
      </c>
      <c r="D6" s="10">
        <v>19.979515075683594</v>
      </c>
      <c r="F6" s="3" t="s">
        <v>32</v>
      </c>
      <c r="G6" s="3" t="s">
        <v>10</v>
      </c>
      <c r="H6" s="3">
        <f t="shared" si="0"/>
        <v>23.682837168375652</v>
      </c>
      <c r="I6" s="3">
        <f t="shared" si="1"/>
        <v>19.422800699869793</v>
      </c>
      <c r="J6" s="3">
        <f t="array" ref="J6">STDEV(IF($A$2:$A$103=$F6,IF($C$2:$C$103="Kcnq2",$D$2:$D$103,"NA"),"NA"))</f>
        <v>2.2700174098587159E-2</v>
      </c>
      <c r="K6" s="3">
        <f t="array" ref="K6">STDEV(IF($A$2:$A$103=$F6,IF($C$2:$C$103="Gapdh",$D$2:$D$103,"NA"),"NA"))</f>
        <v>3.6074282988254387E-2</v>
      </c>
    </row>
    <row r="7" spans="1:15" x14ac:dyDescent="0.25">
      <c r="A7" s="3" t="s">
        <v>28</v>
      </c>
      <c r="B7" s="8">
        <v>3</v>
      </c>
      <c r="C7" s="23" t="s">
        <v>101</v>
      </c>
      <c r="D7" s="10">
        <v>24.012897491455078</v>
      </c>
      <c r="F7" s="3" t="s">
        <v>33</v>
      </c>
      <c r="G7" s="3" t="s">
        <v>10</v>
      </c>
      <c r="H7" s="3">
        <f t="shared" si="0"/>
        <v>23.956509272257488</v>
      </c>
      <c r="I7" s="3">
        <f t="shared" si="1"/>
        <v>19.760187149047852</v>
      </c>
      <c r="J7" s="3">
        <f t="array" ref="J7">STDEV(IF($A$2:$A$103=$F7,IF($C$2:$C$103="Kcnq2",$D$2:$D$103,"NA"),"NA"))</f>
        <v>6.3387559436707208E-2</v>
      </c>
      <c r="K7" s="3">
        <f t="array" ref="K7">STDEV(IF($A$2:$A$103=$F7,IF($C$2:$C$103="Gapdh",$D$2:$D$103,"NA"),"NA"))</f>
        <v>8.1355947993573111E-2</v>
      </c>
      <c r="M7" s="3" t="s">
        <v>4</v>
      </c>
      <c r="N7" s="3" t="s">
        <v>103</v>
      </c>
      <c r="O7" s="3" t="s">
        <v>104</v>
      </c>
    </row>
    <row r="8" spans="1:15" x14ac:dyDescent="0.25">
      <c r="A8" s="3" t="s">
        <v>29</v>
      </c>
      <c r="B8" s="8">
        <v>1</v>
      </c>
      <c r="C8" s="23" t="s">
        <v>100</v>
      </c>
      <c r="D8" s="10">
        <v>19.083456039428711</v>
      </c>
      <c r="F8" s="3" t="s">
        <v>34</v>
      </c>
      <c r="G8" s="22" t="s">
        <v>102</v>
      </c>
      <c r="H8" s="3">
        <f t="shared" si="0"/>
        <v>24.553629557291668</v>
      </c>
      <c r="I8" s="3">
        <f t="shared" si="1"/>
        <v>20.037875493367512</v>
      </c>
      <c r="J8" s="3">
        <f t="array" ref="J8">STDEV(IF($A$2:$A$103=$F8,IF($C$2:$C$103="Kcnq2",$D$2:$D$103,"NA"),"NA"))</f>
        <v>8.5607260012130842E-2</v>
      </c>
      <c r="K8" s="3">
        <f t="array" ref="K8">STDEV(IF($A$2:$A$103=$F8,IF($C$2:$C$103="Gapdh",$D$2:$D$103,"NA"),"NA"))</f>
        <v>7.2369219468322546E-2</v>
      </c>
      <c r="M8" s="3" t="s">
        <v>10</v>
      </c>
      <c r="N8" s="3">
        <f>AVERAGEIF($G$2:$G$18,$M8,$I$2:$I$18)</f>
        <v>19.843160629272464</v>
      </c>
      <c r="O8" s="3">
        <f t="array" ref="O8">STDEV(IF($G$2:$G$18=$M8,$I$2:$I$18,"NA"))/SQRT(6)</f>
        <v>0.24579472014354489</v>
      </c>
    </row>
    <row r="9" spans="1:15" x14ac:dyDescent="0.25">
      <c r="A9" s="3" t="s">
        <v>29</v>
      </c>
      <c r="B9" s="8">
        <v>2</v>
      </c>
      <c r="C9" s="23" t="s">
        <v>101</v>
      </c>
      <c r="D9" s="10">
        <v>23.355113983154297</v>
      </c>
      <c r="F9" s="3" t="s">
        <v>35</v>
      </c>
      <c r="G9" s="22" t="s">
        <v>102</v>
      </c>
      <c r="H9" s="3">
        <f t="shared" si="0"/>
        <v>24.960154215494793</v>
      </c>
      <c r="I9" s="3">
        <f t="shared" si="1"/>
        <v>20.307849248250324</v>
      </c>
      <c r="J9" s="3">
        <f t="array" ref="J9">STDEV(IF($A$2:$A$103=$F9,IF($C$2:$C$103="Kcnq2",$D$2:$D$103,"NA"),"NA"))</f>
        <v>2.8353411395645168E-2</v>
      </c>
      <c r="K9" s="3">
        <f t="array" ref="K9">STDEV(IF($A$2:$A$103=$F9,IF($C$2:$C$103="Gapdh",$D$2:$D$103,"NA"),"NA"))</f>
        <v>1.8612552233443481E-2</v>
      </c>
      <c r="M9" s="22" t="s">
        <v>102</v>
      </c>
      <c r="N9" s="3">
        <f>AVERAGEIF($G$2:$G$18,$M9,$I$2:$I$18)</f>
        <v>20.13232538435194</v>
      </c>
      <c r="O9" s="3">
        <f t="array" ref="O9">STDEV(IF($G$2:$G$18=$M9,$I$2:$I$18,"NA"))/SQRT(6)</f>
        <v>0.20253051802027117</v>
      </c>
    </row>
    <row r="10" spans="1:15" x14ac:dyDescent="0.25">
      <c r="A10" s="3" t="s">
        <v>29</v>
      </c>
      <c r="B10" s="8">
        <v>3</v>
      </c>
      <c r="C10" s="23" t="s">
        <v>100</v>
      </c>
      <c r="D10" s="10">
        <v>18.988235473632813</v>
      </c>
      <c r="F10" s="3" t="s">
        <v>36</v>
      </c>
      <c r="G10" s="22" t="s">
        <v>102</v>
      </c>
      <c r="H10" s="3">
        <f t="shared" si="0"/>
        <v>23.395179748535156</v>
      </c>
      <c r="I10" s="3">
        <f t="shared" si="1"/>
        <v>20.66564114888509</v>
      </c>
      <c r="J10" s="3">
        <f t="array" ref="J10">STDEV(IF($A$2:$A$103=$F10,IF($C$2:$C$103="Kcnq2",$D$2:$D$103,"NA"),"NA"))</f>
        <v>0.33747012425950818</v>
      </c>
      <c r="K10" s="3">
        <f t="array" ref="K10">STDEV(IF($A$2:$A$103=$F10,IF($C$2:$C$103="Gapdh",$D$2:$D$103,"NA"),"NA"))</f>
        <v>0.15710917296191537</v>
      </c>
      <c r="M10" s="22" t="s">
        <v>54</v>
      </c>
      <c r="N10" s="3">
        <f>AVERAGEIF($G$2:$G$18,$M10,$I$2:$I$18)</f>
        <v>20.150735600789385</v>
      </c>
      <c r="O10" s="3">
        <f t="array" ref="O10">STDEV(IF($G$2:$G$18=$M10,$I$2:$I$18,"NA"))/SQRT(6)</f>
        <v>0.14794014734705679</v>
      </c>
    </row>
    <row r="11" spans="1:15" x14ac:dyDescent="0.25">
      <c r="A11" s="3" t="s">
        <v>29</v>
      </c>
      <c r="B11" s="8">
        <v>1</v>
      </c>
      <c r="C11" s="23" t="s">
        <v>101</v>
      </c>
      <c r="D11" s="10">
        <v>23.214706420898438</v>
      </c>
      <c r="F11" s="3" t="s">
        <v>37</v>
      </c>
      <c r="G11" s="22" t="s">
        <v>102</v>
      </c>
      <c r="H11" s="3">
        <f t="shared" si="0"/>
        <v>24.707130432128906</v>
      </c>
      <c r="I11" s="3">
        <f t="shared" si="1"/>
        <v>20.252408345540363</v>
      </c>
      <c r="J11" s="3">
        <f t="array" ref="J11">STDEV(IF($A$2:$A$103=$F11,IF($C$2:$C$103="Kcnq2",$D$2:$D$103,"NA"),"NA"))</f>
        <v>0.11046033107055665</v>
      </c>
      <c r="K11" s="3">
        <f t="array" ref="K11">STDEV(IF($A$2:$A$103=$F11,IF($C$2:$C$103="Gapdh",$D$2:$D$103,"NA"),"NA"))</f>
        <v>0.137909442671247</v>
      </c>
      <c r="M11" s="22" t="s">
        <v>105</v>
      </c>
      <c r="N11" s="3">
        <f>AVERAGE(I14,I15,I16,I18)</f>
        <v>20.210831960042317</v>
      </c>
      <c r="O11" s="3">
        <f>STDEV(I14,I15,I16,I18)/SQRT(4)</f>
        <v>0.19430205111726359</v>
      </c>
    </row>
    <row r="12" spans="1:15" x14ac:dyDescent="0.25">
      <c r="A12" s="3" t="s">
        <v>29</v>
      </c>
      <c r="B12" s="8">
        <v>2</v>
      </c>
      <c r="C12" s="23" t="s">
        <v>100</v>
      </c>
      <c r="D12" s="10">
        <v>19.040359497070313</v>
      </c>
      <c r="F12" s="3" t="s">
        <v>38</v>
      </c>
      <c r="G12" s="22" t="s">
        <v>102</v>
      </c>
      <c r="H12" s="3">
        <f t="shared" si="0"/>
        <v>24.811802546183269</v>
      </c>
      <c r="I12" s="3">
        <f t="shared" si="1"/>
        <v>20.322878519694012</v>
      </c>
      <c r="J12" s="3">
        <f t="array" ref="J12">STDEV(IF($A$2:$A$103=$F12,IF($C$2:$C$103="Kcnq2",$D$2:$D$103,"NA"),"NA"))</f>
        <v>0.10456337327873731</v>
      </c>
      <c r="K12" s="3">
        <f t="array" ref="K12">STDEV(IF($A$2:$A$103=$F12,IF($C$2:$C$103="Gapdh",$D$2:$D$103,"NA"),"NA"))</f>
        <v>0.10693944298188153</v>
      </c>
    </row>
    <row r="13" spans="1:15" x14ac:dyDescent="0.25">
      <c r="A13" s="3" t="s">
        <v>29</v>
      </c>
      <c r="B13" s="8">
        <v>3</v>
      </c>
      <c r="C13" s="23" t="s">
        <v>101</v>
      </c>
      <c r="D13" s="10">
        <v>23.310834884643555</v>
      </c>
      <c r="F13" s="3" t="s">
        <v>39</v>
      </c>
      <c r="G13" s="22" t="s">
        <v>102</v>
      </c>
      <c r="H13" s="3">
        <f t="shared" si="0"/>
        <v>23.741279602050781</v>
      </c>
      <c r="I13" s="3">
        <f t="shared" si="1"/>
        <v>19.207299550374348</v>
      </c>
      <c r="J13" s="3">
        <f t="array" ref="J13">STDEV(IF($A$2:$A$103=$F13,IF($C$2:$C$103="Kcnq2",$D$2:$D$103,"NA"),"NA"))</f>
        <v>5.0872017427286018E-2</v>
      </c>
      <c r="K13" s="3">
        <f t="array" ref="K13">STDEV(IF($A$2:$A$103=$F13,IF($C$2:$C$103="Gapdh",$D$2:$D$103,"NA"),"NA"))</f>
        <v>8.1170645290368715E-2</v>
      </c>
    </row>
    <row r="14" spans="1:15" x14ac:dyDescent="0.25">
      <c r="A14" s="3" t="s">
        <v>30</v>
      </c>
      <c r="B14" s="8">
        <v>1</v>
      </c>
      <c r="C14" s="23" t="s">
        <v>100</v>
      </c>
      <c r="D14" s="10">
        <v>20.899480819702148</v>
      </c>
      <c r="F14" s="3" t="s">
        <v>40</v>
      </c>
      <c r="G14" s="22" t="s">
        <v>54</v>
      </c>
      <c r="H14" s="3">
        <f t="shared" si="0"/>
        <v>24.475954055786133</v>
      </c>
      <c r="I14" s="3">
        <f t="shared" si="1"/>
        <v>20.530497233072918</v>
      </c>
      <c r="J14" s="3">
        <f t="array" ref="J14">STDEV(IF($A$2:$A$103=$F14,IF($C$2:$C$103="Kcnq2",$D$2:$D$103,"NA"),"NA"))</f>
        <v>0.10108958744546925</v>
      </c>
      <c r="K14" s="3">
        <f t="array" ref="K14">STDEV(IF($A$2:$A$103=$F14,IF($C$2:$C$103="Gapdh",$D$2:$D$103,"NA"),"NA"))</f>
        <v>0.10662979909074813</v>
      </c>
    </row>
    <row r="15" spans="1:15" x14ac:dyDescent="0.25">
      <c r="A15" s="3" t="s">
        <v>30</v>
      </c>
      <c r="B15" s="8">
        <v>2</v>
      </c>
      <c r="C15" s="23" t="s">
        <v>101</v>
      </c>
      <c r="D15" s="10">
        <v>24.835441589355469</v>
      </c>
      <c r="F15" s="3" t="s">
        <v>41</v>
      </c>
      <c r="G15" s="22" t="s">
        <v>54</v>
      </c>
      <c r="H15" s="3">
        <f t="shared" si="0"/>
        <v>24.532450358072918</v>
      </c>
      <c r="I15" s="3">
        <f t="shared" si="1"/>
        <v>20.314451853434246</v>
      </c>
      <c r="J15" s="3">
        <f t="array" ref="J15">STDEV(IF($A$2:$A$103=$F15,IF($C$2:$C$103="Kcnq2",$D$2:$D$103,"NA"),"NA"))</f>
        <v>7.0876873638508434E-2</v>
      </c>
      <c r="K15" s="3">
        <f t="array" ref="K15">STDEV(IF($A$2:$A$103=$F15,IF($C$2:$C$103="Gapdh",$D$2:$D$103,"NA"),"NA"))</f>
        <v>7.9609620443693671E-2</v>
      </c>
    </row>
    <row r="16" spans="1:15" x14ac:dyDescent="0.25">
      <c r="A16" s="3" t="s">
        <v>30</v>
      </c>
      <c r="B16" s="8">
        <v>3</v>
      </c>
      <c r="C16" s="23" t="s">
        <v>100</v>
      </c>
      <c r="D16" s="10">
        <v>20.795257568359375</v>
      </c>
      <c r="F16" s="3" t="s">
        <v>42</v>
      </c>
      <c r="G16" s="22" t="s">
        <v>54</v>
      </c>
      <c r="H16" s="3">
        <f t="shared" si="0"/>
        <v>23.806256612141926</v>
      </c>
      <c r="I16" s="3">
        <f t="shared" si="1"/>
        <v>19.645260492960613</v>
      </c>
      <c r="J16" s="3">
        <f t="array" ref="J16">STDEV(IF($A$2:$A$103=$F16,IF($C$2:$C$103="Kcnq2",$D$2:$D$103,"NA"),"NA"))</f>
        <v>9.0720831727488682E-2</v>
      </c>
      <c r="K16" s="3">
        <f t="array" ref="K16">STDEV(IF($A$2:$A$103=$F16,IF($C$2:$C$103="Gapdh",$D$2:$D$103,"NA"),"NA"))</f>
        <v>8.3149654987643998E-2</v>
      </c>
    </row>
    <row r="17" spans="1:11" x14ac:dyDescent="0.25">
      <c r="A17" s="3" t="s">
        <v>30</v>
      </c>
      <c r="B17" s="8">
        <v>1</v>
      </c>
      <c r="C17" s="23" t="s">
        <v>101</v>
      </c>
      <c r="D17" s="10">
        <v>24.745525360107422</v>
      </c>
      <c r="F17" s="13" t="s">
        <v>43</v>
      </c>
      <c r="G17" s="13" t="s">
        <v>54</v>
      </c>
      <c r="H17" s="13">
        <f t="shared" si="0"/>
        <v>22.816874186197918</v>
      </c>
      <c r="I17" s="13">
        <f t="shared" si="1"/>
        <v>19.910350163777668</v>
      </c>
      <c r="J17" s="13">
        <f t="array" ref="J17">STDEV(IF($A$2:$A$103=$F17,IF($C$2:$C$103="Kcnq2",$D$2:$D$103,"NA"),"NA"))</f>
        <v>0.12980564684463244</v>
      </c>
      <c r="K17" s="13">
        <f t="array" ref="K17">STDEV(IF($A$2:$A$103=$F17,IF($C$2:$C$103="Gapdh",$D$2:$D$103,"NA"),"NA"))</f>
        <v>8.6375965493582479E-2</v>
      </c>
    </row>
    <row r="18" spans="1:11" x14ac:dyDescent="0.25">
      <c r="A18" s="3" t="s">
        <v>30</v>
      </c>
      <c r="B18" s="8">
        <v>2</v>
      </c>
      <c r="C18" s="23" t="s">
        <v>100</v>
      </c>
      <c r="D18" s="10">
        <v>20.708005905151367</v>
      </c>
      <c r="F18" s="3" t="s">
        <v>44</v>
      </c>
      <c r="G18" s="22" t="s">
        <v>54</v>
      </c>
      <c r="H18" s="3">
        <f t="shared" si="0"/>
        <v>24.242884318033855</v>
      </c>
      <c r="I18" s="3">
        <f t="shared" si="1"/>
        <v>20.353118260701496</v>
      </c>
      <c r="J18" s="3">
        <f t="array" ref="J18">STDEV(IF($A$2:$A$103=$F18,IF($C$2:$C$103="Kcnq2",$D$2:$D$103,"NA"),"NA"))</f>
        <v>4.2549433934275592E-2</v>
      </c>
      <c r="K18" s="3">
        <f t="array" ref="K18">STDEV(IF($A$2:$A$103=$F18,IF($C$2:$C$103="Gapdh",$D$2:$D$103,"NA"),"NA"))</f>
        <v>2.6130331088197081E-2</v>
      </c>
    </row>
    <row r="19" spans="1:11" x14ac:dyDescent="0.25">
      <c r="A19" s="3" t="s">
        <v>30</v>
      </c>
      <c r="B19" s="8">
        <v>3</v>
      </c>
      <c r="C19" s="23" t="s">
        <v>101</v>
      </c>
      <c r="D19" s="10">
        <v>24.662759780883789</v>
      </c>
    </row>
    <row r="20" spans="1:11" x14ac:dyDescent="0.25">
      <c r="A20" s="3" t="s">
        <v>31</v>
      </c>
      <c r="B20" s="8">
        <v>1</v>
      </c>
      <c r="C20" s="23" t="s">
        <v>100</v>
      </c>
      <c r="D20" s="10">
        <v>20.134738922119141</v>
      </c>
    </row>
    <row r="21" spans="1:11" x14ac:dyDescent="0.25">
      <c r="A21" s="3" t="s">
        <v>31</v>
      </c>
      <c r="B21" s="8">
        <v>2</v>
      </c>
      <c r="C21" s="23" t="s">
        <v>101</v>
      </c>
      <c r="D21" s="10">
        <v>24.529272079467773</v>
      </c>
    </row>
    <row r="22" spans="1:11" x14ac:dyDescent="0.25">
      <c r="A22" s="3" t="s">
        <v>31</v>
      </c>
      <c r="B22" s="8">
        <v>3</v>
      </c>
      <c r="C22" s="23" t="s">
        <v>100</v>
      </c>
      <c r="D22" s="10">
        <v>19.985408782958984</v>
      </c>
    </row>
    <row r="23" spans="1:11" x14ac:dyDescent="0.25">
      <c r="A23" s="3" t="s">
        <v>31</v>
      </c>
      <c r="B23" s="8">
        <v>1</v>
      </c>
      <c r="C23" s="23" t="s">
        <v>101</v>
      </c>
      <c r="D23" s="10">
        <v>24.26317024230957</v>
      </c>
    </row>
    <row r="24" spans="1:11" x14ac:dyDescent="0.25">
      <c r="A24" s="3" t="s">
        <v>31</v>
      </c>
      <c r="B24" s="8">
        <v>2</v>
      </c>
      <c r="C24" s="23" t="s">
        <v>100</v>
      </c>
      <c r="D24" s="10">
        <v>19.88880729675293</v>
      </c>
    </row>
    <row r="25" spans="1:11" x14ac:dyDescent="0.25">
      <c r="A25" s="3" t="s">
        <v>31</v>
      </c>
      <c r="B25" s="8">
        <v>3</v>
      </c>
      <c r="C25" s="23" t="s">
        <v>101</v>
      </c>
      <c r="D25" s="10">
        <v>24.238134384155273</v>
      </c>
    </row>
    <row r="26" spans="1:11" x14ac:dyDescent="0.25">
      <c r="A26" s="3" t="s">
        <v>32</v>
      </c>
      <c r="B26" s="8">
        <v>1</v>
      </c>
      <c r="C26" s="23" t="s">
        <v>100</v>
      </c>
      <c r="D26" s="10">
        <v>19.425634384155273</v>
      </c>
    </row>
    <row r="27" spans="1:11" x14ac:dyDescent="0.25">
      <c r="A27" s="3" t="s">
        <v>32</v>
      </c>
      <c r="B27" s="8">
        <v>2</v>
      </c>
      <c r="C27" s="23" t="s">
        <v>101</v>
      </c>
      <c r="D27" s="10">
        <v>23.683059692382813</v>
      </c>
      <c r="J27" s="7"/>
    </row>
    <row r="28" spans="1:11" x14ac:dyDescent="0.25">
      <c r="A28" s="3" t="s">
        <v>32</v>
      </c>
      <c r="B28" s="8">
        <v>3</v>
      </c>
      <c r="C28" s="23" t="s">
        <v>100</v>
      </c>
      <c r="D28" s="10">
        <v>19.457374572753906</v>
      </c>
      <c r="J28" s="7"/>
    </row>
    <row r="29" spans="1:11" x14ac:dyDescent="0.25">
      <c r="A29" s="3" t="s">
        <v>32</v>
      </c>
      <c r="B29" s="8">
        <v>1</v>
      </c>
      <c r="C29" s="23" t="s">
        <v>101</v>
      </c>
      <c r="D29" s="10">
        <v>23.705425262451172</v>
      </c>
      <c r="J29" s="7"/>
    </row>
    <row r="30" spans="1:11" x14ac:dyDescent="0.25">
      <c r="A30" s="3" t="s">
        <v>32</v>
      </c>
      <c r="B30" s="8">
        <v>2</v>
      </c>
      <c r="C30" s="23" t="s">
        <v>100</v>
      </c>
      <c r="D30" s="10">
        <v>19.385393142700195</v>
      </c>
      <c r="J30" s="7"/>
    </row>
    <row r="31" spans="1:11" x14ac:dyDescent="0.25">
      <c r="A31" s="3" t="s">
        <v>32</v>
      </c>
      <c r="B31" s="8">
        <v>3</v>
      </c>
      <c r="C31" s="23" t="s">
        <v>101</v>
      </c>
      <c r="D31" s="10">
        <v>23.660026550292969</v>
      </c>
      <c r="J31" s="7"/>
    </row>
    <row r="32" spans="1:11" x14ac:dyDescent="0.25">
      <c r="A32" s="3" t="s">
        <v>33</v>
      </c>
      <c r="B32" s="8">
        <v>1</v>
      </c>
      <c r="C32" s="23" t="s">
        <v>100</v>
      </c>
      <c r="D32" s="10">
        <v>19.833633422851563</v>
      </c>
      <c r="J32" s="7"/>
    </row>
    <row r="33" spans="1:10" x14ac:dyDescent="0.25">
      <c r="A33" s="3" t="s">
        <v>33</v>
      </c>
      <c r="B33" s="8">
        <v>2</v>
      </c>
      <c r="C33" s="23" t="s">
        <v>101</v>
      </c>
      <c r="D33" s="10">
        <v>24.017227172851563</v>
      </c>
      <c r="J33" s="7"/>
    </row>
    <row r="34" spans="1:10" x14ac:dyDescent="0.25">
      <c r="A34" s="3" t="s">
        <v>33</v>
      </c>
      <c r="B34" s="8">
        <v>3</v>
      </c>
      <c r="C34" s="23" t="s">
        <v>100</v>
      </c>
      <c r="D34" s="10">
        <v>19.774188995361328</v>
      </c>
      <c r="J34" s="7"/>
    </row>
    <row r="35" spans="1:10" x14ac:dyDescent="0.25">
      <c r="A35" s="3" t="s">
        <v>33</v>
      </c>
      <c r="B35" s="8">
        <v>1</v>
      </c>
      <c r="C35" s="23" t="s">
        <v>101</v>
      </c>
      <c r="D35" s="10">
        <v>23.9615478515625</v>
      </c>
      <c r="J35" s="7"/>
    </row>
    <row r="36" spans="1:10" x14ac:dyDescent="0.25">
      <c r="A36" s="3" t="s">
        <v>33</v>
      </c>
      <c r="B36" s="8">
        <v>2</v>
      </c>
      <c r="C36" s="23" t="s">
        <v>100</v>
      </c>
      <c r="D36" s="10">
        <v>19.672739028930664</v>
      </c>
      <c r="J36" s="7"/>
    </row>
    <row r="37" spans="1:10" x14ac:dyDescent="0.25">
      <c r="A37" s="3" t="s">
        <v>33</v>
      </c>
      <c r="B37" s="8">
        <v>3</v>
      </c>
      <c r="C37" s="23" t="s">
        <v>101</v>
      </c>
      <c r="D37" s="10">
        <v>23.890752792358398</v>
      </c>
      <c r="J37" s="7"/>
    </row>
    <row r="38" spans="1:10" x14ac:dyDescent="0.25">
      <c r="A38" s="3" t="s">
        <v>34</v>
      </c>
      <c r="B38" s="8">
        <v>1</v>
      </c>
      <c r="C38" s="23" t="s">
        <v>100</v>
      </c>
      <c r="D38" s="10">
        <v>20.107450485229492</v>
      </c>
      <c r="J38" s="7"/>
    </row>
    <row r="39" spans="1:10" x14ac:dyDescent="0.25">
      <c r="A39" s="3" t="s">
        <v>34</v>
      </c>
      <c r="B39" s="8">
        <v>2</v>
      </c>
      <c r="C39" s="23" t="s">
        <v>101</v>
      </c>
      <c r="D39" s="10">
        <v>24.63892936706543</v>
      </c>
      <c r="J39" s="7"/>
    </row>
    <row r="40" spans="1:10" x14ac:dyDescent="0.25">
      <c r="A40" s="3" t="s">
        <v>34</v>
      </c>
      <c r="B40" s="8">
        <v>3</v>
      </c>
      <c r="C40" s="23" t="s">
        <v>100</v>
      </c>
      <c r="D40" s="10">
        <v>19.963003158569336</v>
      </c>
      <c r="J40" s="7"/>
    </row>
    <row r="41" spans="1:10" x14ac:dyDescent="0.25">
      <c r="A41" s="3" t="s">
        <v>34</v>
      </c>
      <c r="B41" s="8">
        <v>1</v>
      </c>
      <c r="C41" s="23" t="s">
        <v>101</v>
      </c>
      <c r="D41" s="10">
        <v>24.467718124389648</v>
      </c>
      <c r="J41" s="7"/>
    </row>
    <row r="42" spans="1:10" x14ac:dyDescent="0.25">
      <c r="A42" s="3" t="s">
        <v>34</v>
      </c>
      <c r="B42" s="8">
        <v>2</v>
      </c>
      <c r="C42" s="23" t="s">
        <v>100</v>
      </c>
      <c r="D42" s="10">
        <v>20.043172836303711</v>
      </c>
      <c r="J42" s="7"/>
    </row>
    <row r="43" spans="1:10" x14ac:dyDescent="0.25">
      <c r="A43" s="3" t="s">
        <v>34</v>
      </c>
      <c r="B43" s="8">
        <v>3</v>
      </c>
      <c r="C43" s="23" t="s">
        <v>101</v>
      </c>
      <c r="D43" s="10">
        <v>24.554241180419922</v>
      </c>
      <c r="J43" s="7"/>
    </row>
    <row r="44" spans="1:10" x14ac:dyDescent="0.25">
      <c r="A44" s="3" t="s">
        <v>35</v>
      </c>
      <c r="B44" s="8">
        <v>1</v>
      </c>
      <c r="C44" s="23" t="s">
        <v>100</v>
      </c>
      <c r="D44" s="10">
        <v>20.329212188720703</v>
      </c>
      <c r="J44" s="7"/>
    </row>
    <row r="45" spans="1:10" x14ac:dyDescent="0.25">
      <c r="A45" s="3" t="s">
        <v>35</v>
      </c>
      <c r="B45" s="8">
        <v>2</v>
      </c>
      <c r="C45" s="23" t="s">
        <v>101</v>
      </c>
      <c r="D45" s="10">
        <v>24.99235725402832</v>
      </c>
      <c r="J45" s="7"/>
    </row>
    <row r="46" spans="1:10" x14ac:dyDescent="0.25">
      <c r="A46" s="3" t="s">
        <v>35</v>
      </c>
      <c r="B46" s="8">
        <v>3</v>
      </c>
      <c r="C46" s="23" t="s">
        <v>100</v>
      </c>
      <c r="D46" s="10">
        <v>20.295131683349609</v>
      </c>
      <c r="J46" s="7"/>
    </row>
    <row r="47" spans="1:10" x14ac:dyDescent="0.25">
      <c r="A47" s="3" t="s">
        <v>35</v>
      </c>
      <c r="B47" s="8">
        <v>1</v>
      </c>
      <c r="C47" s="23" t="s">
        <v>101</v>
      </c>
      <c r="D47" s="10">
        <v>24.938940048217773</v>
      </c>
      <c r="J47" s="7"/>
    </row>
    <row r="48" spans="1:10" x14ac:dyDescent="0.25">
      <c r="A48" s="3" t="s">
        <v>35</v>
      </c>
      <c r="B48" s="8">
        <v>2</v>
      </c>
      <c r="C48" s="23" t="s">
        <v>100</v>
      </c>
      <c r="D48" s="10">
        <v>20.299203872680664</v>
      </c>
      <c r="J48" s="7"/>
    </row>
    <row r="49" spans="1:10" x14ac:dyDescent="0.25">
      <c r="A49" s="3" t="s">
        <v>35</v>
      </c>
      <c r="B49" s="8">
        <v>3</v>
      </c>
      <c r="C49" s="23" t="s">
        <v>101</v>
      </c>
      <c r="D49" s="10">
        <v>24.949165344238281</v>
      </c>
      <c r="J49" s="7"/>
    </row>
    <row r="50" spans="1:10" x14ac:dyDescent="0.25">
      <c r="A50" s="3" t="s">
        <v>36</v>
      </c>
      <c r="B50" s="8">
        <v>1</v>
      </c>
      <c r="C50" s="23" t="s">
        <v>100</v>
      </c>
      <c r="D50" s="10">
        <v>20.817302703857422</v>
      </c>
      <c r="J50" s="7"/>
    </row>
    <row r="51" spans="1:10" x14ac:dyDescent="0.25">
      <c r="A51" s="3" t="s">
        <v>36</v>
      </c>
      <c r="B51" s="8">
        <v>2</v>
      </c>
      <c r="C51" s="23" t="s">
        <v>101</v>
      </c>
      <c r="D51" s="10">
        <v>23.704092025756836</v>
      </c>
      <c r="J51" s="7"/>
    </row>
    <row r="52" spans="1:10" x14ac:dyDescent="0.25">
      <c r="A52" s="3" t="s">
        <v>36</v>
      </c>
      <c r="B52" s="8">
        <v>3</v>
      </c>
      <c r="C52" s="23" t="s">
        <v>100</v>
      </c>
      <c r="D52" s="10">
        <v>20.676021575927734</v>
      </c>
      <c r="J52" s="7"/>
    </row>
    <row r="53" spans="1:10" x14ac:dyDescent="0.25">
      <c r="A53" s="3" t="s">
        <v>36</v>
      </c>
      <c r="B53" s="8">
        <v>1</v>
      </c>
      <c r="C53" s="23" t="s">
        <v>101</v>
      </c>
      <c r="D53" s="10">
        <v>23.446432113647461</v>
      </c>
      <c r="J53" s="7"/>
    </row>
    <row r="54" spans="1:10" x14ac:dyDescent="0.25">
      <c r="A54" s="3" t="s">
        <v>36</v>
      </c>
      <c r="B54" s="8">
        <v>2</v>
      </c>
      <c r="C54" s="23" t="s">
        <v>100</v>
      </c>
      <c r="D54" s="10">
        <v>20.503599166870117</v>
      </c>
      <c r="J54" s="7"/>
    </row>
    <row r="55" spans="1:10" x14ac:dyDescent="0.25">
      <c r="A55" s="3" t="s">
        <v>36</v>
      </c>
      <c r="B55" s="8">
        <v>3</v>
      </c>
      <c r="C55" s="23" t="s">
        <v>101</v>
      </c>
      <c r="D55" s="10">
        <v>23.035015106201172</v>
      </c>
      <c r="J55" s="7"/>
    </row>
    <row r="56" spans="1:10" x14ac:dyDescent="0.25">
      <c r="A56" s="3" t="s">
        <v>37</v>
      </c>
      <c r="B56" s="8">
        <v>1</v>
      </c>
      <c r="C56" s="23" t="s">
        <v>100</v>
      </c>
      <c r="D56" s="10">
        <v>20.37181282043457</v>
      </c>
      <c r="J56" s="7"/>
    </row>
    <row r="57" spans="1:10" x14ac:dyDescent="0.25">
      <c r="A57" s="3" t="s">
        <v>37</v>
      </c>
      <c r="B57" s="8">
        <v>2</v>
      </c>
      <c r="C57" s="23" t="s">
        <v>101</v>
      </c>
      <c r="D57" s="10">
        <v>24.767339706420898</v>
      </c>
      <c r="J57" s="7"/>
    </row>
    <row r="58" spans="1:10" x14ac:dyDescent="0.25">
      <c r="A58" s="3" t="s">
        <v>37</v>
      </c>
      <c r="B58" s="8">
        <v>3</v>
      </c>
      <c r="C58" s="23" t="s">
        <v>100</v>
      </c>
      <c r="D58" s="10">
        <v>20.101459503173828</v>
      </c>
      <c r="J58" s="7"/>
    </row>
    <row r="59" spans="1:10" x14ac:dyDescent="0.25">
      <c r="A59" s="3" t="s">
        <v>37</v>
      </c>
      <c r="B59" s="8">
        <v>1</v>
      </c>
      <c r="C59" s="23" t="s">
        <v>101</v>
      </c>
      <c r="D59" s="10">
        <v>24.579647064208984</v>
      </c>
      <c r="J59" s="7"/>
    </row>
    <row r="60" spans="1:10" x14ac:dyDescent="0.25">
      <c r="A60" s="3" t="s">
        <v>37</v>
      </c>
      <c r="B60" s="8">
        <v>2</v>
      </c>
      <c r="C60" s="23" t="s">
        <v>100</v>
      </c>
      <c r="D60" s="10">
        <v>20.283952713012695</v>
      </c>
      <c r="J60" s="7"/>
    </row>
    <row r="61" spans="1:10" x14ac:dyDescent="0.25">
      <c r="A61" s="3" t="s">
        <v>37</v>
      </c>
      <c r="B61" s="8">
        <v>3</v>
      </c>
      <c r="C61" s="23" t="s">
        <v>101</v>
      </c>
      <c r="D61" s="10">
        <v>24.774404525756836</v>
      </c>
      <c r="J61" s="7"/>
    </row>
    <row r="62" spans="1:10" x14ac:dyDescent="0.25">
      <c r="A62" s="3" t="s">
        <v>38</v>
      </c>
      <c r="B62" s="8">
        <v>1</v>
      </c>
      <c r="C62" s="23" t="s">
        <v>100</v>
      </c>
      <c r="D62" s="10">
        <v>20.371809005737305</v>
      </c>
      <c r="J62" s="7"/>
    </row>
    <row r="63" spans="1:10" x14ac:dyDescent="0.25">
      <c r="A63" s="3" t="s">
        <v>38</v>
      </c>
      <c r="B63" s="8">
        <v>2</v>
      </c>
      <c r="C63" s="23" t="s">
        <v>101</v>
      </c>
      <c r="D63" s="10">
        <v>24.85099983215332</v>
      </c>
      <c r="J63" s="7"/>
    </row>
    <row r="64" spans="1:10" x14ac:dyDescent="0.25">
      <c r="A64" s="3" t="s">
        <v>38</v>
      </c>
      <c r="B64" s="8">
        <v>3</v>
      </c>
      <c r="C64" s="23" t="s">
        <v>100</v>
      </c>
      <c r="D64" s="10">
        <v>20.396598815917969</v>
      </c>
      <c r="J64" s="7"/>
    </row>
    <row r="65" spans="1:10" x14ac:dyDescent="0.25">
      <c r="A65" s="3" t="s">
        <v>38</v>
      </c>
      <c r="B65" s="8">
        <v>1</v>
      </c>
      <c r="C65" s="23" t="s">
        <v>101</v>
      </c>
      <c r="D65" s="10">
        <v>24.891103744506836</v>
      </c>
      <c r="J65" s="7"/>
    </row>
    <row r="66" spans="1:10" x14ac:dyDescent="0.25">
      <c r="A66" s="3" t="s">
        <v>38</v>
      </c>
      <c r="B66" s="8">
        <v>2</v>
      </c>
      <c r="C66" s="23" t="s">
        <v>100</v>
      </c>
      <c r="D66" s="10">
        <v>20.200227737426758</v>
      </c>
      <c r="J66" s="7"/>
    </row>
    <row r="67" spans="1:10" x14ac:dyDescent="0.25">
      <c r="A67" s="3" t="s">
        <v>38</v>
      </c>
      <c r="B67" s="8">
        <v>3</v>
      </c>
      <c r="C67" s="23" t="s">
        <v>101</v>
      </c>
      <c r="D67" s="10">
        <v>24.693304061889648</v>
      </c>
      <c r="J67" s="7"/>
    </row>
    <row r="68" spans="1:10" x14ac:dyDescent="0.25">
      <c r="A68" s="3" t="s">
        <v>39</v>
      </c>
      <c r="B68" s="8">
        <v>1</v>
      </c>
      <c r="C68" s="23" t="s">
        <v>100</v>
      </c>
      <c r="D68" s="10">
        <v>19.167787551879883</v>
      </c>
      <c r="J68" s="7"/>
    </row>
    <row r="69" spans="1:10" x14ac:dyDescent="0.25">
      <c r="A69" s="3" t="s">
        <v>39</v>
      </c>
      <c r="B69" s="8">
        <v>2</v>
      </c>
      <c r="C69" s="23" t="s">
        <v>101</v>
      </c>
      <c r="D69" s="10">
        <v>23.726699829101563</v>
      </c>
      <c r="J69" s="7"/>
    </row>
    <row r="70" spans="1:10" x14ac:dyDescent="0.25">
      <c r="A70" s="3" t="s">
        <v>39</v>
      </c>
      <c r="B70" s="8">
        <v>3</v>
      </c>
      <c r="C70" s="23" t="s">
        <v>100</v>
      </c>
      <c r="D70" s="10">
        <v>19.153450012207031</v>
      </c>
      <c r="J70" s="7"/>
    </row>
    <row r="71" spans="1:10" x14ac:dyDescent="0.25">
      <c r="A71" s="3" t="s">
        <v>39</v>
      </c>
      <c r="B71" s="8">
        <v>1</v>
      </c>
      <c r="C71" s="23" t="s">
        <v>101</v>
      </c>
      <c r="D71" s="10">
        <v>23.699289321899414</v>
      </c>
      <c r="J71" s="7"/>
    </row>
    <row r="72" spans="1:10" x14ac:dyDescent="0.25">
      <c r="A72" s="3" t="s">
        <v>39</v>
      </c>
      <c r="B72" s="8">
        <v>2</v>
      </c>
      <c r="C72" s="23" t="s">
        <v>100</v>
      </c>
      <c r="D72" s="10">
        <v>19.300661087036133</v>
      </c>
      <c r="J72" s="7"/>
    </row>
    <row r="73" spans="1:10" x14ac:dyDescent="0.25">
      <c r="A73" s="3" t="s">
        <v>39</v>
      </c>
      <c r="B73" s="8">
        <v>3</v>
      </c>
      <c r="C73" s="23" t="s">
        <v>101</v>
      </c>
      <c r="D73" s="10">
        <v>23.797849655151367</v>
      </c>
      <c r="J73" s="7"/>
    </row>
    <row r="74" spans="1:10" x14ac:dyDescent="0.25">
      <c r="A74" s="3" t="s">
        <v>40</v>
      </c>
      <c r="B74" s="8">
        <v>1</v>
      </c>
      <c r="C74" s="23" t="s">
        <v>100</v>
      </c>
      <c r="D74" s="10">
        <v>20.419422149658203</v>
      </c>
      <c r="J74" s="7"/>
    </row>
    <row r="75" spans="1:10" x14ac:dyDescent="0.25">
      <c r="A75" s="3" t="s">
        <v>40</v>
      </c>
      <c r="B75" s="8">
        <v>2</v>
      </c>
      <c r="C75" s="23" t="s">
        <v>101</v>
      </c>
      <c r="D75" s="10">
        <v>24.371152877807617</v>
      </c>
      <c r="J75" s="7"/>
    </row>
    <row r="76" spans="1:10" x14ac:dyDescent="0.25">
      <c r="A76" s="3" t="s">
        <v>40</v>
      </c>
      <c r="B76" s="8">
        <v>3</v>
      </c>
      <c r="C76" s="23" t="s">
        <v>100</v>
      </c>
      <c r="D76" s="10">
        <v>20.632041931152344</v>
      </c>
      <c r="J76" s="7"/>
    </row>
    <row r="77" spans="1:10" x14ac:dyDescent="0.25">
      <c r="A77" s="3" t="s">
        <v>40</v>
      </c>
      <c r="B77" s="8">
        <v>1</v>
      </c>
      <c r="C77" s="23" t="s">
        <v>101</v>
      </c>
      <c r="D77" s="10">
        <v>24.572870254516602</v>
      </c>
      <c r="J77" s="7"/>
    </row>
    <row r="78" spans="1:10" x14ac:dyDescent="0.25">
      <c r="A78" s="3" t="s">
        <v>40</v>
      </c>
      <c r="B78" s="8">
        <v>2</v>
      </c>
      <c r="C78" s="23" t="s">
        <v>100</v>
      </c>
      <c r="D78" s="10">
        <v>20.540027618408203</v>
      </c>
      <c r="J78" s="7"/>
    </row>
    <row r="79" spans="1:10" x14ac:dyDescent="0.25">
      <c r="A79" s="3" t="s">
        <v>40</v>
      </c>
      <c r="B79" s="8">
        <v>3</v>
      </c>
      <c r="C79" s="23" t="s">
        <v>101</v>
      </c>
      <c r="D79" s="10">
        <v>24.48383903503418</v>
      </c>
      <c r="J79" s="7"/>
    </row>
    <row r="80" spans="1:10" x14ac:dyDescent="0.25">
      <c r="A80" s="3" t="s">
        <v>41</v>
      </c>
      <c r="B80" s="8">
        <v>1</v>
      </c>
      <c r="C80" s="23" t="s">
        <v>100</v>
      </c>
      <c r="D80" s="10">
        <v>20.251365661621094</v>
      </c>
      <c r="J80" s="7"/>
    </row>
    <row r="81" spans="1:10" x14ac:dyDescent="0.25">
      <c r="A81" s="3" t="s">
        <v>41</v>
      </c>
      <c r="B81" s="8">
        <v>2</v>
      </c>
      <c r="C81" s="23" t="s">
        <v>101</v>
      </c>
      <c r="D81" s="10">
        <v>24.468770980834961</v>
      </c>
      <c r="J81" s="7"/>
    </row>
    <row r="82" spans="1:10" x14ac:dyDescent="0.25">
      <c r="A82" s="3" t="s">
        <v>41</v>
      </c>
      <c r="B82" s="8">
        <v>3</v>
      </c>
      <c r="C82" s="23" t="s">
        <v>100</v>
      </c>
      <c r="D82" s="10">
        <v>20.288091659545898</v>
      </c>
      <c r="J82" s="7"/>
    </row>
    <row r="83" spans="1:10" x14ac:dyDescent="0.25">
      <c r="A83" s="3" t="s">
        <v>41</v>
      </c>
      <c r="B83" s="8">
        <v>1</v>
      </c>
      <c r="C83" s="23" t="s">
        <v>101</v>
      </c>
      <c r="D83" s="10">
        <v>24.519767761230469</v>
      </c>
      <c r="J83" s="7"/>
    </row>
    <row r="84" spans="1:10" x14ac:dyDescent="0.25">
      <c r="A84" s="3" t="s">
        <v>41</v>
      </c>
      <c r="B84" s="8">
        <v>2</v>
      </c>
      <c r="C84" s="23" t="s">
        <v>100</v>
      </c>
      <c r="D84" s="10">
        <v>20.403898239135742</v>
      </c>
      <c r="J84" s="7"/>
    </row>
    <row r="85" spans="1:10" x14ac:dyDescent="0.25">
      <c r="A85" s="3" t="s">
        <v>41</v>
      </c>
      <c r="B85" s="8">
        <v>3</v>
      </c>
      <c r="C85" s="23" t="s">
        <v>101</v>
      </c>
      <c r="D85" s="10">
        <v>24.60881233215332</v>
      </c>
      <c r="J85" s="7"/>
    </row>
    <row r="86" spans="1:10" x14ac:dyDescent="0.25">
      <c r="A86" s="3" t="s">
        <v>42</v>
      </c>
      <c r="B86" s="8">
        <v>1</v>
      </c>
      <c r="C86" s="23" t="s">
        <v>100</v>
      </c>
      <c r="D86" s="10">
        <v>19.725353240966797</v>
      </c>
      <c r="J86" s="7"/>
    </row>
    <row r="87" spans="1:10" x14ac:dyDescent="0.25">
      <c r="A87" s="3" t="s">
        <v>42</v>
      </c>
      <c r="B87" s="8">
        <v>2</v>
      </c>
      <c r="C87" s="23" t="s">
        <v>101</v>
      </c>
      <c r="D87" s="10">
        <v>23.891422271728516</v>
      </c>
      <c r="J87" s="7"/>
    </row>
    <row r="88" spans="1:10" x14ac:dyDescent="0.25">
      <c r="A88" s="3" t="s">
        <v>42</v>
      </c>
      <c r="B88" s="8">
        <v>3</v>
      </c>
      <c r="C88" s="23" t="s">
        <v>100</v>
      </c>
      <c r="D88" s="10">
        <v>19.559358596801758</v>
      </c>
      <c r="J88" s="7"/>
    </row>
    <row r="89" spans="1:10" x14ac:dyDescent="0.25">
      <c r="A89" s="3" t="s">
        <v>42</v>
      </c>
      <c r="B89" s="8">
        <v>1</v>
      </c>
      <c r="C89" s="23" t="s">
        <v>101</v>
      </c>
      <c r="D89" s="10">
        <v>23.710849761962891</v>
      </c>
      <c r="J89" s="7"/>
    </row>
    <row r="90" spans="1:10" x14ac:dyDescent="0.25">
      <c r="A90" s="3" t="s">
        <v>42</v>
      </c>
      <c r="B90" s="8">
        <v>2</v>
      </c>
      <c r="C90" s="23" t="s">
        <v>100</v>
      </c>
      <c r="D90" s="10">
        <v>19.651069641113281</v>
      </c>
      <c r="J90" s="7"/>
    </row>
    <row r="91" spans="1:10" x14ac:dyDescent="0.25">
      <c r="A91" s="3" t="s">
        <v>42</v>
      </c>
      <c r="B91" s="8">
        <v>3</v>
      </c>
      <c r="C91" s="23" t="s">
        <v>101</v>
      </c>
      <c r="D91" s="10">
        <v>23.816497802734375</v>
      </c>
      <c r="J91" s="7"/>
    </row>
    <row r="92" spans="1:10" x14ac:dyDescent="0.25">
      <c r="A92" s="3" t="s">
        <v>43</v>
      </c>
      <c r="B92" s="8">
        <v>1</v>
      </c>
      <c r="C92" s="23" t="s">
        <v>100</v>
      </c>
      <c r="D92" s="10">
        <v>19.811424255371094</v>
      </c>
      <c r="J92" s="7"/>
    </row>
    <row r="93" spans="1:10" x14ac:dyDescent="0.25">
      <c r="A93" s="3" t="s">
        <v>43</v>
      </c>
      <c r="B93" s="8">
        <v>2</v>
      </c>
      <c r="C93" s="23" t="s">
        <v>101</v>
      </c>
      <c r="D93" s="10">
        <v>22.687721252441406</v>
      </c>
      <c r="J93" s="7"/>
    </row>
    <row r="94" spans="1:10" x14ac:dyDescent="0.25">
      <c r="A94" s="3" t="s">
        <v>43</v>
      </c>
      <c r="B94" s="8">
        <v>3</v>
      </c>
      <c r="C94" s="23" t="s">
        <v>100</v>
      </c>
      <c r="D94" s="10">
        <v>19.970815658569336</v>
      </c>
      <c r="J94" s="7"/>
    </row>
    <row r="95" spans="1:10" x14ac:dyDescent="0.25">
      <c r="A95" s="3" t="s">
        <v>43</v>
      </c>
      <c r="B95" s="8">
        <v>1</v>
      </c>
      <c r="C95" s="23" t="s">
        <v>101</v>
      </c>
      <c r="D95" s="10">
        <v>22.815578460693359</v>
      </c>
      <c r="J95" s="7"/>
    </row>
    <row r="96" spans="1:10" x14ac:dyDescent="0.25">
      <c r="A96" s="3" t="s">
        <v>43</v>
      </c>
      <c r="B96" s="8">
        <v>2</v>
      </c>
      <c r="C96" s="23" t="s">
        <v>100</v>
      </c>
      <c r="D96" s="10">
        <v>19.948810577392578</v>
      </c>
      <c r="J96" s="7"/>
    </row>
    <row r="97" spans="1:10" x14ac:dyDescent="0.25">
      <c r="A97" s="3" t="s">
        <v>43</v>
      </c>
      <c r="B97" s="8">
        <v>3</v>
      </c>
      <c r="C97" s="23" t="s">
        <v>101</v>
      </c>
      <c r="D97" s="10">
        <v>22.947322845458984</v>
      </c>
      <c r="J97" s="7"/>
    </row>
    <row r="98" spans="1:10" x14ac:dyDescent="0.25">
      <c r="A98" s="3" t="s">
        <v>44</v>
      </c>
      <c r="B98" s="8">
        <v>1</v>
      </c>
      <c r="C98" s="23" t="s">
        <v>100</v>
      </c>
      <c r="D98" s="10">
        <v>20.324541091918945</v>
      </c>
      <c r="J98" s="7"/>
    </row>
    <row r="99" spans="1:10" x14ac:dyDescent="0.25">
      <c r="A99" s="3" t="s">
        <v>44</v>
      </c>
      <c r="B99" s="8">
        <v>2</v>
      </c>
      <c r="C99" s="23" t="s">
        <v>101</v>
      </c>
      <c r="D99" s="10">
        <v>24.198469161987305</v>
      </c>
      <c r="J99" s="7"/>
    </row>
    <row r="100" spans="1:10" x14ac:dyDescent="0.25">
      <c r="A100" s="3" t="s">
        <v>44</v>
      </c>
      <c r="B100" s="8">
        <v>3</v>
      </c>
      <c r="C100" s="23" t="s">
        <v>100</v>
      </c>
      <c r="D100" s="10">
        <v>20.35902214050293</v>
      </c>
      <c r="J100" s="7"/>
    </row>
    <row r="101" spans="1:10" x14ac:dyDescent="0.25">
      <c r="A101" s="3" t="s">
        <v>44</v>
      </c>
      <c r="B101" s="8">
        <v>1</v>
      </c>
      <c r="C101" s="23" t="s">
        <v>101</v>
      </c>
      <c r="D101" s="10">
        <v>24.24690055847168</v>
      </c>
      <c r="J101" s="7"/>
    </row>
    <row r="102" spans="1:10" x14ac:dyDescent="0.25">
      <c r="A102" s="3" t="s">
        <v>44</v>
      </c>
      <c r="B102" s="8">
        <v>2</v>
      </c>
      <c r="C102" s="23" t="s">
        <v>100</v>
      </c>
      <c r="D102" s="10">
        <v>20.375791549682617</v>
      </c>
      <c r="J102" s="7"/>
    </row>
    <row r="103" spans="1:10" x14ac:dyDescent="0.25">
      <c r="A103" s="3" t="s">
        <v>44</v>
      </c>
      <c r="B103" s="8">
        <v>3</v>
      </c>
      <c r="C103" s="23" t="s">
        <v>101</v>
      </c>
      <c r="D103" s="10">
        <v>24.283283233642578</v>
      </c>
      <c r="J103" s="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8"/>
  <sheetViews>
    <sheetView workbookViewId="0">
      <selection activeCell="J18" sqref="J18"/>
    </sheetView>
  </sheetViews>
  <sheetFormatPr defaultRowHeight="15" x14ac:dyDescent="0.25"/>
  <cols>
    <col min="1" max="1" width="9" bestFit="1" customWidth="1"/>
    <col min="2" max="2" width="19.7109375" bestFit="1" customWidth="1"/>
    <col min="3" max="3" width="3.5703125" bestFit="1" customWidth="1"/>
    <col min="4" max="4" width="11" bestFit="1" customWidth="1"/>
    <col min="5" max="5" width="9.42578125" bestFit="1" customWidth="1"/>
    <col min="6" max="6" width="8.7109375" bestFit="1" customWidth="1"/>
    <col min="7" max="7" width="10.7109375" bestFit="1" customWidth="1"/>
    <col min="9" max="9" width="14.5703125" bestFit="1" customWidth="1"/>
    <col min="10" max="10" width="17.28515625" bestFit="1" customWidth="1"/>
  </cols>
  <sheetData>
    <row r="1" spans="1:11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50</v>
      </c>
    </row>
    <row r="2" spans="1:11" x14ac:dyDescent="0.25">
      <c r="A2" s="3" t="s">
        <v>9</v>
      </c>
      <c r="B2" s="4" t="s">
        <v>55</v>
      </c>
      <c r="C2" s="3" t="s">
        <v>6</v>
      </c>
      <c r="D2" s="1" t="s">
        <v>28</v>
      </c>
      <c r="E2" s="3">
        <v>21</v>
      </c>
      <c r="F2" s="3" t="s">
        <v>10</v>
      </c>
      <c r="G2" s="3">
        <v>1.0528773815997852</v>
      </c>
      <c r="I2" s="3" t="s">
        <v>4</v>
      </c>
      <c r="J2" s="8" t="s">
        <v>52</v>
      </c>
      <c r="K2" s="3" t="s">
        <v>53</v>
      </c>
    </row>
    <row r="3" spans="1:11" x14ac:dyDescent="0.25">
      <c r="A3" s="3" t="s">
        <v>11</v>
      </c>
      <c r="B3" s="4" t="s">
        <v>55</v>
      </c>
      <c r="C3" s="3" t="s">
        <v>6</v>
      </c>
      <c r="D3" s="1" t="s">
        <v>29</v>
      </c>
      <c r="E3" s="3">
        <v>21</v>
      </c>
      <c r="F3" s="3" t="s">
        <v>10</v>
      </c>
      <c r="G3" s="3">
        <v>1.0116208966211686</v>
      </c>
      <c r="I3" s="3" t="s">
        <v>10</v>
      </c>
      <c r="J3" s="9">
        <f>AVERAGEIF($F2:$F$18,"WT",$G$2:$G$18)</f>
        <v>1.0010903262546433</v>
      </c>
      <c r="K3" s="3">
        <f t="array" ref="K3">STDEV(IF($F$2:$F$18="WT",$G$2:$G$18,"NA"))/SQRT(6)</f>
        <v>2.049425800619803E-2</v>
      </c>
    </row>
    <row r="4" spans="1:11" x14ac:dyDescent="0.25">
      <c r="A4" s="3" t="s">
        <v>12</v>
      </c>
      <c r="B4" s="4" t="s">
        <v>55</v>
      </c>
      <c r="C4" s="3" t="s">
        <v>6</v>
      </c>
      <c r="D4" s="1" t="s">
        <v>30</v>
      </c>
      <c r="E4" s="3">
        <v>21</v>
      </c>
      <c r="F4" s="3" t="s">
        <v>10</v>
      </c>
      <c r="G4" s="3">
        <v>0.90637950572402803</v>
      </c>
      <c r="I4" s="12" t="s">
        <v>90</v>
      </c>
      <c r="J4" s="9">
        <f>AVERAGEIFS($G$2:$G$18,$B$2:$B$18,"E254fs",$F$2:$F$18,"Het")</f>
        <v>1.1133618475746847</v>
      </c>
      <c r="K4" s="3" cm="1">
        <f t="array" ref="K4">STDEV(IF($B$2:$B$18="E254fs",IF($F$2:$F$18="Het",$G$2:$G$18)))/SQRT(6)</f>
        <v>9.6937006023672442E-3</v>
      </c>
    </row>
    <row r="5" spans="1:11" x14ac:dyDescent="0.25">
      <c r="A5" s="3" t="s">
        <v>13</v>
      </c>
      <c r="B5" s="4" t="s">
        <v>55</v>
      </c>
      <c r="C5" s="3" t="s">
        <v>8</v>
      </c>
      <c r="D5" s="1" t="s">
        <v>31</v>
      </c>
      <c r="E5" s="3">
        <v>21</v>
      </c>
      <c r="F5" s="3" t="s">
        <v>10</v>
      </c>
      <c r="G5" s="3">
        <v>0.99857655350087404</v>
      </c>
      <c r="I5" s="3" t="s">
        <v>54</v>
      </c>
      <c r="J5" s="9">
        <f>AVERAGEIFS($G$2:$G$18,$B$2:$B$18,"G256W",$F$2:$F$18,"Het")</f>
        <v>1.1543079353820329</v>
      </c>
      <c r="K5" s="3" cm="1">
        <f t="array" ref="K5">STDEV(IF($B$2:$B$18="G256W",IF($F$2:$F$18="Het",$G$2:$G$18)))/SQRT(5)</f>
        <v>4.6685391943435635E-2</v>
      </c>
    </row>
    <row r="6" spans="1:11" x14ac:dyDescent="0.25">
      <c r="A6" s="3" t="s">
        <v>14</v>
      </c>
      <c r="B6" s="4" t="s">
        <v>55</v>
      </c>
      <c r="C6" s="3" t="s">
        <v>8</v>
      </c>
      <c r="D6" s="1" t="s">
        <v>32</v>
      </c>
      <c r="E6" s="3">
        <v>21</v>
      </c>
      <c r="F6" s="3" t="s">
        <v>10</v>
      </c>
      <c r="G6" s="3">
        <v>1.0290780293184767</v>
      </c>
    </row>
    <row r="7" spans="1:11" x14ac:dyDescent="0.25">
      <c r="A7" s="3" t="s">
        <v>15</v>
      </c>
      <c r="B7" s="4" t="s">
        <v>55</v>
      </c>
      <c r="C7" s="3" t="s">
        <v>8</v>
      </c>
      <c r="D7" s="1" t="s">
        <v>33</v>
      </c>
      <c r="E7" s="3">
        <v>21</v>
      </c>
      <c r="F7" s="3" t="s">
        <v>10</v>
      </c>
      <c r="G7" s="3">
        <v>1.0080095907635283</v>
      </c>
    </row>
    <row r="8" spans="1:11" ht="15.75" x14ac:dyDescent="0.25">
      <c r="A8" s="3" t="s">
        <v>16</v>
      </c>
      <c r="B8" s="4" t="s">
        <v>90</v>
      </c>
      <c r="C8" s="5" t="s">
        <v>6</v>
      </c>
      <c r="D8" s="2" t="s">
        <v>34</v>
      </c>
      <c r="E8" s="3">
        <v>21</v>
      </c>
      <c r="F8" s="6" t="s">
        <v>7</v>
      </c>
      <c r="G8" s="3">
        <v>1.1538687888430827</v>
      </c>
    </row>
    <row r="9" spans="1:11" ht="15.75" x14ac:dyDescent="0.25">
      <c r="A9" s="3" t="s">
        <v>17</v>
      </c>
      <c r="B9" s="4" t="s">
        <v>90</v>
      </c>
      <c r="C9" s="5" t="s">
        <v>6</v>
      </c>
      <c r="D9" s="2" t="s">
        <v>35</v>
      </c>
      <c r="E9" s="3">
        <v>21</v>
      </c>
      <c r="F9" s="6" t="s">
        <v>7</v>
      </c>
      <c r="G9" s="3">
        <v>1.1159901917369417</v>
      </c>
    </row>
    <row r="10" spans="1:11" ht="15.75" x14ac:dyDescent="0.25">
      <c r="A10" s="3" t="s">
        <v>18</v>
      </c>
      <c r="B10" s="4" t="s">
        <v>90</v>
      </c>
      <c r="C10" s="5" t="s">
        <v>6</v>
      </c>
      <c r="D10" s="2" t="s">
        <v>36</v>
      </c>
      <c r="E10" s="3">
        <v>22</v>
      </c>
      <c r="F10" s="6" t="s">
        <v>7</v>
      </c>
      <c r="G10" s="3">
        <v>1.1010094060728182</v>
      </c>
    </row>
    <row r="11" spans="1:11" ht="15.75" x14ac:dyDescent="0.25">
      <c r="A11" s="3" t="s">
        <v>19</v>
      </c>
      <c r="B11" s="4" t="s">
        <v>90</v>
      </c>
      <c r="C11" s="5" t="s">
        <v>8</v>
      </c>
      <c r="D11" s="2" t="s">
        <v>37</v>
      </c>
      <c r="E11" s="3">
        <v>21</v>
      </c>
      <c r="F11" s="6" t="s">
        <v>7</v>
      </c>
      <c r="G11" s="3">
        <v>1.0860980866327936</v>
      </c>
    </row>
    <row r="12" spans="1:11" ht="15.75" x14ac:dyDescent="0.25">
      <c r="A12" s="3" t="s">
        <v>20</v>
      </c>
      <c r="B12" s="4" t="s">
        <v>90</v>
      </c>
      <c r="C12" s="5" t="s">
        <v>8</v>
      </c>
      <c r="D12" s="2" t="s">
        <v>38</v>
      </c>
      <c r="E12" s="3">
        <v>22</v>
      </c>
      <c r="F12" s="6" t="s">
        <v>7</v>
      </c>
      <c r="G12" s="3">
        <v>1.1232046121624724</v>
      </c>
    </row>
    <row r="13" spans="1:11" ht="15.75" x14ac:dyDescent="0.25">
      <c r="A13" s="3" t="s">
        <v>21</v>
      </c>
      <c r="B13" s="4" t="s">
        <v>90</v>
      </c>
      <c r="C13" s="5" t="s">
        <v>8</v>
      </c>
      <c r="D13" s="2" t="s">
        <v>39</v>
      </c>
      <c r="E13" s="3">
        <v>20</v>
      </c>
      <c r="F13" s="6" t="s">
        <v>7</v>
      </c>
      <c r="G13" s="3">
        <v>1.1000000000000001</v>
      </c>
    </row>
    <row r="14" spans="1:11" ht="15.75" x14ac:dyDescent="0.25">
      <c r="A14" s="3" t="s">
        <v>24</v>
      </c>
      <c r="B14" s="4" t="s">
        <v>55</v>
      </c>
      <c r="C14" s="3" t="s">
        <v>6</v>
      </c>
      <c r="D14" s="1" t="s">
        <v>40</v>
      </c>
      <c r="E14" s="3">
        <v>21</v>
      </c>
      <c r="F14" s="6" t="s">
        <v>7</v>
      </c>
      <c r="G14" s="3">
        <v>1.2148182827167788</v>
      </c>
    </row>
    <row r="15" spans="1:11" ht="15.75" x14ac:dyDescent="0.25">
      <c r="A15" s="3" t="s">
        <v>25</v>
      </c>
      <c r="B15" s="4" t="s">
        <v>55</v>
      </c>
      <c r="C15" s="3" t="s">
        <v>6</v>
      </c>
      <c r="D15" s="1" t="s">
        <v>41</v>
      </c>
      <c r="E15" s="3">
        <v>21</v>
      </c>
      <c r="F15" s="6" t="s">
        <v>7</v>
      </c>
      <c r="G15" s="3">
        <v>1.0052990521479919</v>
      </c>
    </row>
    <row r="16" spans="1:11" ht="15.75" x14ac:dyDescent="0.25">
      <c r="A16" s="3" t="s">
        <v>26</v>
      </c>
      <c r="B16" s="4" t="s">
        <v>55</v>
      </c>
      <c r="C16" s="3" t="s">
        <v>6</v>
      </c>
      <c r="D16" s="1" t="s">
        <v>42</v>
      </c>
      <c r="E16" s="3">
        <v>21</v>
      </c>
      <c r="F16" s="6" t="s">
        <v>7</v>
      </c>
      <c r="G16" s="3">
        <v>1.169540968682828</v>
      </c>
    </row>
    <row r="17" spans="1:7" ht="15.75" x14ac:dyDescent="0.25">
      <c r="A17" s="3" t="s">
        <v>22</v>
      </c>
      <c r="B17" s="4" t="s">
        <v>55</v>
      </c>
      <c r="C17" s="3" t="s">
        <v>8</v>
      </c>
      <c r="D17" s="1" t="s">
        <v>43</v>
      </c>
      <c r="E17" s="3">
        <v>21</v>
      </c>
      <c r="F17" s="6" t="s">
        <v>7</v>
      </c>
      <c r="G17" s="3">
        <v>1.2769912670452988</v>
      </c>
    </row>
    <row r="18" spans="1:7" ht="15.75" x14ac:dyDescent="0.25">
      <c r="A18" s="3" t="s">
        <v>23</v>
      </c>
      <c r="B18" s="4" t="s">
        <v>55</v>
      </c>
      <c r="C18" s="3" t="s">
        <v>8</v>
      </c>
      <c r="D18" s="1" t="s">
        <v>44</v>
      </c>
      <c r="E18" s="3">
        <v>21</v>
      </c>
      <c r="F18" s="6" t="s">
        <v>7</v>
      </c>
      <c r="G18" s="3">
        <v>1.1048901063172671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2"/>
  <sheetViews>
    <sheetView zoomScale="97" zoomScaleNormal="55" workbookViewId="0">
      <selection activeCell="D21" sqref="D21"/>
    </sheetView>
  </sheetViews>
  <sheetFormatPr defaultRowHeight="15" x14ac:dyDescent="0.25"/>
  <cols>
    <col min="1" max="1" width="7.140625" bestFit="1" customWidth="1"/>
    <col min="2" max="2" width="4.140625" bestFit="1" customWidth="1"/>
    <col min="3" max="3" width="8" bestFit="1" customWidth="1"/>
    <col min="5" max="5" width="3.42578125" bestFit="1" customWidth="1"/>
    <col min="6" max="6" width="3.42578125" customWidth="1"/>
    <col min="7" max="7" width="6.7109375" bestFit="1" customWidth="1"/>
    <col min="8" max="8" width="13.5703125" bestFit="1" customWidth="1"/>
    <col min="9" max="9" width="11.28515625" bestFit="1" customWidth="1"/>
    <col min="10" max="10" width="16.5703125" bestFit="1" customWidth="1"/>
  </cols>
  <sheetData>
    <row r="1" spans="1:15" x14ac:dyDescent="0.25">
      <c r="A1" s="3" t="s">
        <v>46</v>
      </c>
      <c r="B1" s="3" t="s">
        <v>2</v>
      </c>
      <c r="C1" s="3" t="s">
        <v>45</v>
      </c>
      <c r="E1" s="3"/>
      <c r="F1" s="3"/>
      <c r="G1" s="3" t="s">
        <v>47</v>
      </c>
      <c r="H1" s="3" t="s">
        <v>56</v>
      </c>
      <c r="I1" s="3" t="s">
        <v>48</v>
      </c>
      <c r="J1" s="3" t="s">
        <v>50</v>
      </c>
    </row>
    <row r="2" spans="1:15" x14ac:dyDescent="0.25">
      <c r="A2" s="3" t="s">
        <v>28</v>
      </c>
      <c r="B2" s="3" t="s">
        <v>6</v>
      </c>
      <c r="C2" s="10">
        <v>5.1234912872314453</v>
      </c>
      <c r="E2" s="3" t="s">
        <v>28</v>
      </c>
      <c r="F2" s="3" t="s">
        <v>6</v>
      </c>
      <c r="G2" s="10">
        <f t="shared" ref="G2:G18" si="0">AVERAGEIF($A$2:$A$52,E2,$C$2:$C$52)</f>
        <v>5.0976689656575518</v>
      </c>
      <c r="H2" s="10" cm="1">
        <f t="array" ref="H2">STDEV(IF($A$2:$A$52=$E2,$C$2:$C$52))</f>
        <v>2.6874756276361499E-2</v>
      </c>
      <c r="I2" s="10">
        <f>(G2-AVERAGE($G$2:$G$7))</f>
        <v>-7.4337429470486605E-2</v>
      </c>
      <c r="J2" s="11">
        <f>2^-(I2)</f>
        <v>1.0528773815997852</v>
      </c>
    </row>
    <row r="3" spans="1:15" x14ac:dyDescent="0.25">
      <c r="A3" s="3" t="s">
        <v>28</v>
      </c>
      <c r="B3" s="3" t="s">
        <v>6</v>
      </c>
      <c r="C3" s="10">
        <v>5.0996627807617188</v>
      </c>
      <c r="E3" s="3" t="s">
        <v>29</v>
      </c>
      <c r="F3" s="3" t="s">
        <v>6</v>
      </c>
      <c r="G3" s="10">
        <f t="shared" si="0"/>
        <v>5.1553376515706377</v>
      </c>
      <c r="H3" s="10">
        <f t="array" ref="H3">STDEV(IF($A$2:$A$52=$E3,$C$2:$C$52))</f>
        <v>2.2342418945694907E-2</v>
      </c>
      <c r="I3" s="10">
        <f t="shared" ref="I3:I13" si="1">(G3-AVERAGE($G$2:$G$7))</f>
        <v>-1.6668743557400667E-2</v>
      </c>
      <c r="J3" s="11">
        <f>2^-(I3)</f>
        <v>1.0116208966211686</v>
      </c>
    </row>
    <row r="4" spans="1:15" x14ac:dyDescent="0.25">
      <c r="A4" s="3" t="s">
        <v>28</v>
      </c>
      <c r="B4" s="3" t="s">
        <v>6</v>
      </c>
      <c r="C4" s="10">
        <v>5.0698528289794922</v>
      </c>
      <c r="E4" s="3" t="s">
        <v>30</v>
      </c>
      <c r="F4" s="3" t="s">
        <v>6</v>
      </c>
      <c r="G4" s="10">
        <f t="shared" si="0"/>
        <v>5.3138192494710283</v>
      </c>
      <c r="H4" s="10">
        <f t="array" ref="H4">STDEV(IF($A$2:$A$52=$E4,$C$2:$C$52))</f>
        <v>1.0164132072371034E-2</v>
      </c>
      <c r="I4" s="10">
        <f t="shared" si="1"/>
        <v>0.14181285434298996</v>
      </c>
      <c r="J4" s="11">
        <f t="shared" ref="J4:J13" si="2">2^-(I4)</f>
        <v>0.90637950572402803</v>
      </c>
    </row>
    <row r="5" spans="1:15" x14ac:dyDescent="0.25">
      <c r="A5" s="3" t="s">
        <v>29</v>
      </c>
      <c r="B5" s="3" t="s">
        <v>6</v>
      </c>
      <c r="C5" s="10">
        <v>5.1508464813232422</v>
      </c>
      <c r="E5" s="3" t="s">
        <v>31</v>
      </c>
      <c r="F5" s="3" t="s">
        <v>8</v>
      </c>
      <c r="G5" s="10">
        <f t="shared" si="0"/>
        <v>5.174061457316081</v>
      </c>
      <c r="H5" s="10">
        <f t="array" ref="H5">STDEV(IF($A$2:$A$52=$E5,$C$2:$C$52))</f>
        <v>4.3259904284221787E-2</v>
      </c>
      <c r="I5" s="10">
        <f t="shared" si="1"/>
        <v>2.0550621880426334E-3</v>
      </c>
      <c r="J5" s="11">
        <f t="shared" si="2"/>
        <v>0.99857655350087404</v>
      </c>
    </row>
    <row r="6" spans="1:15" x14ac:dyDescent="0.25">
      <c r="A6" s="3" t="s">
        <v>29</v>
      </c>
      <c r="B6" s="3" t="s">
        <v>6</v>
      </c>
      <c r="C6" s="10">
        <v>5.1795845031738281</v>
      </c>
      <c r="E6" s="3" t="s">
        <v>32</v>
      </c>
      <c r="F6" s="3" t="s">
        <v>8</v>
      </c>
      <c r="G6" s="10">
        <f t="shared" si="0"/>
        <v>5.1306540171305342</v>
      </c>
      <c r="H6" s="10">
        <f t="array" ref="H6">STDEV(IF($A$2:$A$52=$E6,$C$2:$C$52))</f>
        <v>6.3285495181568049E-3</v>
      </c>
      <c r="I6" s="10">
        <f t="shared" si="1"/>
        <v>-4.1352377997504242E-2</v>
      </c>
      <c r="J6" s="11">
        <f t="shared" si="2"/>
        <v>1.0290780293184767</v>
      </c>
    </row>
    <row r="7" spans="1:15" x14ac:dyDescent="0.25">
      <c r="A7" s="3" t="s">
        <v>29</v>
      </c>
      <c r="B7" s="3" t="s">
        <v>6</v>
      </c>
      <c r="C7" s="10">
        <v>5.1355819702148438</v>
      </c>
      <c r="E7" s="3" t="s">
        <v>33</v>
      </c>
      <c r="F7" s="3" t="s">
        <v>8</v>
      </c>
      <c r="G7" s="10">
        <f t="shared" si="0"/>
        <v>5.1604970296223955</v>
      </c>
      <c r="H7" s="10">
        <f t="array" ref="H7">STDEV(IF($A$2:$A$52=$E7,$C$2:$C$52))</f>
        <v>3.5068784450088028E-2</v>
      </c>
      <c r="I7" s="10">
        <f t="shared" si="1"/>
        <v>-1.1509365505642855E-2</v>
      </c>
      <c r="J7" s="11">
        <f t="shared" si="2"/>
        <v>1.0080095907635283</v>
      </c>
    </row>
    <row r="8" spans="1:15" x14ac:dyDescent="0.25">
      <c r="A8" s="3" t="s">
        <v>30</v>
      </c>
      <c r="B8" s="3" t="s">
        <v>6</v>
      </c>
      <c r="C8" s="10">
        <v>5.3129711151123047</v>
      </c>
      <c r="E8" s="3" t="s">
        <v>34</v>
      </c>
      <c r="F8" s="3" t="s">
        <v>6</v>
      </c>
      <c r="G8" s="10">
        <f t="shared" si="0"/>
        <v>4.9655272165934248</v>
      </c>
      <c r="H8" s="10">
        <f t="array" ref="H8">STDEV(IF($A$2:$A$52=$E8,$C$2:$C$52))</f>
        <v>2.6581353233299864E-2</v>
      </c>
      <c r="I8" s="10">
        <f t="shared" si="1"/>
        <v>-0.20647917853461362</v>
      </c>
      <c r="J8" s="11">
        <f t="shared" si="2"/>
        <v>1.1538687888430827</v>
      </c>
    </row>
    <row r="9" spans="1:15" x14ac:dyDescent="0.25">
      <c r="A9" s="3" t="s">
        <v>30</v>
      </c>
      <c r="B9" s="3" t="s">
        <v>6</v>
      </c>
      <c r="C9" s="10">
        <v>5.3041057586669922</v>
      </c>
      <c r="E9" s="3" t="s">
        <v>35</v>
      </c>
      <c r="F9" s="3" t="s">
        <v>6</v>
      </c>
      <c r="G9" s="10">
        <f t="shared" si="0"/>
        <v>5.013682047526042</v>
      </c>
      <c r="H9" s="10">
        <f t="array" ref="H9">STDEV(IF($A$2:$A$52=$E9,$C$2:$C$52))</f>
        <v>2.6286811086379272E-2</v>
      </c>
      <c r="I9" s="10">
        <f t="shared" si="1"/>
        <v>-0.15832434760199643</v>
      </c>
      <c r="J9" s="11">
        <f t="shared" si="2"/>
        <v>1.1159901917369417</v>
      </c>
    </row>
    <row r="10" spans="1:15" x14ac:dyDescent="0.25">
      <c r="A10" s="3" t="s">
        <v>30</v>
      </c>
      <c r="B10" s="3" t="s">
        <v>6</v>
      </c>
      <c r="C10" s="10">
        <v>5.3243808746337891</v>
      </c>
      <c r="E10" s="3" t="s">
        <v>36</v>
      </c>
      <c r="F10" s="3" t="s">
        <v>6</v>
      </c>
      <c r="G10" s="10">
        <f t="shared" si="0"/>
        <v>5.0331796010335283</v>
      </c>
      <c r="H10" s="10">
        <f t="array" ref="H10">STDEV(IF($A$2:$A$52=$E10,$C$2:$C$52))</f>
        <v>1.2598284811118209E-2</v>
      </c>
      <c r="I10" s="10">
        <f t="shared" si="1"/>
        <v>-0.13882679409451004</v>
      </c>
      <c r="J10" s="11">
        <f t="shared" si="2"/>
        <v>1.1010094060728182</v>
      </c>
    </row>
    <row r="11" spans="1:15" x14ac:dyDescent="0.25">
      <c r="A11" s="3" t="s">
        <v>31</v>
      </c>
      <c r="B11" s="3" t="s">
        <v>8</v>
      </c>
      <c r="C11" s="10">
        <v>5.2236499786376953</v>
      </c>
      <c r="E11" s="3" t="s">
        <v>37</v>
      </c>
      <c r="F11" s="3" t="s">
        <v>8</v>
      </c>
      <c r="G11" s="10">
        <f t="shared" si="0"/>
        <v>5.0528519948323565</v>
      </c>
      <c r="H11" s="10">
        <f t="array" ref="H11">STDEV(IF($A$2:$A$52=$E11,$C$2:$C$52))</f>
        <v>3.5624535699775105E-2</v>
      </c>
      <c r="I11" s="10">
        <f t="shared" si="1"/>
        <v>-0.11915440029568192</v>
      </c>
      <c r="J11" s="11">
        <f t="shared" si="2"/>
        <v>1.0860980866327936</v>
      </c>
    </row>
    <row r="12" spans="1:15" x14ac:dyDescent="0.25">
      <c r="A12" s="3" t="s">
        <v>31</v>
      </c>
      <c r="B12" s="3" t="s">
        <v>8</v>
      </c>
      <c r="C12" s="10">
        <v>5.1440563201904297</v>
      </c>
      <c r="E12" s="3" t="s">
        <v>38</v>
      </c>
      <c r="F12" s="3" t="s">
        <v>8</v>
      </c>
      <c r="G12" s="10">
        <f t="shared" si="0"/>
        <v>5.0043856302897138</v>
      </c>
      <c r="H12" s="10">
        <f t="array" ref="H12">STDEV(IF($A$2:$A$52=$E12,$C$2:$C$52))</f>
        <v>4.1544906981161901E-2</v>
      </c>
      <c r="I12" s="10">
        <f t="shared" si="1"/>
        <v>-0.16762076483832455</v>
      </c>
      <c r="J12" s="11">
        <f t="shared" si="2"/>
        <v>1.1232046121624724</v>
      </c>
    </row>
    <row r="13" spans="1:15" x14ac:dyDescent="0.25">
      <c r="A13" s="3" t="s">
        <v>31</v>
      </c>
      <c r="B13" s="3" t="s">
        <v>8</v>
      </c>
      <c r="C13" s="10">
        <v>5.1544780731201172</v>
      </c>
      <c r="E13" s="3" t="s">
        <v>39</v>
      </c>
      <c r="F13" s="3" t="s">
        <v>8</v>
      </c>
      <c r="G13" s="10">
        <f t="shared" si="0"/>
        <v>5.0326666666666666</v>
      </c>
      <c r="H13" s="10">
        <f t="array" ref="H13">STDEV(IF($A$2:$A$52=$E13,$C$2:$C$52))</f>
        <v>1.1015141094572523E-2</v>
      </c>
      <c r="I13" s="10">
        <f t="shared" si="1"/>
        <v>-0.13933972846137177</v>
      </c>
      <c r="J13" s="11">
        <f t="shared" si="2"/>
        <v>1.1014009274637164</v>
      </c>
    </row>
    <row r="14" spans="1:15" x14ac:dyDescent="0.25">
      <c r="A14" s="3" t="s">
        <v>32</v>
      </c>
      <c r="B14" s="3" t="s">
        <v>8</v>
      </c>
      <c r="C14" s="10">
        <v>5.1348152160644531</v>
      </c>
      <c r="E14" s="3" t="s">
        <v>40</v>
      </c>
      <c r="F14" s="3" t="s">
        <v>6</v>
      </c>
      <c r="G14" s="10">
        <f t="shared" si="0"/>
        <v>4.891265869140625</v>
      </c>
      <c r="H14" s="10">
        <f t="array" ref="H14">STDEV(IF($A$2:$A$52=$E14,$C$2:$C$52))</f>
        <v>4.2882913542732985E-2</v>
      </c>
      <c r="I14" s="10">
        <f>(G14-AVERAGE($G$2:$G$7))</f>
        <v>-0.28074052598741339</v>
      </c>
      <c r="J14" s="11">
        <f>2^-(I14)</f>
        <v>1.2148182827167788</v>
      </c>
      <c r="O14" s="7"/>
    </row>
    <row r="15" spans="1:15" x14ac:dyDescent="0.25">
      <c r="A15" s="3" t="s">
        <v>32</v>
      </c>
      <c r="B15" s="3" t="s">
        <v>8</v>
      </c>
      <c r="C15" s="10">
        <v>5.1233711242675781</v>
      </c>
      <c r="E15" s="3" t="s">
        <v>41</v>
      </c>
      <c r="F15" s="3" t="s">
        <v>6</v>
      </c>
      <c r="G15" s="10">
        <f t="shared" si="0"/>
        <v>5.1643816630045576</v>
      </c>
      <c r="H15" s="10">
        <f t="array" ref="H15">STDEV(IF($A$2:$A$52=$E15,$C$2:$C$52))</f>
        <v>3.201067396083794E-2</v>
      </c>
      <c r="I15" s="10">
        <f t="shared" ref="I15:I18" si="3">(G15-AVERAGE($G$2:$G$7))</f>
        <v>-7.6247321234808041E-3</v>
      </c>
      <c r="J15" s="11">
        <f t="shared" ref="J15:J18" si="4">2^-(I15)</f>
        <v>1.0052990521479919</v>
      </c>
    </row>
    <row r="16" spans="1:15" x14ac:dyDescent="0.25">
      <c r="A16" s="3" t="s">
        <v>32</v>
      </c>
      <c r="B16" s="3" t="s">
        <v>8</v>
      </c>
      <c r="C16" s="10">
        <v>5.1337757110595703</v>
      </c>
      <c r="E16" s="3" t="s">
        <v>42</v>
      </c>
      <c r="F16" s="3" t="s">
        <v>6</v>
      </c>
      <c r="G16" s="10">
        <f t="shared" si="0"/>
        <v>4.9460639953613281</v>
      </c>
      <c r="H16" s="10">
        <f t="array" ref="H16">STDEV(IF($A$2:$A$52=$E16,$C$2:$C$52))</f>
        <v>1.5302685420565698E-2</v>
      </c>
      <c r="I16" s="10">
        <f t="shared" si="3"/>
        <v>-0.22594239976671027</v>
      </c>
      <c r="J16" s="11">
        <f t="shared" si="4"/>
        <v>1.169540968682828</v>
      </c>
    </row>
    <row r="17" spans="1:12" x14ac:dyDescent="0.25">
      <c r="A17" s="3" t="s">
        <v>33</v>
      </c>
      <c r="B17" s="3" t="s">
        <v>8</v>
      </c>
      <c r="C17" s="10">
        <v>5.1330757141113281</v>
      </c>
      <c r="E17" s="3" t="s">
        <v>43</v>
      </c>
      <c r="F17" s="3" t="s">
        <v>8</v>
      </c>
      <c r="G17" s="10">
        <f t="shared" si="0"/>
        <v>4.8192577362060547</v>
      </c>
      <c r="H17" s="10">
        <f t="array" ref="H17">STDEV(IF($A$2:$A$52=$E17,$C$2:$C$52))</f>
        <v>2.2049964894636418E-3</v>
      </c>
      <c r="I17" s="10">
        <f t="shared" si="3"/>
        <v>-0.3527486589219837</v>
      </c>
      <c r="J17" s="11">
        <f t="shared" si="4"/>
        <v>1.2769912670452988</v>
      </c>
    </row>
    <row r="18" spans="1:12" x14ac:dyDescent="0.25">
      <c r="A18" s="3" t="s">
        <v>33</v>
      </c>
      <c r="B18" s="3" t="s">
        <v>8</v>
      </c>
      <c r="C18" s="10">
        <v>5.1484031677246094</v>
      </c>
      <c r="E18" s="3" t="s">
        <v>44</v>
      </c>
      <c r="F18" s="3" t="s">
        <v>8</v>
      </c>
      <c r="G18" s="10">
        <f t="shared" si="0"/>
        <v>5.0281035105387373</v>
      </c>
      <c r="H18" s="10">
        <f t="array" ref="H18">STDEV(IF($A$2:$A$52=$E18,$C$2:$C$52))</f>
        <v>2.7877722946056505E-2</v>
      </c>
      <c r="I18" s="10">
        <f t="shared" si="3"/>
        <v>-0.14390288458930112</v>
      </c>
      <c r="J18" s="11">
        <f t="shared" si="4"/>
        <v>1.1048901063172671</v>
      </c>
    </row>
    <row r="19" spans="1:12" x14ac:dyDescent="0.25">
      <c r="A19" s="3" t="s">
        <v>33</v>
      </c>
      <c r="B19" s="3" t="s">
        <v>8</v>
      </c>
      <c r="C19" s="10">
        <v>5.20001220703125</v>
      </c>
    </row>
    <row r="20" spans="1:12" x14ac:dyDescent="0.25">
      <c r="A20" s="3" t="s">
        <v>34</v>
      </c>
      <c r="B20" s="3" t="s">
        <v>6</v>
      </c>
      <c r="C20" s="10">
        <v>4.9576416015625</v>
      </c>
    </row>
    <row r="21" spans="1:12" x14ac:dyDescent="0.25">
      <c r="A21" s="3" t="s">
        <v>34</v>
      </c>
      <c r="B21" s="3" t="s">
        <v>6</v>
      </c>
      <c r="C21" s="10">
        <v>4.9437808990478516</v>
      </c>
    </row>
    <row r="22" spans="1:12" x14ac:dyDescent="0.25">
      <c r="A22" s="3" t="s">
        <v>34</v>
      </c>
      <c r="B22" s="3" t="s">
        <v>6</v>
      </c>
      <c r="C22" s="10">
        <v>4.9951591491699219</v>
      </c>
    </row>
    <row r="23" spans="1:12" x14ac:dyDescent="0.25">
      <c r="A23" s="3" t="s">
        <v>35</v>
      </c>
      <c r="B23" s="3" t="s">
        <v>6</v>
      </c>
      <c r="C23" s="10">
        <v>5.021331787109375</v>
      </c>
      <c r="L23" s="7"/>
    </row>
    <row r="24" spans="1:12" x14ac:dyDescent="0.25">
      <c r="A24" s="3" t="s">
        <v>35</v>
      </c>
      <c r="B24" s="3" t="s">
        <v>6</v>
      </c>
      <c r="C24" s="10">
        <v>5.0352954864501953</v>
      </c>
    </row>
    <row r="25" spans="1:12" x14ac:dyDescent="0.25">
      <c r="A25" s="3" t="s">
        <v>35</v>
      </c>
      <c r="B25" s="3" t="s">
        <v>6</v>
      </c>
      <c r="C25" s="10">
        <v>4.9844188690185547</v>
      </c>
    </row>
    <row r="26" spans="1:12" x14ac:dyDescent="0.25">
      <c r="A26" s="3" t="s">
        <v>36</v>
      </c>
      <c r="B26" s="3" t="s">
        <v>6</v>
      </c>
      <c r="C26" s="10">
        <v>5.0370941162109375</v>
      </c>
      <c r="G26" s="7"/>
      <c r="H26" s="7"/>
    </row>
    <row r="27" spans="1:12" x14ac:dyDescent="0.25">
      <c r="A27" s="3" t="s">
        <v>36</v>
      </c>
      <c r="B27" s="3" t="s">
        <v>6</v>
      </c>
      <c r="C27" s="10">
        <v>5.0433559417724609</v>
      </c>
    </row>
    <row r="28" spans="1:12" x14ac:dyDescent="0.25">
      <c r="A28" s="3" t="s">
        <v>36</v>
      </c>
      <c r="B28" s="3" t="s">
        <v>6</v>
      </c>
      <c r="C28" s="10">
        <v>5.0190887451171875</v>
      </c>
    </row>
    <row r="29" spans="1:12" x14ac:dyDescent="0.25">
      <c r="A29" s="3" t="s">
        <v>37</v>
      </c>
      <c r="B29" s="3" t="s">
        <v>8</v>
      </c>
      <c r="C29" s="10">
        <v>5.0588932037353516</v>
      </c>
    </row>
    <row r="30" spans="1:12" x14ac:dyDescent="0.25">
      <c r="A30" s="3" t="s">
        <v>37</v>
      </c>
      <c r="B30" s="3" t="s">
        <v>8</v>
      </c>
      <c r="C30" s="10">
        <v>5.0145931243896484</v>
      </c>
    </row>
    <row r="31" spans="1:12" x14ac:dyDescent="0.25">
      <c r="A31" s="3" t="s">
        <v>37</v>
      </c>
      <c r="B31" s="3" t="s">
        <v>8</v>
      </c>
      <c r="C31" s="10">
        <v>5.0850696563720703</v>
      </c>
    </row>
    <row r="32" spans="1:12" x14ac:dyDescent="0.25">
      <c r="A32" s="3" t="s">
        <v>38</v>
      </c>
      <c r="B32" s="3" t="s">
        <v>8</v>
      </c>
      <c r="C32" s="10">
        <v>4.9699687957763672</v>
      </c>
    </row>
    <row r="33" spans="1:3" x14ac:dyDescent="0.25">
      <c r="A33" s="3" t="s">
        <v>38</v>
      </c>
      <c r="B33" s="3" t="s">
        <v>8</v>
      </c>
      <c r="C33" s="10">
        <v>4.9926528930664063</v>
      </c>
    </row>
    <row r="34" spans="1:3" x14ac:dyDescent="0.25">
      <c r="A34" s="3" t="s">
        <v>38</v>
      </c>
      <c r="B34" s="3" t="s">
        <v>8</v>
      </c>
      <c r="C34" s="10">
        <v>5.0505352020263672</v>
      </c>
    </row>
    <row r="35" spans="1:3" x14ac:dyDescent="0.25">
      <c r="A35" s="3" t="s">
        <v>39</v>
      </c>
      <c r="B35" s="3" t="s">
        <v>8</v>
      </c>
      <c r="C35" s="10">
        <v>5.0380000000000003</v>
      </c>
    </row>
    <row r="36" spans="1:3" x14ac:dyDescent="0.25">
      <c r="A36" s="3" t="s">
        <v>39</v>
      </c>
      <c r="B36" s="3" t="s">
        <v>8</v>
      </c>
      <c r="C36" s="10">
        <v>5.04</v>
      </c>
    </row>
    <row r="37" spans="1:3" x14ac:dyDescent="0.25">
      <c r="A37" s="3" t="s">
        <v>39</v>
      </c>
      <c r="B37" s="3" t="s">
        <v>8</v>
      </c>
      <c r="C37" s="10">
        <v>5.0199999999999996</v>
      </c>
    </row>
    <row r="38" spans="1:3" x14ac:dyDescent="0.25">
      <c r="A38" s="3" t="s">
        <v>40</v>
      </c>
      <c r="B38" s="3" t="s">
        <v>6</v>
      </c>
      <c r="C38" s="10">
        <v>4.8418445587158203</v>
      </c>
    </row>
    <row r="39" spans="1:3" x14ac:dyDescent="0.25">
      <c r="A39" s="3" t="s">
        <v>40</v>
      </c>
      <c r="B39" s="3" t="s">
        <v>6</v>
      </c>
      <c r="C39" s="10">
        <v>4.9133129119873047</v>
      </c>
    </row>
    <row r="40" spans="1:3" x14ac:dyDescent="0.25">
      <c r="A40" s="3" t="s">
        <v>40</v>
      </c>
      <c r="B40" s="3" t="s">
        <v>6</v>
      </c>
      <c r="C40" s="10">
        <v>4.91864013671875</v>
      </c>
    </row>
    <row r="41" spans="1:3" x14ac:dyDescent="0.25">
      <c r="A41" s="3" t="s">
        <v>41</v>
      </c>
      <c r="B41" s="3" t="s">
        <v>6</v>
      </c>
      <c r="C41" s="10">
        <v>5.1525840759277344</v>
      </c>
    </row>
    <row r="42" spans="1:3" x14ac:dyDescent="0.25">
      <c r="A42" s="3" t="s">
        <v>41</v>
      </c>
      <c r="B42" s="3" t="s">
        <v>6</v>
      </c>
      <c r="C42" s="10">
        <v>5.2006168365478516</v>
      </c>
    </row>
    <row r="43" spans="1:3" x14ac:dyDescent="0.25">
      <c r="A43" s="3" t="s">
        <v>41</v>
      </c>
      <c r="B43" s="3" t="s">
        <v>6</v>
      </c>
      <c r="C43" s="10">
        <v>5.1399440765380859</v>
      </c>
    </row>
    <row r="44" spans="1:3" x14ac:dyDescent="0.25">
      <c r="A44" s="3" t="s">
        <v>42</v>
      </c>
      <c r="B44" s="3" t="s">
        <v>6</v>
      </c>
      <c r="C44" s="10">
        <v>4.9545650482177734</v>
      </c>
    </row>
    <row r="45" spans="1:3" x14ac:dyDescent="0.25">
      <c r="A45" s="3" t="s">
        <v>42</v>
      </c>
      <c r="B45" s="3" t="s">
        <v>6</v>
      </c>
      <c r="C45" s="10">
        <v>4.9283981323242188</v>
      </c>
    </row>
    <row r="46" spans="1:3" x14ac:dyDescent="0.25">
      <c r="A46" s="3" t="s">
        <v>42</v>
      </c>
      <c r="B46" s="3" t="s">
        <v>6</v>
      </c>
      <c r="C46" s="10">
        <v>4.9552288055419922</v>
      </c>
    </row>
    <row r="47" spans="1:3" x14ac:dyDescent="0.25">
      <c r="A47" s="3" t="s">
        <v>43</v>
      </c>
      <c r="B47" s="3" t="s">
        <v>8</v>
      </c>
      <c r="C47" s="10">
        <v>4.8167839050292969</v>
      </c>
    </row>
    <row r="48" spans="1:3" x14ac:dyDescent="0.25">
      <c r="A48" s="3" t="s">
        <v>43</v>
      </c>
      <c r="B48" s="3" t="s">
        <v>8</v>
      </c>
      <c r="C48" s="10">
        <v>4.8199729919433594</v>
      </c>
    </row>
    <row r="49" spans="1:3" x14ac:dyDescent="0.25">
      <c r="A49" s="3" t="s">
        <v>43</v>
      </c>
      <c r="B49" s="3" t="s">
        <v>8</v>
      </c>
      <c r="C49" s="10">
        <v>4.8210163116455078</v>
      </c>
    </row>
    <row r="50" spans="1:3" x14ac:dyDescent="0.25">
      <c r="A50" s="3" t="s">
        <v>44</v>
      </c>
      <c r="B50" s="3" t="s">
        <v>8</v>
      </c>
      <c r="C50" s="10">
        <v>5.0268573760986328</v>
      </c>
    </row>
    <row r="51" spans="1:3" x14ac:dyDescent="0.25">
      <c r="A51" s="3" t="s">
        <v>44</v>
      </c>
      <c r="B51" s="3" t="s">
        <v>8</v>
      </c>
      <c r="C51" s="10">
        <v>5.0008697509765625</v>
      </c>
    </row>
    <row r="52" spans="1:3" x14ac:dyDescent="0.25">
      <c r="A52" s="3" t="s">
        <v>44</v>
      </c>
      <c r="B52" s="3" t="s">
        <v>8</v>
      </c>
      <c r="C52" s="10">
        <v>5.0565834045410156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A0BC5-5A6F-477D-AF31-64C5951E4C91}">
  <dimension ref="A1:O103"/>
  <sheetViews>
    <sheetView workbookViewId="0">
      <selection activeCell="H28" sqref="H28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14.85546875" bestFit="1" customWidth="1"/>
    <col min="14" max="14" width="17.7109375" bestFit="1" customWidth="1"/>
    <col min="15" max="15" width="14" bestFit="1" customWidth="1"/>
  </cols>
  <sheetData>
    <row r="1" spans="1:15" x14ac:dyDescent="0.25">
      <c r="A1" s="3" t="s">
        <v>91</v>
      </c>
      <c r="B1" s="3" t="s">
        <v>92</v>
      </c>
      <c r="C1" s="3" t="s">
        <v>93</v>
      </c>
      <c r="D1" s="3" t="s">
        <v>94</v>
      </c>
      <c r="F1" s="3" t="s">
        <v>91</v>
      </c>
      <c r="G1" s="3" t="s">
        <v>4</v>
      </c>
      <c r="H1" s="3" t="s">
        <v>95</v>
      </c>
      <c r="I1" s="3" t="s">
        <v>96</v>
      </c>
      <c r="J1" s="3" t="s">
        <v>97</v>
      </c>
      <c r="K1" s="3" t="s">
        <v>98</v>
      </c>
      <c r="M1" s="3" t="s">
        <v>4</v>
      </c>
      <c r="N1" s="3" t="s">
        <v>95</v>
      </c>
      <c r="O1" s="3" t="s">
        <v>99</v>
      </c>
    </row>
    <row r="2" spans="1:15" x14ac:dyDescent="0.25">
      <c r="A2" s="3" t="s">
        <v>28</v>
      </c>
      <c r="B2" s="8">
        <v>1</v>
      </c>
      <c r="C2" s="23" t="s">
        <v>100</v>
      </c>
      <c r="D2" s="10">
        <v>19.004152297973633</v>
      </c>
      <c r="F2" s="3" t="s">
        <v>28</v>
      </c>
      <c r="G2" s="3" t="s">
        <v>10</v>
      </c>
      <c r="H2" s="3">
        <f>AVERAGEIFS($D$2:$D$103,$A$2:$A$103,$F2,$C$2:$C$103,"Kcnq2")</f>
        <v>24.135849634806316</v>
      </c>
      <c r="I2" s="3">
        <f>AVERAGEIFS($D$2:$D$103,$A$2:$A$103,$F2,$C$2:$C$103,"Gapdh")</f>
        <v>19.038180669148762</v>
      </c>
      <c r="J2" s="3">
        <f t="array" ref="J2">STDEV(IF($A$2:$A$103=$F2,IF($C$2:$C$103="Kcnq2",$D$2:$D$103,"NA"),"NA"))</f>
        <v>0.10551665322451197</v>
      </c>
      <c r="K2" s="3">
        <f t="array" ref="K2">STDEV(IF($A$2:$A$103=$F2,IF($C$2:$C$103="Gapdh",$D$2:$D$103,"NA"),"NA"))</f>
        <v>9.5055569979505761E-2</v>
      </c>
      <c r="M2" s="3" t="s">
        <v>10</v>
      </c>
      <c r="N2" s="3">
        <f>AVERAGEIF($G$2:$G$18,$M2,$H$2:$H$18)</f>
        <v>24.316156493292919</v>
      </c>
      <c r="O2" s="3">
        <f t="array" ref="O2">STDEV(IF($G$2:$G$18=$M2,$H$2:$H$18,"NA"))/SQRT(6)</f>
        <v>7.094686907851272E-2</v>
      </c>
    </row>
    <row r="3" spans="1:15" x14ac:dyDescent="0.25">
      <c r="A3" s="3" t="s">
        <v>28</v>
      </c>
      <c r="B3" s="8">
        <v>2</v>
      </c>
      <c r="C3" s="23" t="s">
        <v>101</v>
      </c>
      <c r="D3" s="10">
        <v>24.127643585205078</v>
      </c>
      <c r="F3" s="3" t="s">
        <v>29</v>
      </c>
      <c r="G3" s="3" t="s">
        <v>10</v>
      </c>
      <c r="H3" s="3">
        <f t="shared" ref="H3:H18" si="0">AVERAGEIFS($D$2:$D$103,$A$2:$A$103,$F3,$C$2:$C$103,"Kcnq2")</f>
        <v>24.146207809448242</v>
      </c>
      <c r="I3" s="3">
        <f t="shared" ref="I3:I18" si="1">AVERAGEIFS($D$2:$D$103,$A$2:$A$103,$F3,$C$2:$C$103,"Gapdh")</f>
        <v>18.990870157877605</v>
      </c>
      <c r="J3" s="3">
        <f t="array" ref="J3">STDEV(IF($A$2:$A$103=$F3,IF($C$2:$C$103="Kcnq2",$D$2:$D$103,"NA"),"NA"))</f>
        <v>4.628230377039342E-2</v>
      </c>
      <c r="K3" s="3">
        <f t="array" ref="K3">STDEV(IF($A$2:$A$103=$F3,IF($C$2:$C$103="Gapdh",$D$2:$D$103,"NA"),"NA"))</f>
        <v>2.4021379968382783E-2</v>
      </c>
      <c r="M3" s="22" t="s">
        <v>102</v>
      </c>
      <c r="N3" s="3">
        <f>AVERAGEIF($G$2:$G$18,$M3,$H$2:$H$18)</f>
        <v>24.211563004387745</v>
      </c>
      <c r="O3" s="3">
        <f t="array" ref="O3">STDEV(IF($G$2:$G$18=$M3,$H$2:$H$18,"NA"))/SQRT(6)</f>
        <v>6.5876071518901513E-2</v>
      </c>
    </row>
    <row r="4" spans="1:15" x14ac:dyDescent="0.25">
      <c r="A4" s="3" t="s">
        <v>28</v>
      </c>
      <c r="B4" s="8">
        <v>3</v>
      </c>
      <c r="C4" s="23" t="s">
        <v>100</v>
      </c>
      <c r="D4" s="10">
        <v>19.145566940307617</v>
      </c>
      <c r="F4" s="3" t="s">
        <v>30</v>
      </c>
      <c r="G4" s="3" t="s">
        <v>10</v>
      </c>
      <c r="H4" s="3">
        <f t="shared" si="0"/>
        <v>24.422712961832683</v>
      </c>
      <c r="I4" s="3">
        <f t="shared" si="1"/>
        <v>19.108893712361652</v>
      </c>
      <c r="J4" s="3">
        <f t="array" ref="J4">STDEV(IF($A$2:$A$103=$F4,IF($C$2:$C$103="Kcnq2",$D$2:$D$103,"NA"),"NA"))</f>
        <v>8.3281183467278835E-2</v>
      </c>
      <c r="K4" s="3">
        <f t="array" ref="K4">STDEV(IF($A$2:$A$103=$F4,IF($C$2:$C$103="Gapdh",$D$2:$D$103,"NA"),"NA"))</f>
        <v>7.5369655681255976E-2</v>
      </c>
      <c r="M4" s="22" t="s">
        <v>54</v>
      </c>
      <c r="N4" s="3">
        <f>AVERAGEIF($G$2:$G$18,$M4,$H$2:$H$18)</f>
        <v>24.17485669453939</v>
      </c>
      <c r="O4" s="3">
        <f t="array" ref="O4">STDEV(IF($G$2:$G$18=$M4,$H$2:$H$18,"NA"))/SQRT(6)</f>
        <v>5.8506056884646704E-2</v>
      </c>
    </row>
    <row r="5" spans="1:15" x14ac:dyDescent="0.25">
      <c r="A5" s="3" t="s">
        <v>28</v>
      </c>
      <c r="B5" s="8">
        <v>1</v>
      </c>
      <c r="C5" s="23" t="s">
        <v>101</v>
      </c>
      <c r="D5" s="10">
        <v>24.245229721069336</v>
      </c>
      <c r="F5" s="3" t="s">
        <v>31</v>
      </c>
      <c r="G5" s="3" t="s">
        <v>10</v>
      </c>
      <c r="H5" s="3">
        <f t="shared" si="0"/>
        <v>24.202839533487957</v>
      </c>
      <c r="I5" s="3">
        <f t="shared" si="1"/>
        <v>19.028778076171875</v>
      </c>
      <c r="J5" s="3">
        <f t="array" ref="J5">STDEV(IF($A$2:$A$103=$F5,IF($C$2:$C$103="Kcnq2",$D$2:$D$103,"NA"),"NA"))</f>
        <v>0.11836972051157579</v>
      </c>
      <c r="K5" s="3">
        <f t="array" ref="K5">STDEV(IF($A$2:$A$103=$F5,IF($C$2:$C$103="Gapdh",$D$2:$D$103,"NA"),"NA"))</f>
        <v>7.6973439277612285E-2</v>
      </c>
    </row>
    <row r="6" spans="1:15" x14ac:dyDescent="0.25">
      <c r="A6" s="3" t="s">
        <v>28</v>
      </c>
      <c r="B6" s="8">
        <v>2</v>
      </c>
      <c r="C6" s="23" t="s">
        <v>100</v>
      </c>
      <c r="D6" s="10">
        <v>18.964822769165039</v>
      </c>
      <c r="F6" s="3" t="s">
        <v>32</v>
      </c>
      <c r="G6" s="3" t="s">
        <v>10</v>
      </c>
      <c r="H6" s="3">
        <f t="shared" si="0"/>
        <v>24.465635299682617</v>
      </c>
      <c r="I6" s="3">
        <f t="shared" si="1"/>
        <v>19.334981282552082</v>
      </c>
      <c r="J6" s="3">
        <f t="array" ref="J6">STDEV(IF($A$2:$A$103=$F6,IF($C$2:$C$103="Kcnq2",$D$2:$D$103,"NA"),"NA"))</f>
        <v>0.12493515647985308</v>
      </c>
      <c r="K6" s="3">
        <f t="array" ref="K6">STDEV(IF($A$2:$A$103=$F6,IF($C$2:$C$103="Gapdh",$D$2:$D$103,"NA"),"NA"))</f>
        <v>0.12206822665240474</v>
      </c>
      <c r="M6" s="3" t="s">
        <v>4</v>
      </c>
      <c r="N6" s="3" t="s">
        <v>103</v>
      </c>
      <c r="O6" s="3" t="s">
        <v>104</v>
      </c>
    </row>
    <row r="7" spans="1:15" x14ac:dyDescent="0.25">
      <c r="A7" s="3" t="s">
        <v>28</v>
      </c>
      <c r="B7" s="8">
        <v>3</v>
      </c>
      <c r="C7" s="23" t="s">
        <v>101</v>
      </c>
      <c r="D7" s="10">
        <v>24.034675598144531</v>
      </c>
      <c r="F7" s="3" t="s">
        <v>33</v>
      </c>
      <c r="G7" s="3" t="s">
        <v>10</v>
      </c>
      <c r="H7" s="3">
        <f t="shared" si="0"/>
        <v>24.523693720499676</v>
      </c>
      <c r="I7" s="3">
        <f t="shared" si="1"/>
        <v>19.363196690877277</v>
      </c>
      <c r="J7" s="3">
        <f t="array" ref="J7">STDEV(IF($A$2:$A$103=$F7,IF($C$2:$C$103="Kcnq2",$D$2:$D$103,"NA"),"NA"))</f>
        <v>3.7131869148304492E-2</v>
      </c>
      <c r="K7" s="3">
        <f t="array" ref="K7">STDEV(IF($A$2:$A$103=$F7,IF($C$2:$C$103="Gapdh",$D$2:$D$103,"NA"),"NA"))</f>
        <v>7.007693003854859E-2</v>
      </c>
      <c r="M7" s="3" t="s">
        <v>10</v>
      </c>
      <c r="N7" s="3">
        <f>AVERAGEIF($G$2:$G$18,$M7,$I$2:$I$18)</f>
        <v>19.144150098164875</v>
      </c>
      <c r="O7" s="3">
        <f t="array" ref="O7">STDEV(IF($G$2:$G$18=$M7,$I$2:$I$18,"NA"))/SQRT(6)</f>
        <v>6.6752260109718714E-2</v>
      </c>
    </row>
    <row r="8" spans="1:15" x14ac:dyDescent="0.25">
      <c r="A8" s="3" t="s">
        <v>29</v>
      </c>
      <c r="B8" s="8">
        <v>1</v>
      </c>
      <c r="C8" s="23" t="s">
        <v>100</v>
      </c>
      <c r="D8" s="10">
        <v>18.982841491699219</v>
      </c>
      <c r="F8" s="3" t="s">
        <v>34</v>
      </c>
      <c r="G8" s="22" t="s">
        <v>102</v>
      </c>
      <c r="H8" s="3">
        <f t="shared" si="0"/>
        <v>24.122762044270832</v>
      </c>
      <c r="I8" s="3">
        <f t="shared" si="1"/>
        <v>19.15723482767741</v>
      </c>
      <c r="J8" s="3">
        <f t="array" ref="J8">STDEV(IF($A$2:$A$103=$F8,IF($C$2:$C$103="Kcnq2",$D$2:$D$103,"NA"),"NA"))</f>
        <v>0.10729108946544039</v>
      </c>
      <c r="K8" s="3">
        <f t="array" ref="K8">STDEV(IF($A$2:$A$103=$F8,IF($C$2:$C$103="Gapdh",$D$2:$D$103,"NA"),"NA"))</f>
        <v>0.12197550236383521</v>
      </c>
      <c r="M8" s="22" t="s">
        <v>102</v>
      </c>
      <c r="N8" s="3">
        <f>AVERAGEIF($G$2:$G$18,$M8,$I$2:$I$18)</f>
        <v>19.14158492618137</v>
      </c>
      <c r="O8" s="3">
        <f t="array" ref="O8">STDEV(IF($G$2:$G$18=$M8,$I$2:$I$18,"NA"))/SQRT(6)</f>
        <v>6.2953003360690429E-2</v>
      </c>
    </row>
    <row r="9" spans="1:15" x14ac:dyDescent="0.25">
      <c r="A9" s="3" t="s">
        <v>29</v>
      </c>
      <c r="B9" s="8">
        <v>2</v>
      </c>
      <c r="C9" s="23" t="s">
        <v>101</v>
      </c>
      <c r="D9" s="10">
        <v>24.133687973022461</v>
      </c>
      <c r="F9" s="3" t="s">
        <v>35</v>
      </c>
      <c r="G9" s="22" t="s">
        <v>102</v>
      </c>
      <c r="H9" s="3">
        <f t="shared" si="0"/>
        <v>24.433383305867512</v>
      </c>
      <c r="I9" s="3">
        <f t="shared" si="1"/>
        <v>19.419701258341473</v>
      </c>
      <c r="J9" s="3">
        <f t="array" ref="J9">STDEV(IF($A$2:$A$103=$F9,IF($C$2:$C$103="Kcnq2",$D$2:$D$103,"NA"),"NA"))</f>
        <v>5.0656319744796355E-2</v>
      </c>
      <c r="K9" s="3">
        <f t="array" ref="K9">STDEV(IF($A$2:$A$103=$F9,IF($C$2:$C$103="Gapdh",$D$2:$D$103,"NA"),"NA"))</f>
        <v>3.7422609926245499E-2</v>
      </c>
      <c r="M9" s="22" t="s">
        <v>54</v>
      </c>
      <c r="N9" s="3">
        <f>AVERAGEIF($G$2:$G$18,$M9,$I$2:$I$18)</f>
        <v>19.205042139689127</v>
      </c>
      <c r="O9" s="3">
        <f t="array" ref="O9">STDEV(IF($G$2:$G$18=$M9,$I$2:$I$18,"NA"))/SQRT(6)</f>
        <v>7.6172031609424734E-2</v>
      </c>
    </row>
    <row r="10" spans="1:15" x14ac:dyDescent="0.25">
      <c r="A10" s="3" t="s">
        <v>29</v>
      </c>
      <c r="B10" s="8">
        <v>3</v>
      </c>
      <c r="C10" s="23" t="s">
        <v>100</v>
      </c>
      <c r="D10" s="10">
        <v>19.017877578735352</v>
      </c>
      <c r="F10" s="3" t="s">
        <v>36</v>
      </c>
      <c r="G10" s="22" t="s">
        <v>102</v>
      </c>
      <c r="H10" s="3">
        <f t="shared" si="0"/>
        <v>24.200236638387043</v>
      </c>
      <c r="I10" s="3">
        <f t="shared" si="1"/>
        <v>19.167057037353516</v>
      </c>
      <c r="J10" s="3">
        <f t="array" ref="J10">STDEV(IF($A$2:$A$103=$F10,IF($C$2:$C$103="Kcnq2",$D$2:$D$103,"NA"),"NA"))</f>
        <v>1.670869815343641E-2</v>
      </c>
      <c r="K10" s="3">
        <f t="array" ref="K10">STDEV(IF($A$2:$A$103=$F10,IF($C$2:$C$103="Gapdh",$D$2:$D$103,"NA"),"NA"))</f>
        <v>2.1870855850637725E-2</v>
      </c>
    </row>
    <row r="11" spans="1:15" x14ac:dyDescent="0.25">
      <c r="A11" s="3" t="s">
        <v>29</v>
      </c>
      <c r="B11" s="8">
        <v>1</v>
      </c>
      <c r="C11" s="23" t="s">
        <v>101</v>
      </c>
      <c r="D11" s="10">
        <v>24.19746208190918</v>
      </c>
      <c r="F11" s="3" t="s">
        <v>37</v>
      </c>
      <c r="G11" s="22" t="s">
        <v>102</v>
      </c>
      <c r="H11" s="3">
        <f t="shared" si="0"/>
        <v>24.032878239949543</v>
      </c>
      <c r="I11" s="3">
        <f t="shared" si="1"/>
        <v>18.980026245117188</v>
      </c>
      <c r="J11" s="3">
        <f t="array" ref="J11">STDEV(IF($A$2:$A$103=$F11,IF($C$2:$C$103="Kcnq2",$D$2:$D$103,"NA"),"NA"))</f>
        <v>3.8495660060815035E-2</v>
      </c>
      <c r="K11" s="3">
        <f t="array" ref="K11">STDEV(IF($A$2:$A$103=$F11,IF($C$2:$C$103="Gapdh",$D$2:$D$103,"NA"),"NA"))</f>
        <v>4.2267620341229339E-3</v>
      </c>
    </row>
    <row r="12" spans="1:15" x14ac:dyDescent="0.25">
      <c r="A12" s="3" t="s">
        <v>29</v>
      </c>
      <c r="B12" s="8">
        <v>2</v>
      </c>
      <c r="C12" s="23" t="s">
        <v>100</v>
      </c>
      <c r="D12" s="10">
        <v>18.971891403198242</v>
      </c>
      <c r="F12" s="3" t="s">
        <v>38</v>
      </c>
      <c r="G12" s="22" t="s">
        <v>102</v>
      </c>
      <c r="H12" s="3">
        <f t="shared" si="0"/>
        <v>24.099667867024738</v>
      </c>
      <c r="I12" s="3">
        <f t="shared" si="1"/>
        <v>19.095282236735027</v>
      </c>
      <c r="J12" s="3">
        <f t="array" ref="J12">STDEV(IF($A$2:$A$103=$F12,IF($C$2:$C$103="Kcnq2",$D$2:$D$103,"NA"),"NA"))</f>
        <v>4.8101621408807325E-2</v>
      </c>
      <c r="K12" s="3">
        <f t="array" ref="K12">STDEV(IF($A$2:$A$103=$F12,IF($C$2:$C$103="Gapdh",$D$2:$D$103,"NA"),"NA"))</f>
        <v>4.4166708319053422E-2</v>
      </c>
    </row>
    <row r="13" spans="1:15" x14ac:dyDescent="0.25">
      <c r="A13" s="3" t="s">
        <v>29</v>
      </c>
      <c r="B13" s="8">
        <v>3</v>
      </c>
      <c r="C13" s="23" t="s">
        <v>101</v>
      </c>
      <c r="D13" s="10">
        <v>24.107473373413086</v>
      </c>
      <c r="F13" s="3" t="s">
        <v>39</v>
      </c>
      <c r="G13" s="22" t="s">
        <v>102</v>
      </c>
      <c r="H13" s="3">
        <f t="shared" si="0"/>
        <v>24.380449930826824</v>
      </c>
      <c r="I13" s="3">
        <f t="shared" si="1"/>
        <v>19.030207951863606</v>
      </c>
      <c r="J13" s="3">
        <f t="array" ref="J13">STDEV(IF($A$2:$A$103=$F13,IF($C$2:$C$103="Kcnq2",$D$2:$D$103,"NA"),"NA"))</f>
        <v>1.3811877336160313E-2</v>
      </c>
      <c r="K13" s="3">
        <f t="array" ref="K13">STDEV(IF($A$2:$A$103=$F13,IF($C$2:$C$103="Gapdh",$D$2:$D$103,"NA"),"NA"))</f>
        <v>3.0339299728723196E-2</v>
      </c>
    </row>
    <row r="14" spans="1:15" x14ac:dyDescent="0.25">
      <c r="A14" s="3" t="s">
        <v>30</v>
      </c>
      <c r="B14" s="8">
        <v>1</v>
      </c>
      <c r="C14" s="23" t="s">
        <v>100</v>
      </c>
      <c r="D14" s="10">
        <v>19.161401748657227</v>
      </c>
      <c r="F14" s="3" t="s">
        <v>40</v>
      </c>
      <c r="G14" s="22" t="s">
        <v>54</v>
      </c>
      <c r="H14" s="3">
        <f t="shared" si="0"/>
        <v>24.053265889485676</v>
      </c>
      <c r="I14" s="3">
        <f t="shared" si="1"/>
        <v>19.162000020345051</v>
      </c>
      <c r="J14" s="3">
        <f t="array" ref="J14">STDEV(IF($A$2:$A$103=$F14,IF($C$2:$C$103="Kcnq2",$D$2:$D$103,"NA"),"NA"))</f>
        <v>0.12718826029044739</v>
      </c>
      <c r="K14" s="3">
        <f t="array" ref="K14">STDEV(IF($A$2:$A$103=$F14,IF($C$2:$C$103="Gapdh",$D$2:$D$103,"NA"),"NA"))</f>
        <v>0.12611933885565393</v>
      </c>
    </row>
    <row r="15" spans="1:15" x14ac:dyDescent="0.25">
      <c r="A15" s="3" t="s">
        <v>30</v>
      </c>
      <c r="B15" s="8">
        <v>2</v>
      </c>
      <c r="C15" s="23" t="s">
        <v>101</v>
      </c>
      <c r="D15" s="10">
        <v>24.474372863769531</v>
      </c>
      <c r="F15" s="3" t="s">
        <v>41</v>
      </c>
      <c r="G15" s="22" t="s">
        <v>54</v>
      </c>
      <c r="H15" s="3">
        <f t="shared" si="0"/>
        <v>24.187728246053059</v>
      </c>
      <c r="I15" s="3">
        <f t="shared" si="1"/>
        <v>19.023346583048504</v>
      </c>
      <c r="J15" s="3">
        <f t="array" ref="J15">STDEV(IF($A$2:$A$103=$F15,IF($C$2:$C$103="Kcnq2",$D$2:$D$103,"NA"),"NA"))</f>
        <v>0.11302823833560781</v>
      </c>
      <c r="K15" s="3">
        <f t="array" ref="K15">STDEV(IF($A$2:$A$103=$F15,IF($C$2:$C$103="Gapdh",$D$2:$D$103,"NA"),"NA"))</f>
        <v>8.2098841988813648E-2</v>
      </c>
    </row>
    <row r="16" spans="1:15" x14ac:dyDescent="0.25">
      <c r="A16" s="3" t="s">
        <v>30</v>
      </c>
      <c r="B16" s="8">
        <v>3</v>
      </c>
      <c r="C16" s="23" t="s">
        <v>100</v>
      </c>
      <c r="D16" s="10">
        <v>19.022533416748047</v>
      </c>
      <c r="F16" s="3" t="s">
        <v>42</v>
      </c>
      <c r="G16" s="22" t="s">
        <v>54</v>
      </c>
      <c r="H16" s="3">
        <f t="shared" si="0"/>
        <v>24.006648381551106</v>
      </c>
      <c r="I16" s="3">
        <f t="shared" si="1"/>
        <v>19.060584386189777</v>
      </c>
      <c r="J16" s="3">
        <f t="array" ref="J16">STDEV(IF($A$2:$A$103=$F16,IF($C$2:$C$103="Kcnq2",$D$2:$D$103,"NA"),"NA"))</f>
        <v>4.0593380563099156E-2</v>
      </c>
      <c r="K16" s="3">
        <f t="array" ref="K16">STDEV(IF($A$2:$A$103=$F16,IF($C$2:$C$103="Gapdh",$D$2:$D$103,"NA"),"NA"))</f>
        <v>4.2785629580486512E-2</v>
      </c>
    </row>
    <row r="17" spans="1:11" x14ac:dyDescent="0.25">
      <c r="A17" s="3" t="s">
        <v>30</v>
      </c>
      <c r="B17" s="8">
        <v>1</v>
      </c>
      <c r="C17" s="23" t="s">
        <v>101</v>
      </c>
      <c r="D17" s="10">
        <v>24.326639175415039</v>
      </c>
      <c r="F17" s="22" t="s">
        <v>43</v>
      </c>
      <c r="G17" s="22" t="s">
        <v>54</v>
      </c>
      <c r="H17" s="22">
        <f t="shared" si="0"/>
        <v>24.296549479166668</v>
      </c>
      <c r="I17" s="22">
        <f t="shared" si="1"/>
        <v>19.477291742960613</v>
      </c>
      <c r="J17" s="22">
        <f t="array" ref="J17">STDEV(IF($A$2:$A$103=$F17,IF($C$2:$C$103="Kcnq2",$D$2:$D$103,"NA"),"NA"))</f>
        <v>5.806100239614638E-2</v>
      </c>
      <c r="K17" s="22">
        <f t="array" ref="K17">STDEV(IF($A$2:$A$103=$F17,IF($C$2:$C$103="Gapdh",$D$2:$D$103,"NA"),"NA"))</f>
        <v>5.588323079325163E-2</v>
      </c>
    </row>
    <row r="18" spans="1:11" x14ac:dyDescent="0.25">
      <c r="A18" s="3" t="s">
        <v>30</v>
      </c>
      <c r="B18" s="8">
        <v>2</v>
      </c>
      <c r="C18" s="23" t="s">
        <v>100</v>
      </c>
      <c r="D18" s="10">
        <v>19.142745971679688</v>
      </c>
      <c r="F18" s="3" t="s">
        <v>44</v>
      </c>
      <c r="G18" s="22" t="s">
        <v>54</v>
      </c>
      <c r="H18" s="3">
        <f t="shared" si="0"/>
        <v>24.33009147644043</v>
      </c>
      <c r="I18" s="3">
        <f t="shared" si="1"/>
        <v>19.301987965901692</v>
      </c>
      <c r="J18" s="3">
        <f t="array" ref="J18">STDEV(IF($A$2:$A$103=$F18,IF($C$2:$C$103="Kcnq2",$D$2:$D$103,"NA"),"NA"))</f>
        <v>9.8742287728386197E-2</v>
      </c>
      <c r="K18" s="3">
        <f t="array" ref="K18">STDEV(IF($A$2:$A$103=$F18,IF($C$2:$C$103="Gapdh",$D$2:$D$103,"NA"),"NA"))</f>
        <v>0.12607730429276653</v>
      </c>
    </row>
    <row r="19" spans="1:11" x14ac:dyDescent="0.25">
      <c r="A19" s="3" t="s">
        <v>30</v>
      </c>
      <c r="B19" s="8">
        <v>3</v>
      </c>
      <c r="C19" s="23" t="s">
        <v>101</v>
      </c>
      <c r="D19" s="10">
        <v>24.467126846313477</v>
      </c>
    </row>
    <row r="20" spans="1:11" x14ac:dyDescent="0.25">
      <c r="A20" s="3" t="s">
        <v>31</v>
      </c>
      <c r="B20" s="8">
        <v>1</v>
      </c>
      <c r="C20" s="23" t="s">
        <v>100</v>
      </c>
      <c r="D20" s="10">
        <v>19.114967346191406</v>
      </c>
    </row>
    <row r="21" spans="1:11" x14ac:dyDescent="0.25">
      <c r="A21" s="3" t="s">
        <v>31</v>
      </c>
      <c r="B21" s="8">
        <v>2</v>
      </c>
      <c r="C21" s="23" t="s">
        <v>101</v>
      </c>
      <c r="D21" s="10">
        <v>24.338617324829102</v>
      </c>
    </row>
    <row r="22" spans="1:11" x14ac:dyDescent="0.25">
      <c r="A22" s="3" t="s">
        <v>31</v>
      </c>
      <c r="B22" s="8">
        <v>3</v>
      </c>
      <c r="C22" s="23" t="s">
        <v>100</v>
      </c>
      <c r="D22" s="10">
        <v>19.004484176635742</v>
      </c>
    </row>
    <row r="23" spans="1:11" x14ac:dyDescent="0.25">
      <c r="A23" s="3" t="s">
        <v>31</v>
      </c>
      <c r="B23" s="8">
        <v>1</v>
      </c>
      <c r="C23" s="23" t="s">
        <v>101</v>
      </c>
      <c r="D23" s="10">
        <v>24.148540496826172</v>
      </c>
    </row>
    <row r="24" spans="1:11" x14ac:dyDescent="0.25">
      <c r="A24" s="3" t="s">
        <v>31</v>
      </c>
      <c r="B24" s="8">
        <v>2</v>
      </c>
      <c r="C24" s="23" t="s">
        <v>100</v>
      </c>
      <c r="D24" s="10">
        <v>18.966882705688477</v>
      </c>
    </row>
    <row r="25" spans="1:11" x14ac:dyDescent="0.25">
      <c r="A25" s="3" t="s">
        <v>31</v>
      </c>
      <c r="B25" s="8">
        <v>3</v>
      </c>
      <c r="C25" s="23" t="s">
        <v>101</v>
      </c>
      <c r="D25" s="10">
        <v>24.121360778808594</v>
      </c>
    </row>
    <row r="26" spans="1:11" x14ac:dyDescent="0.25">
      <c r="A26" s="3" t="s">
        <v>32</v>
      </c>
      <c r="B26" s="8">
        <v>1</v>
      </c>
      <c r="C26" s="23" t="s">
        <v>100</v>
      </c>
      <c r="D26" s="10">
        <v>19.265213012695313</v>
      </c>
    </row>
    <row r="27" spans="1:11" x14ac:dyDescent="0.25">
      <c r="A27" s="3" t="s">
        <v>32</v>
      </c>
      <c r="B27" s="8">
        <v>2</v>
      </c>
      <c r="C27" s="23" t="s">
        <v>101</v>
      </c>
      <c r="D27" s="10">
        <v>24.400028228759766</v>
      </c>
      <c r="J27" s="7"/>
    </row>
    <row r="28" spans="1:11" x14ac:dyDescent="0.25">
      <c r="A28" s="3" t="s">
        <v>32</v>
      </c>
      <c r="B28" s="8">
        <v>3</v>
      </c>
      <c r="C28" s="23" t="s">
        <v>100</v>
      </c>
      <c r="D28" s="10">
        <v>19.263799667358398</v>
      </c>
      <c r="J28" s="7"/>
    </row>
    <row r="29" spans="1:11" x14ac:dyDescent="0.25">
      <c r="A29" s="3" t="s">
        <v>32</v>
      </c>
      <c r="B29" s="8">
        <v>1</v>
      </c>
      <c r="C29" s="23" t="s">
        <v>101</v>
      </c>
      <c r="D29" s="10">
        <v>24.387170791625977</v>
      </c>
    </row>
    <row r="30" spans="1:11" x14ac:dyDescent="0.25">
      <c r="A30" s="3" t="s">
        <v>32</v>
      </c>
      <c r="B30" s="8">
        <v>2</v>
      </c>
      <c r="C30" s="23" t="s">
        <v>100</v>
      </c>
      <c r="D30" s="10">
        <v>19.475931167602539</v>
      </c>
    </row>
    <row r="31" spans="1:11" x14ac:dyDescent="0.25">
      <c r="A31" s="3" t="s">
        <v>32</v>
      </c>
      <c r="B31" s="8">
        <v>3</v>
      </c>
      <c r="C31" s="23" t="s">
        <v>101</v>
      </c>
      <c r="D31" s="10">
        <v>24.609706878662109</v>
      </c>
    </row>
    <row r="32" spans="1:11" x14ac:dyDescent="0.25">
      <c r="A32" s="3" t="s">
        <v>33</v>
      </c>
      <c r="B32" s="8">
        <v>1</v>
      </c>
      <c r="C32" s="23" t="s">
        <v>100</v>
      </c>
      <c r="D32" s="10">
        <v>19.431034088134766</v>
      </c>
    </row>
    <row r="33" spans="1:4" x14ac:dyDescent="0.25">
      <c r="A33" s="3" t="s">
        <v>33</v>
      </c>
      <c r="B33" s="8">
        <v>2</v>
      </c>
      <c r="C33" s="23" t="s">
        <v>101</v>
      </c>
      <c r="D33" s="10">
        <v>24.564109802246094</v>
      </c>
    </row>
    <row r="34" spans="1:4" x14ac:dyDescent="0.25">
      <c r="A34" s="3" t="s">
        <v>33</v>
      </c>
      <c r="B34" s="8">
        <v>3</v>
      </c>
      <c r="C34" s="23" t="s">
        <v>100</v>
      </c>
      <c r="D34" s="10">
        <v>19.36747932434082</v>
      </c>
    </row>
    <row r="35" spans="1:4" x14ac:dyDescent="0.25">
      <c r="A35" s="3" t="s">
        <v>33</v>
      </c>
      <c r="B35" s="8">
        <v>1</v>
      </c>
      <c r="C35" s="23" t="s">
        <v>101</v>
      </c>
      <c r="D35" s="10">
        <v>24.51588249206543</v>
      </c>
    </row>
    <row r="36" spans="1:4" x14ac:dyDescent="0.25">
      <c r="A36" s="3" t="s">
        <v>33</v>
      </c>
      <c r="B36" s="8">
        <v>2</v>
      </c>
      <c r="C36" s="23" t="s">
        <v>100</v>
      </c>
      <c r="D36" s="10">
        <v>19.29107666015625</v>
      </c>
    </row>
    <row r="37" spans="1:4" x14ac:dyDescent="0.25">
      <c r="A37" s="3" t="s">
        <v>33</v>
      </c>
      <c r="B37" s="8">
        <v>3</v>
      </c>
      <c r="C37" s="23" t="s">
        <v>101</v>
      </c>
      <c r="D37" s="10">
        <v>24.4910888671875</v>
      </c>
    </row>
    <row r="38" spans="1:4" x14ac:dyDescent="0.25">
      <c r="A38" s="3" t="s">
        <v>34</v>
      </c>
      <c r="B38" s="8">
        <v>1</v>
      </c>
      <c r="C38" s="23" t="s">
        <v>100</v>
      </c>
      <c r="D38" s="10">
        <v>19.285877227783203</v>
      </c>
    </row>
    <row r="39" spans="1:4" x14ac:dyDescent="0.25">
      <c r="A39" s="3" t="s">
        <v>34</v>
      </c>
      <c r="B39" s="8">
        <v>2</v>
      </c>
      <c r="C39" s="23" t="s">
        <v>101</v>
      </c>
      <c r="D39" s="10">
        <v>24.243518829345703</v>
      </c>
    </row>
    <row r="40" spans="1:4" x14ac:dyDescent="0.25">
      <c r="A40" s="3" t="s">
        <v>34</v>
      </c>
      <c r="B40" s="8">
        <v>3</v>
      </c>
      <c r="C40" s="23" t="s">
        <v>100</v>
      </c>
      <c r="D40" s="10">
        <v>19.142576217651367</v>
      </c>
    </row>
    <row r="41" spans="1:4" x14ac:dyDescent="0.25">
      <c r="A41" s="3" t="s">
        <v>34</v>
      </c>
      <c r="B41" s="8">
        <v>1</v>
      </c>
      <c r="C41" s="23" t="s">
        <v>101</v>
      </c>
      <c r="D41" s="10">
        <v>24.086357116699219</v>
      </c>
    </row>
    <row r="42" spans="1:4" x14ac:dyDescent="0.25">
      <c r="A42" s="3" t="s">
        <v>34</v>
      </c>
      <c r="B42" s="8">
        <v>2</v>
      </c>
      <c r="C42" s="23" t="s">
        <v>100</v>
      </c>
      <c r="D42" s="10">
        <v>19.043251037597656</v>
      </c>
    </row>
    <row r="43" spans="1:4" x14ac:dyDescent="0.25">
      <c r="A43" s="3" t="s">
        <v>34</v>
      </c>
      <c r="B43" s="8">
        <v>3</v>
      </c>
      <c r="C43" s="23" t="s">
        <v>101</v>
      </c>
      <c r="D43" s="10">
        <v>24.038410186767578</v>
      </c>
    </row>
    <row r="44" spans="1:4" x14ac:dyDescent="0.25">
      <c r="A44" s="3" t="s">
        <v>35</v>
      </c>
      <c r="B44" s="8">
        <v>1</v>
      </c>
      <c r="C44" s="23" t="s">
        <v>100</v>
      </c>
      <c r="D44" s="10">
        <v>19.381746292114258</v>
      </c>
    </row>
    <row r="45" spans="1:4" x14ac:dyDescent="0.25">
      <c r="A45" s="3" t="s">
        <v>35</v>
      </c>
      <c r="B45" s="8">
        <v>2</v>
      </c>
      <c r="C45" s="23" t="s">
        <v>101</v>
      </c>
      <c r="D45" s="10">
        <v>24.403078079223633</v>
      </c>
    </row>
    <row r="46" spans="1:4" x14ac:dyDescent="0.25">
      <c r="A46" s="3" t="s">
        <v>35</v>
      </c>
      <c r="B46" s="8">
        <v>3</v>
      </c>
      <c r="C46" s="23" t="s">
        <v>100</v>
      </c>
      <c r="D46" s="10">
        <v>19.456567764282227</v>
      </c>
    </row>
    <row r="47" spans="1:4" x14ac:dyDescent="0.25">
      <c r="A47" s="3" t="s">
        <v>35</v>
      </c>
      <c r="B47" s="8">
        <v>1</v>
      </c>
      <c r="C47" s="23" t="s">
        <v>101</v>
      </c>
      <c r="D47" s="10">
        <v>24.491863250732422</v>
      </c>
    </row>
    <row r="48" spans="1:4" x14ac:dyDescent="0.25">
      <c r="A48" s="3" t="s">
        <v>35</v>
      </c>
      <c r="B48" s="8">
        <v>2</v>
      </c>
      <c r="C48" s="23" t="s">
        <v>100</v>
      </c>
      <c r="D48" s="10">
        <v>19.42078971862793</v>
      </c>
    </row>
    <row r="49" spans="1:4" x14ac:dyDescent="0.25">
      <c r="A49" s="3" t="s">
        <v>35</v>
      </c>
      <c r="B49" s="8">
        <v>3</v>
      </c>
      <c r="C49" s="23" t="s">
        <v>101</v>
      </c>
      <c r="D49" s="10">
        <v>24.405208587646484</v>
      </c>
    </row>
    <row r="50" spans="1:4" x14ac:dyDescent="0.25">
      <c r="A50" s="3" t="s">
        <v>36</v>
      </c>
      <c r="B50" s="8">
        <v>1</v>
      </c>
      <c r="C50" s="23" t="s">
        <v>100</v>
      </c>
      <c r="D50" s="10">
        <v>19.144147872924805</v>
      </c>
    </row>
    <row r="51" spans="1:4" x14ac:dyDescent="0.25">
      <c r="A51" s="3" t="s">
        <v>36</v>
      </c>
      <c r="B51" s="8">
        <v>2</v>
      </c>
      <c r="C51" s="23" t="s">
        <v>101</v>
      </c>
      <c r="D51" s="10">
        <v>24.181241989135742</v>
      </c>
    </row>
    <row r="52" spans="1:4" x14ac:dyDescent="0.25">
      <c r="A52" s="3" t="s">
        <v>36</v>
      </c>
      <c r="B52" s="8">
        <v>3</v>
      </c>
      <c r="C52" s="23" t="s">
        <v>100</v>
      </c>
      <c r="D52" s="10">
        <v>19.169307708740234</v>
      </c>
    </row>
    <row r="53" spans="1:4" x14ac:dyDescent="0.25">
      <c r="A53" s="3" t="s">
        <v>36</v>
      </c>
      <c r="B53" s="8">
        <v>1</v>
      </c>
      <c r="C53" s="23" t="s">
        <v>101</v>
      </c>
      <c r="D53" s="10">
        <v>24.212663650512695</v>
      </c>
    </row>
    <row r="54" spans="1:4" x14ac:dyDescent="0.25">
      <c r="A54" s="3" t="s">
        <v>36</v>
      </c>
      <c r="B54" s="8">
        <v>2</v>
      </c>
      <c r="C54" s="23" t="s">
        <v>100</v>
      </c>
      <c r="D54" s="10">
        <v>19.187715530395508</v>
      </c>
    </row>
    <row r="55" spans="1:4" x14ac:dyDescent="0.25">
      <c r="A55" s="3" t="s">
        <v>36</v>
      </c>
      <c r="B55" s="8">
        <v>3</v>
      </c>
      <c r="C55" s="23" t="s">
        <v>101</v>
      </c>
      <c r="D55" s="10">
        <v>24.206804275512695</v>
      </c>
    </row>
    <row r="56" spans="1:4" x14ac:dyDescent="0.25">
      <c r="A56" s="3" t="s">
        <v>37</v>
      </c>
      <c r="B56" s="8">
        <v>1</v>
      </c>
      <c r="C56" s="23" t="s">
        <v>100</v>
      </c>
      <c r="D56" s="10">
        <v>18.976810455322266</v>
      </c>
    </row>
    <row r="57" spans="1:4" x14ac:dyDescent="0.25">
      <c r="A57" s="3" t="s">
        <v>37</v>
      </c>
      <c r="B57" s="8">
        <v>2</v>
      </c>
      <c r="C57" s="23" t="s">
        <v>101</v>
      </c>
      <c r="D57" s="10">
        <v>24.035703659057617</v>
      </c>
    </row>
    <row r="58" spans="1:4" x14ac:dyDescent="0.25">
      <c r="A58" s="3" t="s">
        <v>37</v>
      </c>
      <c r="B58" s="8">
        <v>3</v>
      </c>
      <c r="C58" s="23" t="s">
        <v>100</v>
      </c>
      <c r="D58" s="10">
        <v>18.97845458984375</v>
      </c>
    </row>
    <row r="59" spans="1:4" x14ac:dyDescent="0.25">
      <c r="A59" s="3" t="s">
        <v>37</v>
      </c>
      <c r="B59" s="8">
        <v>1</v>
      </c>
      <c r="C59" s="23" t="s">
        <v>101</v>
      </c>
      <c r="D59" s="10">
        <v>23.993047714233398</v>
      </c>
    </row>
    <row r="60" spans="1:4" x14ac:dyDescent="0.25">
      <c r="A60" s="3" t="s">
        <v>37</v>
      </c>
      <c r="B60" s="8">
        <v>2</v>
      </c>
      <c r="C60" s="23" t="s">
        <v>100</v>
      </c>
      <c r="D60" s="10">
        <v>18.984813690185547</v>
      </c>
    </row>
    <row r="61" spans="1:4" x14ac:dyDescent="0.25">
      <c r="A61" s="3" t="s">
        <v>37</v>
      </c>
      <c r="B61" s="8">
        <v>3</v>
      </c>
      <c r="C61" s="23" t="s">
        <v>101</v>
      </c>
      <c r="D61" s="10">
        <v>24.069883346557617</v>
      </c>
    </row>
    <row r="62" spans="1:4" x14ac:dyDescent="0.25">
      <c r="A62" s="3" t="s">
        <v>38</v>
      </c>
      <c r="B62" s="8">
        <v>1</v>
      </c>
      <c r="C62" s="23" t="s">
        <v>100</v>
      </c>
      <c r="D62" s="10">
        <v>19.141857147216797</v>
      </c>
    </row>
    <row r="63" spans="1:4" x14ac:dyDescent="0.25">
      <c r="A63" s="3" t="s">
        <v>38</v>
      </c>
      <c r="B63" s="8">
        <v>2</v>
      </c>
      <c r="C63" s="23" t="s">
        <v>101</v>
      </c>
      <c r="D63" s="10">
        <v>24.111825942993164</v>
      </c>
    </row>
    <row r="64" spans="1:4" x14ac:dyDescent="0.25">
      <c r="A64" s="3" t="s">
        <v>38</v>
      </c>
      <c r="B64" s="8">
        <v>3</v>
      </c>
      <c r="C64" s="23" t="s">
        <v>100</v>
      </c>
      <c r="D64" s="10">
        <v>19.054000854492188</v>
      </c>
    </row>
    <row r="65" spans="1:4" x14ac:dyDescent="0.25">
      <c r="A65" s="3" t="s">
        <v>38</v>
      </c>
      <c r="B65" s="8">
        <v>1</v>
      </c>
      <c r="C65" s="23" t="s">
        <v>101</v>
      </c>
      <c r="D65" s="10">
        <v>24.046653747558594</v>
      </c>
    </row>
    <row r="66" spans="1:4" x14ac:dyDescent="0.25">
      <c r="A66" s="3" t="s">
        <v>38</v>
      </c>
      <c r="B66" s="8">
        <v>2</v>
      </c>
      <c r="C66" s="23" t="s">
        <v>100</v>
      </c>
      <c r="D66" s="10">
        <v>19.089988708496094</v>
      </c>
    </row>
    <row r="67" spans="1:4" x14ac:dyDescent="0.25">
      <c r="A67" s="3" t="s">
        <v>38</v>
      </c>
      <c r="B67" s="8">
        <v>3</v>
      </c>
      <c r="C67" s="23" t="s">
        <v>101</v>
      </c>
      <c r="D67" s="10">
        <v>24.140523910522461</v>
      </c>
    </row>
    <row r="68" spans="1:4" x14ac:dyDescent="0.25">
      <c r="A68" s="3" t="s">
        <v>39</v>
      </c>
      <c r="B68" s="8">
        <v>1</v>
      </c>
      <c r="C68" s="23" t="s">
        <v>100</v>
      </c>
      <c r="D68" s="10">
        <v>18.998998641967773</v>
      </c>
    </row>
    <row r="69" spans="1:4" x14ac:dyDescent="0.25">
      <c r="A69" s="3" t="s">
        <v>39</v>
      </c>
      <c r="B69" s="8">
        <v>2</v>
      </c>
      <c r="C69" s="23" t="s">
        <v>101</v>
      </c>
      <c r="D69" s="10">
        <v>24.372053146362305</v>
      </c>
    </row>
    <row r="70" spans="1:4" x14ac:dyDescent="0.25">
      <c r="A70" s="3" t="s">
        <v>39</v>
      </c>
      <c r="B70" s="8">
        <v>3</v>
      </c>
      <c r="C70" s="23" t="s">
        <v>100</v>
      </c>
      <c r="D70" s="10">
        <v>19.059595108032227</v>
      </c>
    </row>
    <row r="71" spans="1:4" x14ac:dyDescent="0.25">
      <c r="A71" s="3" t="s">
        <v>39</v>
      </c>
      <c r="B71" s="8">
        <v>1</v>
      </c>
      <c r="C71" s="23" t="s">
        <v>101</v>
      </c>
      <c r="D71" s="10">
        <v>24.372905731201172</v>
      </c>
    </row>
    <row r="72" spans="1:4" x14ac:dyDescent="0.25">
      <c r="A72" s="3" t="s">
        <v>39</v>
      </c>
      <c r="B72" s="8">
        <v>2</v>
      </c>
      <c r="C72" s="23" t="s">
        <v>100</v>
      </c>
      <c r="D72" s="10">
        <v>19.03203010559082</v>
      </c>
    </row>
    <row r="73" spans="1:4" x14ac:dyDescent="0.25">
      <c r="A73" s="3" t="s">
        <v>39</v>
      </c>
      <c r="B73" s="8">
        <v>3</v>
      </c>
      <c r="C73" s="23" t="s">
        <v>101</v>
      </c>
      <c r="D73" s="10">
        <v>24.396390914916992</v>
      </c>
    </row>
    <row r="74" spans="1:4" x14ac:dyDescent="0.25">
      <c r="A74" s="3" t="s">
        <v>40</v>
      </c>
      <c r="B74" s="8">
        <v>1</v>
      </c>
      <c r="C74" s="23" t="s">
        <v>100</v>
      </c>
      <c r="D74" s="10">
        <v>19.192022323608398</v>
      </c>
    </row>
    <row r="75" spans="1:4" x14ac:dyDescent="0.25">
      <c r="A75" s="3" t="s">
        <v>40</v>
      </c>
      <c r="B75" s="8">
        <v>2</v>
      </c>
      <c r="C75" s="23" t="s">
        <v>101</v>
      </c>
      <c r="D75" s="10">
        <v>24.033866882324219</v>
      </c>
    </row>
    <row r="76" spans="1:4" x14ac:dyDescent="0.25">
      <c r="A76" s="3" t="s">
        <v>40</v>
      </c>
      <c r="B76" s="8">
        <v>3</v>
      </c>
      <c r="C76" s="23" t="s">
        <v>100</v>
      </c>
      <c r="D76" s="10">
        <v>19.023578643798828</v>
      </c>
    </row>
    <row r="77" spans="1:4" x14ac:dyDescent="0.25">
      <c r="A77" s="3" t="s">
        <v>40</v>
      </c>
      <c r="B77" s="8">
        <v>1</v>
      </c>
      <c r="C77" s="23" t="s">
        <v>101</v>
      </c>
      <c r="D77" s="10">
        <v>23.936891555786133</v>
      </c>
    </row>
    <row r="78" spans="1:4" x14ac:dyDescent="0.25">
      <c r="A78" s="3" t="s">
        <v>40</v>
      </c>
      <c r="B78" s="8">
        <v>2</v>
      </c>
      <c r="C78" s="23" t="s">
        <v>100</v>
      </c>
      <c r="D78" s="10">
        <v>19.27039909362793</v>
      </c>
    </row>
    <row r="79" spans="1:4" x14ac:dyDescent="0.25">
      <c r="A79" s="3" t="s">
        <v>40</v>
      </c>
      <c r="B79" s="8">
        <v>3</v>
      </c>
      <c r="C79" s="23" t="s">
        <v>101</v>
      </c>
      <c r="D79" s="10">
        <v>24.18903923034668</v>
      </c>
    </row>
    <row r="80" spans="1:4" x14ac:dyDescent="0.25">
      <c r="A80" s="3" t="s">
        <v>41</v>
      </c>
      <c r="B80" s="8">
        <v>1</v>
      </c>
      <c r="C80" s="23" t="s">
        <v>100</v>
      </c>
      <c r="D80" s="10">
        <v>19.021644592285156</v>
      </c>
    </row>
    <row r="81" spans="1:4" x14ac:dyDescent="0.25">
      <c r="A81" s="3" t="s">
        <v>41</v>
      </c>
      <c r="B81" s="8">
        <v>2</v>
      </c>
      <c r="C81" s="23" t="s">
        <v>101</v>
      </c>
      <c r="D81" s="10">
        <v>24.174228668212891</v>
      </c>
    </row>
    <row r="82" spans="1:4" x14ac:dyDescent="0.25">
      <c r="A82" s="3" t="s">
        <v>41</v>
      </c>
      <c r="B82" s="8">
        <v>3</v>
      </c>
      <c r="C82" s="23" t="s">
        <v>100</v>
      </c>
      <c r="D82" s="10">
        <v>19.106283187866211</v>
      </c>
    </row>
    <row r="83" spans="1:4" x14ac:dyDescent="0.25">
      <c r="A83" s="3" t="s">
        <v>41</v>
      </c>
      <c r="B83" s="8">
        <v>1</v>
      </c>
      <c r="C83" s="23" t="s">
        <v>101</v>
      </c>
      <c r="D83" s="10">
        <v>24.306900024414063</v>
      </c>
    </row>
    <row r="84" spans="1:4" x14ac:dyDescent="0.25">
      <c r="A84" s="3" t="s">
        <v>41</v>
      </c>
      <c r="B84" s="8">
        <v>2</v>
      </c>
      <c r="C84" s="23" t="s">
        <v>100</v>
      </c>
      <c r="D84" s="10">
        <v>18.942111968994141</v>
      </c>
    </row>
    <row r="85" spans="1:4" x14ac:dyDescent="0.25">
      <c r="A85" s="3" t="s">
        <v>41</v>
      </c>
      <c r="B85" s="8">
        <v>3</v>
      </c>
      <c r="C85" s="23" t="s">
        <v>101</v>
      </c>
      <c r="D85" s="10">
        <v>24.082056045532227</v>
      </c>
    </row>
    <row r="86" spans="1:4" x14ac:dyDescent="0.25">
      <c r="A86" s="3" t="s">
        <v>42</v>
      </c>
      <c r="B86" s="8">
        <v>1</v>
      </c>
      <c r="C86" s="23" t="s">
        <v>100</v>
      </c>
      <c r="D86" s="10">
        <v>19.011959075927734</v>
      </c>
    </row>
    <row r="87" spans="1:4" x14ac:dyDescent="0.25">
      <c r="A87" s="3" t="s">
        <v>42</v>
      </c>
      <c r="B87" s="8">
        <v>2</v>
      </c>
      <c r="C87" s="23" t="s">
        <v>101</v>
      </c>
      <c r="D87" s="10">
        <v>23.966524124145508</v>
      </c>
    </row>
    <row r="88" spans="1:4" x14ac:dyDescent="0.25">
      <c r="A88" s="3" t="s">
        <v>42</v>
      </c>
      <c r="B88" s="8">
        <v>3</v>
      </c>
      <c r="C88" s="23" t="s">
        <v>100</v>
      </c>
      <c r="D88" s="10">
        <v>19.077327728271484</v>
      </c>
    </row>
    <row r="89" spans="1:4" x14ac:dyDescent="0.25">
      <c r="A89" s="3" t="s">
        <v>42</v>
      </c>
      <c r="B89" s="8">
        <v>1</v>
      </c>
      <c r="C89" s="23" t="s">
        <v>101</v>
      </c>
      <c r="D89" s="10">
        <v>24.005725860595703</v>
      </c>
    </row>
    <row r="90" spans="1:4" x14ac:dyDescent="0.25">
      <c r="A90" s="3" t="s">
        <v>42</v>
      </c>
      <c r="B90" s="8">
        <v>2</v>
      </c>
      <c r="C90" s="23" t="s">
        <v>100</v>
      </c>
      <c r="D90" s="10">
        <v>19.092466354370117</v>
      </c>
    </row>
    <row r="91" spans="1:4" x14ac:dyDescent="0.25">
      <c r="A91" s="3" t="s">
        <v>42</v>
      </c>
      <c r="B91" s="8">
        <v>3</v>
      </c>
      <c r="C91" s="23" t="s">
        <v>101</v>
      </c>
      <c r="D91" s="10">
        <v>24.047695159912109</v>
      </c>
    </row>
    <row r="92" spans="1:4" x14ac:dyDescent="0.25">
      <c r="A92" s="3" t="s">
        <v>43</v>
      </c>
      <c r="B92" s="8">
        <v>1</v>
      </c>
      <c r="C92" s="23" t="s">
        <v>100</v>
      </c>
      <c r="D92" s="10">
        <v>19.412961959838867</v>
      </c>
    </row>
    <row r="93" spans="1:4" x14ac:dyDescent="0.25">
      <c r="A93" s="3" t="s">
        <v>43</v>
      </c>
      <c r="B93" s="8">
        <v>2</v>
      </c>
      <c r="C93" s="23" t="s">
        <v>101</v>
      </c>
      <c r="D93" s="10">
        <v>24.229745864868164</v>
      </c>
    </row>
    <row r="94" spans="1:4" x14ac:dyDescent="0.25">
      <c r="A94" s="3" t="s">
        <v>43</v>
      </c>
      <c r="B94" s="8">
        <v>3</v>
      </c>
      <c r="C94" s="23" t="s">
        <v>100</v>
      </c>
      <c r="D94" s="10">
        <v>19.505075454711914</v>
      </c>
    </row>
    <row r="95" spans="1:4" x14ac:dyDescent="0.25">
      <c r="A95" s="3" t="s">
        <v>43</v>
      </c>
      <c r="B95" s="8">
        <v>1</v>
      </c>
      <c r="C95" s="23" t="s">
        <v>101</v>
      </c>
      <c r="D95" s="10">
        <v>24.325048446655273</v>
      </c>
    </row>
    <row r="96" spans="1:4" x14ac:dyDescent="0.25">
      <c r="A96" s="3" t="s">
        <v>43</v>
      </c>
      <c r="B96" s="8">
        <v>2</v>
      </c>
      <c r="C96" s="23" t="s">
        <v>100</v>
      </c>
      <c r="D96" s="10">
        <v>19.513837814331055</v>
      </c>
    </row>
    <row r="97" spans="1:4" x14ac:dyDescent="0.25">
      <c r="A97" s="3" t="s">
        <v>43</v>
      </c>
      <c r="B97" s="8">
        <v>3</v>
      </c>
      <c r="C97" s="23" t="s">
        <v>101</v>
      </c>
      <c r="D97" s="10">
        <v>24.334854125976563</v>
      </c>
    </row>
    <row r="98" spans="1:4" x14ac:dyDescent="0.25">
      <c r="A98" s="3" t="s">
        <v>44</v>
      </c>
      <c r="B98" s="8">
        <v>1</v>
      </c>
      <c r="C98" s="23" t="s">
        <v>100</v>
      </c>
      <c r="D98" s="10">
        <v>19.282266616821289</v>
      </c>
    </row>
    <row r="99" spans="1:4" x14ac:dyDescent="0.25">
      <c r="A99" s="3" t="s">
        <v>44</v>
      </c>
      <c r="B99" s="8">
        <v>2</v>
      </c>
      <c r="C99" s="23" t="s">
        <v>101</v>
      </c>
      <c r="D99" s="10">
        <v>24.309123992919922</v>
      </c>
    </row>
    <row r="100" spans="1:4" x14ac:dyDescent="0.25">
      <c r="A100" s="3" t="s">
        <v>44</v>
      </c>
      <c r="B100" s="8">
        <v>3</v>
      </c>
      <c r="C100" s="23" t="s">
        <v>100</v>
      </c>
      <c r="D100" s="10">
        <v>19.436763763427734</v>
      </c>
    </row>
    <row r="101" spans="1:4" x14ac:dyDescent="0.25">
      <c r="A101" s="3" t="s">
        <v>44</v>
      </c>
      <c r="B101" s="8">
        <v>1</v>
      </c>
      <c r="C101" s="23" t="s">
        <v>101</v>
      </c>
      <c r="D101" s="10">
        <v>24.437633514404297</v>
      </c>
    </row>
    <row r="102" spans="1:4" x14ac:dyDescent="0.25">
      <c r="A102" s="3" t="s">
        <v>44</v>
      </c>
      <c r="B102" s="8">
        <v>2</v>
      </c>
      <c r="C102" s="23" t="s">
        <v>100</v>
      </c>
      <c r="D102" s="10">
        <v>19.186933517456055</v>
      </c>
    </row>
    <row r="103" spans="1:4" x14ac:dyDescent="0.25">
      <c r="A103" s="3" t="s">
        <v>44</v>
      </c>
      <c r="B103" s="8">
        <v>3</v>
      </c>
      <c r="C103" s="23" t="s">
        <v>101</v>
      </c>
      <c r="D103" s="10">
        <v>24.24351692199707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8"/>
  <sheetViews>
    <sheetView zoomScale="75" zoomScaleNormal="400" workbookViewId="0">
      <selection activeCell="K25" sqref="K25"/>
    </sheetView>
  </sheetViews>
  <sheetFormatPr defaultRowHeight="15" x14ac:dyDescent="0.25"/>
  <cols>
    <col min="1" max="1" width="9" bestFit="1" customWidth="1"/>
    <col min="2" max="2" width="19.7109375" bestFit="1" customWidth="1"/>
    <col min="3" max="3" width="3.5703125" bestFit="1" customWidth="1"/>
    <col min="4" max="4" width="11" bestFit="1" customWidth="1"/>
    <col min="5" max="5" width="9.42578125" bestFit="1" customWidth="1"/>
    <col min="6" max="6" width="8.7109375" bestFit="1" customWidth="1"/>
    <col min="7" max="7" width="10.7109375" bestFit="1" customWidth="1"/>
    <col min="9" max="9" width="14.5703125" bestFit="1" customWidth="1"/>
    <col min="10" max="10" width="17.28515625" bestFit="1" customWidth="1"/>
  </cols>
  <sheetData>
    <row r="1" spans="1:11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50</v>
      </c>
    </row>
    <row r="2" spans="1:11" x14ac:dyDescent="0.25">
      <c r="A2" s="3" t="s">
        <v>9</v>
      </c>
      <c r="B2" s="4" t="s">
        <v>55</v>
      </c>
      <c r="C2" s="3" t="s">
        <v>6</v>
      </c>
      <c r="D2" s="1" t="s">
        <v>28</v>
      </c>
      <c r="E2" s="3">
        <v>21</v>
      </c>
      <c r="F2" s="3" t="s">
        <v>10</v>
      </c>
      <c r="G2" s="3">
        <v>0.93554245718333218</v>
      </c>
      <c r="I2" s="3" t="s">
        <v>4</v>
      </c>
      <c r="J2" s="8" t="s">
        <v>52</v>
      </c>
      <c r="K2" s="3" t="s">
        <v>53</v>
      </c>
    </row>
    <row r="3" spans="1:11" x14ac:dyDescent="0.25">
      <c r="A3" s="3" t="s">
        <v>11</v>
      </c>
      <c r="B3" s="4" t="s">
        <v>55</v>
      </c>
      <c r="C3" s="3" t="s">
        <v>6</v>
      </c>
      <c r="D3" s="1" t="s">
        <v>29</v>
      </c>
      <c r="E3" s="3">
        <v>21</v>
      </c>
      <c r="F3" s="3" t="s">
        <v>10</v>
      </c>
      <c r="G3" s="3">
        <v>1.0796204261082618</v>
      </c>
      <c r="I3" s="3" t="s">
        <v>10</v>
      </c>
      <c r="J3" s="9">
        <f>AVERAGEIF($F2:$F$18,"WT",$G$2:$G$18)</f>
        <v>1.0013447248834371</v>
      </c>
      <c r="K3" s="3">
        <f t="array" ref="K3">STDEV(IF($F$2:$F$18="WT",$G$2:$G$18,"NA"))/SQRT(6)</f>
        <v>2.3340509460759211E-2</v>
      </c>
    </row>
    <row r="4" spans="1:11" x14ac:dyDescent="0.25">
      <c r="A4" s="3" t="s">
        <v>12</v>
      </c>
      <c r="B4" s="4" t="s">
        <v>55</v>
      </c>
      <c r="C4" s="3" t="s">
        <v>6</v>
      </c>
      <c r="D4" s="1" t="s">
        <v>30</v>
      </c>
      <c r="E4" s="3">
        <v>21</v>
      </c>
      <c r="F4" s="3" t="s">
        <v>10</v>
      </c>
      <c r="G4" s="3">
        <v>0.95922452639183808</v>
      </c>
      <c r="I4" s="3" t="s">
        <v>90</v>
      </c>
      <c r="J4" s="9">
        <f>AVERAGEIFS($G$2:$G$18,$B$2:$B$18,"E254fs",$F$2:$F$18,"Het")</f>
        <v>1.0587175049365871</v>
      </c>
      <c r="K4" s="3" cm="1">
        <f t="array" ref="K4">STDEV(IF($B$2:$B$18="E254fs",IF($F$2:$F$18="Het",$G$2:$G$18)))/SQRT(6)</f>
        <v>2.0303742108810648E-2</v>
      </c>
    </row>
    <row r="5" spans="1:11" x14ac:dyDescent="0.25">
      <c r="A5" s="3" t="s">
        <v>13</v>
      </c>
      <c r="B5" s="4" t="s">
        <v>55</v>
      </c>
      <c r="C5" s="3" t="s">
        <v>8</v>
      </c>
      <c r="D5" s="1" t="s">
        <v>31</v>
      </c>
      <c r="E5" s="3">
        <v>21</v>
      </c>
      <c r="F5" s="3" t="s">
        <v>10</v>
      </c>
      <c r="G5" s="3">
        <v>0.97752835202597788</v>
      </c>
      <c r="I5" s="3" t="s">
        <v>54</v>
      </c>
      <c r="J5" s="9">
        <f>AVERAGEIFS($G$2:$G$18,$B$2:$B$18,"G256W",$F$2:$F$18,"Het")</f>
        <v>1.1215797033166162</v>
      </c>
      <c r="K5" s="3" cm="1">
        <f t="array" ref="K5">STDEV(IF($B$2:$B$18="G256W",IF($F$2:$F$18="Het",$G$2:$G$18)))/SQRT(5)</f>
        <v>3.8628120615965073E-2</v>
      </c>
    </row>
    <row r="6" spans="1:11" x14ac:dyDescent="0.25">
      <c r="A6" s="3" t="s">
        <v>14</v>
      </c>
      <c r="B6" s="4" t="s">
        <v>55</v>
      </c>
      <c r="C6" s="3" t="s">
        <v>8</v>
      </c>
      <c r="D6" s="1" t="s">
        <v>32</v>
      </c>
      <c r="E6" s="3">
        <v>21</v>
      </c>
      <c r="F6" s="3" t="s">
        <v>10</v>
      </c>
      <c r="G6" s="3">
        <v>1.06060223213603</v>
      </c>
    </row>
    <row r="7" spans="1:11" x14ac:dyDescent="0.25">
      <c r="A7" s="3" t="s">
        <v>15</v>
      </c>
      <c r="B7" s="4" t="s">
        <v>55</v>
      </c>
      <c r="C7" s="3" t="s">
        <v>8</v>
      </c>
      <c r="D7" s="1" t="s">
        <v>33</v>
      </c>
      <c r="E7" s="3">
        <v>21</v>
      </c>
      <c r="F7" s="3" t="s">
        <v>10</v>
      </c>
      <c r="G7" s="3">
        <v>0.99555035545518256</v>
      </c>
    </row>
    <row r="8" spans="1:11" ht="15.75" x14ac:dyDescent="0.25">
      <c r="A8" s="3" t="s">
        <v>16</v>
      </c>
      <c r="B8" s="4" t="s">
        <v>90</v>
      </c>
      <c r="C8" s="5" t="s">
        <v>6</v>
      </c>
      <c r="D8" s="2" t="s">
        <v>34</v>
      </c>
      <c r="E8" s="3">
        <v>21</v>
      </c>
      <c r="F8" s="6" t="s">
        <v>7</v>
      </c>
      <c r="G8" s="3">
        <v>1.0296445380259072</v>
      </c>
    </row>
    <row r="9" spans="1:11" ht="15.75" x14ac:dyDescent="0.25">
      <c r="A9" s="3" t="s">
        <v>17</v>
      </c>
      <c r="B9" s="4" t="s">
        <v>90</v>
      </c>
      <c r="C9" s="5" t="s">
        <v>6</v>
      </c>
      <c r="D9" s="2" t="s">
        <v>35</v>
      </c>
      <c r="E9" s="3">
        <v>21</v>
      </c>
      <c r="F9" s="6" t="s">
        <v>7</v>
      </c>
      <c r="G9" s="3">
        <v>1.1143879703473929</v>
      </c>
    </row>
    <row r="10" spans="1:11" ht="15.75" x14ac:dyDescent="0.25">
      <c r="A10" s="3" t="s">
        <v>18</v>
      </c>
      <c r="B10" s="4" t="s">
        <v>90</v>
      </c>
      <c r="C10" s="5" t="s">
        <v>6</v>
      </c>
      <c r="D10" s="2" t="s">
        <v>36</v>
      </c>
      <c r="E10" s="3">
        <v>22</v>
      </c>
      <c r="F10" s="6" t="s">
        <v>7</v>
      </c>
      <c r="G10" s="3">
        <v>0.98669515718548306</v>
      </c>
    </row>
    <row r="11" spans="1:11" ht="15.75" x14ac:dyDescent="0.25">
      <c r="A11" s="3" t="s">
        <v>19</v>
      </c>
      <c r="B11" s="4" t="s">
        <v>90</v>
      </c>
      <c r="C11" s="5" t="s">
        <v>8</v>
      </c>
      <c r="D11" s="2" t="s">
        <v>37</v>
      </c>
      <c r="E11" s="3">
        <v>21</v>
      </c>
      <c r="F11" s="6" t="s">
        <v>7</v>
      </c>
      <c r="G11" s="3">
        <v>1.1144729340367583</v>
      </c>
    </row>
    <row r="12" spans="1:11" ht="15.75" x14ac:dyDescent="0.25">
      <c r="A12" s="3" t="s">
        <v>20</v>
      </c>
      <c r="B12" s="4" t="s">
        <v>90</v>
      </c>
      <c r="C12" s="5" t="s">
        <v>8</v>
      </c>
      <c r="D12" s="2" t="s">
        <v>38</v>
      </c>
      <c r="E12" s="3">
        <v>22</v>
      </c>
      <c r="F12" s="6" t="s">
        <v>7</v>
      </c>
      <c r="G12" s="3">
        <v>1.0596174147140631</v>
      </c>
    </row>
    <row r="13" spans="1:11" ht="15.75" x14ac:dyDescent="0.25">
      <c r="A13" s="3" t="s">
        <v>21</v>
      </c>
      <c r="B13" s="4" t="s">
        <v>90</v>
      </c>
      <c r="C13" s="5" t="s">
        <v>8</v>
      </c>
      <c r="D13" s="2" t="s">
        <v>39</v>
      </c>
      <c r="E13" s="3">
        <v>20</v>
      </c>
      <c r="F13" s="6" t="s">
        <v>7</v>
      </c>
      <c r="G13" s="3">
        <v>1.0474870153099176</v>
      </c>
    </row>
    <row r="14" spans="1:11" ht="15.75" x14ac:dyDescent="0.25">
      <c r="A14" s="3" t="s">
        <v>24</v>
      </c>
      <c r="B14" s="4" t="s">
        <v>55</v>
      </c>
      <c r="C14" s="3" t="s">
        <v>6</v>
      </c>
      <c r="D14" s="1" t="s">
        <v>40</v>
      </c>
      <c r="E14" s="3">
        <v>21</v>
      </c>
      <c r="F14" s="6" t="s">
        <v>7</v>
      </c>
      <c r="G14" s="3">
        <v>1.2231522188781478</v>
      </c>
    </row>
    <row r="15" spans="1:11" ht="15.75" x14ac:dyDescent="0.25">
      <c r="A15" s="3" t="s">
        <v>25</v>
      </c>
      <c r="B15" s="4" t="s">
        <v>55</v>
      </c>
      <c r="C15" s="3" t="s">
        <v>6</v>
      </c>
      <c r="D15" s="1" t="s">
        <v>41</v>
      </c>
      <c r="E15" s="3">
        <v>21</v>
      </c>
      <c r="F15" s="6" t="s">
        <v>7</v>
      </c>
      <c r="G15" s="3">
        <v>1.1963118868797116</v>
      </c>
    </row>
    <row r="16" spans="1:11" ht="15.75" x14ac:dyDescent="0.25">
      <c r="A16" s="3" t="s">
        <v>26</v>
      </c>
      <c r="B16" s="4" t="s">
        <v>55</v>
      </c>
      <c r="C16" s="3" t="s">
        <v>6</v>
      </c>
      <c r="D16" s="1" t="s">
        <v>42</v>
      </c>
      <c r="E16" s="3">
        <v>21</v>
      </c>
      <c r="F16" s="6" t="s">
        <v>7</v>
      </c>
      <c r="G16" s="3">
        <v>1.1096809156138236</v>
      </c>
    </row>
    <row r="17" spans="1:7" ht="15.75" x14ac:dyDescent="0.25">
      <c r="A17" s="3" t="s">
        <v>22</v>
      </c>
      <c r="B17" s="4" t="s">
        <v>55</v>
      </c>
      <c r="C17" s="3" t="s">
        <v>8</v>
      </c>
      <c r="D17" s="1" t="s">
        <v>43</v>
      </c>
      <c r="E17" s="3">
        <v>21</v>
      </c>
      <c r="F17" s="6" t="s">
        <v>7</v>
      </c>
      <c r="G17" s="3">
        <v>1.0513041501898108</v>
      </c>
    </row>
    <row r="18" spans="1:7" ht="15.75" x14ac:dyDescent="0.25">
      <c r="A18" s="3" t="s">
        <v>23</v>
      </c>
      <c r="B18" s="4" t="s">
        <v>55</v>
      </c>
      <c r="C18" s="3" t="s">
        <v>8</v>
      </c>
      <c r="D18" s="1" t="s">
        <v>44</v>
      </c>
      <c r="E18" s="3">
        <v>21</v>
      </c>
      <c r="F18" s="6" t="s">
        <v>7</v>
      </c>
      <c r="G18" s="3">
        <v>1.0274493450215869</v>
      </c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43"/>
  <sheetViews>
    <sheetView workbookViewId="0">
      <selection activeCell="E26" sqref="E26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8" bestFit="1" customWidth="1"/>
    <col min="5" max="5" width="11.5703125" bestFit="1" customWidth="1"/>
    <col min="9" max="9" width="11" bestFit="1" customWidth="1"/>
    <col min="10" max="10" width="16.7109375" bestFit="1" customWidth="1"/>
    <col min="11" max="11" width="10.28515625" bestFit="1" customWidth="1"/>
  </cols>
  <sheetData>
    <row r="1" spans="1:12" x14ac:dyDescent="0.25">
      <c r="A1" s="3" t="s">
        <v>57</v>
      </c>
      <c r="B1" s="3" t="s">
        <v>2</v>
      </c>
      <c r="C1" s="3" t="s">
        <v>45</v>
      </c>
      <c r="E1" s="3" t="s">
        <v>57</v>
      </c>
      <c r="F1" s="3" t="s">
        <v>2</v>
      </c>
      <c r="G1" s="3" t="s">
        <v>47</v>
      </c>
      <c r="H1" s="3" t="s">
        <v>56</v>
      </c>
      <c r="I1" s="3" t="s">
        <v>48</v>
      </c>
      <c r="J1" s="3" t="s">
        <v>49</v>
      </c>
      <c r="K1" s="3" t="s">
        <v>50</v>
      </c>
      <c r="L1" s="3" t="s">
        <v>51</v>
      </c>
    </row>
    <row r="2" spans="1:12" x14ac:dyDescent="0.25">
      <c r="A2" s="3" t="s">
        <v>28</v>
      </c>
      <c r="B2" s="3" t="s">
        <v>6</v>
      </c>
      <c r="C2" s="10">
        <v>6.3190078735351563</v>
      </c>
      <c r="E2" s="3" t="s">
        <v>28</v>
      </c>
      <c r="F2" s="3" t="s">
        <v>6</v>
      </c>
      <c r="G2" s="10">
        <f t="shared" ref="G2:G18" si="0">AVERAGEIF($A$2:$A$52,E2,$C$2:$C$52)</f>
        <v>6.3360271453857422</v>
      </c>
      <c r="H2" s="10" cm="1">
        <f t="array" ref="H2">STDEV(IF($A$2:$A$52=$E2,$C$2:$C$52))</f>
        <v>2.5065581329882358E-2</v>
      </c>
      <c r="I2" s="10">
        <f>(G2-AVERAGE($G$2:$G$7))</f>
        <v>9.6124966939290069E-2</v>
      </c>
      <c r="J2" s="10">
        <f>IF(F2="F",G2-AVERAGE($G$2:$G$4),G2-AVERAGE($G$5:$G$7))</f>
        <v>8.0904854668510495E-2</v>
      </c>
      <c r="K2" s="11">
        <f>2^-(I2)</f>
        <v>0.93554245718333218</v>
      </c>
      <c r="L2" s="11">
        <f>2^-J2</f>
        <v>0.94546446780998583</v>
      </c>
    </row>
    <row r="3" spans="1:12" x14ac:dyDescent="0.25">
      <c r="A3" s="3" t="s">
        <v>28</v>
      </c>
      <c r="B3" s="3" t="s">
        <v>6</v>
      </c>
      <c r="C3" s="10">
        <v>6.3242626190185547</v>
      </c>
      <c r="E3" s="3" t="s">
        <v>29</v>
      </c>
      <c r="F3" s="3" t="s">
        <v>6</v>
      </c>
      <c r="G3" s="10">
        <f t="shared" si="0"/>
        <v>6.1293780008951826</v>
      </c>
      <c r="H3" s="10" cm="1">
        <f t="array" ref="H3">STDEV(IF($A$2:$A$52=$E3,$C$2:$C$52))</f>
        <v>3.7287665855354132E-2</v>
      </c>
      <c r="I3" s="10">
        <f t="shared" ref="I3:I9" si="1">(G3-AVERAGE($G$2:$G$7))</f>
        <v>-0.11052417755126953</v>
      </c>
      <c r="J3" s="10">
        <f t="shared" ref="J3:J9" si="2">IF(F3="F",G3-AVERAGE($G$2:$G$4),G3-AVERAGE($G$5:$G$7))</f>
        <v>-0.1257442898220491</v>
      </c>
      <c r="K3" s="11">
        <f t="shared" ref="K3:K9" si="3">2^-(I3)</f>
        <v>1.0796204261082618</v>
      </c>
      <c r="L3" s="11">
        <f t="shared" ref="L3:L9" si="4">2^-J3</f>
        <v>1.0910704733598311</v>
      </c>
    </row>
    <row r="4" spans="1:12" x14ac:dyDescent="0.25">
      <c r="A4" s="3" t="s">
        <v>28</v>
      </c>
      <c r="B4" s="3" t="s">
        <v>6</v>
      </c>
      <c r="C4" s="10">
        <v>6.3648109436035156</v>
      </c>
      <c r="E4" s="3" t="s">
        <v>30</v>
      </c>
      <c r="F4" s="3" t="s">
        <v>6</v>
      </c>
      <c r="G4" s="10">
        <f t="shared" si="0"/>
        <v>6.2999617258707685</v>
      </c>
      <c r="H4" s="10" cm="1">
        <f t="array" ref="H4">STDEV(IF($A$2:$A$52=$E4,$C$2:$C$52))</f>
        <v>2.7209151966753133E-2</v>
      </c>
      <c r="I4" s="10">
        <f t="shared" si="1"/>
        <v>6.0059547424316406E-2</v>
      </c>
      <c r="J4" s="10">
        <f t="shared" si="2"/>
        <v>4.4839435153536833E-2</v>
      </c>
      <c r="K4" s="11">
        <f t="shared" si="3"/>
        <v>0.95922452639183808</v>
      </c>
      <c r="L4" s="11">
        <f t="shared" si="4"/>
        <v>0.96939770011701676</v>
      </c>
    </row>
    <row r="5" spans="1:12" x14ac:dyDescent="0.25">
      <c r="A5" s="3" t="s">
        <v>29</v>
      </c>
      <c r="B5" s="3" t="s">
        <v>6</v>
      </c>
      <c r="C5" s="10">
        <v>6.0890750885009766</v>
      </c>
      <c r="E5" s="3" t="s">
        <v>31</v>
      </c>
      <c r="F5" s="3" t="s">
        <v>8</v>
      </c>
      <c r="G5" s="10">
        <f t="shared" si="0"/>
        <v>6.2726917266845703</v>
      </c>
      <c r="H5" s="10" cm="1">
        <f t="array" ref="H5">STDEV(IF($A$2:$A$52=$E5,$C$2:$C$52))</f>
        <v>4.079989745812148E-2</v>
      </c>
      <c r="I5" s="10">
        <f t="shared" si="1"/>
        <v>3.2789548238118194E-2</v>
      </c>
      <c r="J5" s="10">
        <f t="shared" si="2"/>
        <v>4.8009660508896879E-2</v>
      </c>
      <c r="K5" s="11">
        <f t="shared" si="3"/>
        <v>0.97752835202597788</v>
      </c>
      <c r="L5" s="11">
        <f t="shared" si="4"/>
        <v>0.96726985260386578</v>
      </c>
    </row>
    <row r="6" spans="1:12" x14ac:dyDescent="0.25">
      <c r="A6" s="3" t="s">
        <v>29</v>
      </c>
      <c r="B6" s="3" t="s">
        <v>6</v>
      </c>
      <c r="C6" s="10">
        <v>6.1626491546630859</v>
      </c>
      <c r="E6" s="3" t="s">
        <v>32</v>
      </c>
      <c r="F6" s="3" t="s">
        <v>8</v>
      </c>
      <c r="G6" s="10">
        <f t="shared" si="0"/>
        <v>6.155018488566081</v>
      </c>
      <c r="H6" s="10" cm="1">
        <f t="array" ref="H6">STDEV(IF($A$2:$A$52=$E6,$C$2:$C$52))</f>
        <v>3.8129956900897159E-3</v>
      </c>
      <c r="I6" s="10">
        <f t="shared" si="1"/>
        <v>-8.4883689880371094E-2</v>
      </c>
      <c r="J6" s="10">
        <f t="shared" si="2"/>
        <v>-6.9663577609592409E-2</v>
      </c>
      <c r="K6" s="11">
        <f t="shared" si="3"/>
        <v>1.06060223213603</v>
      </c>
      <c r="L6" s="11">
        <f t="shared" si="4"/>
        <v>1.0494719284850837</v>
      </c>
    </row>
    <row r="7" spans="1:12" x14ac:dyDescent="0.25">
      <c r="A7" s="3" t="s">
        <v>29</v>
      </c>
      <c r="B7" s="3" t="s">
        <v>6</v>
      </c>
      <c r="C7" s="10">
        <v>6.1364097595214844</v>
      </c>
      <c r="E7" s="3" t="s">
        <v>33</v>
      </c>
      <c r="F7" s="3" t="s">
        <v>8</v>
      </c>
      <c r="G7" s="10">
        <f t="shared" si="0"/>
        <v>6.2463359832763672</v>
      </c>
      <c r="H7" s="10" cm="1">
        <f t="array" ref="H7">STDEV(IF($A$2:$A$52=$E7,$C$2:$C$52))</f>
        <v>1.4847827559354806E-2</v>
      </c>
      <c r="I7" s="10">
        <f t="shared" si="1"/>
        <v>6.4338048299150685E-3</v>
      </c>
      <c r="J7" s="10">
        <f t="shared" si="2"/>
        <v>2.1653917100693754E-2</v>
      </c>
      <c r="K7" s="11">
        <f t="shared" si="3"/>
        <v>0.99555035545518256</v>
      </c>
      <c r="L7" s="11">
        <f t="shared" si="4"/>
        <v>0.98510272728669646</v>
      </c>
    </row>
    <row r="8" spans="1:12" x14ac:dyDescent="0.25">
      <c r="A8" s="3" t="s">
        <v>30</v>
      </c>
      <c r="B8" s="3" t="s">
        <v>6</v>
      </c>
      <c r="C8" s="10">
        <v>6.3048877716064453</v>
      </c>
      <c r="E8" s="3" t="s">
        <v>34</v>
      </c>
      <c r="F8" s="3" t="s">
        <v>6</v>
      </c>
      <c r="G8" s="10">
        <f t="shared" si="0"/>
        <v>6.1977558135986328</v>
      </c>
      <c r="H8" s="10" cm="1">
        <f t="array" ref="H8">STDEV(IF($A$2:$A$52=$E8,$C$2:$C$52))</f>
        <v>3.9685123315431003E-2</v>
      </c>
      <c r="I8" s="10">
        <f t="shared" si="1"/>
        <v>-4.2146364847819306E-2</v>
      </c>
      <c r="J8" s="10">
        <f t="shared" si="2"/>
        <v>-5.736647711859888E-2</v>
      </c>
      <c r="K8" s="11">
        <f t="shared" si="3"/>
        <v>1.0296445380259072</v>
      </c>
      <c r="L8" s="11">
        <f t="shared" si="4"/>
        <v>1.0405645598480346</v>
      </c>
    </row>
    <row r="9" spans="1:12" x14ac:dyDescent="0.25">
      <c r="A9" s="3" t="s">
        <v>30</v>
      </c>
      <c r="B9" s="3" t="s">
        <v>6</v>
      </c>
      <c r="C9" s="10">
        <v>6.324371337890625</v>
      </c>
      <c r="E9" s="3" t="s">
        <v>35</v>
      </c>
      <c r="F9" s="3" t="s">
        <v>6</v>
      </c>
      <c r="G9" s="10">
        <f t="shared" si="0"/>
        <v>6.0836505889892578</v>
      </c>
      <c r="H9" s="10" cm="1">
        <f t="array" ref="H9">STDEV(IF($A$2:$A$52=$E9,$C$2:$C$52))</f>
        <v>2.179759767551101E-2</v>
      </c>
      <c r="I9" s="10">
        <f t="shared" si="1"/>
        <v>-0.15625158945719431</v>
      </c>
      <c r="J9" s="10">
        <f t="shared" si="2"/>
        <v>-0.17147170172797388</v>
      </c>
      <c r="K9" s="11">
        <f t="shared" si="3"/>
        <v>1.1143879703473929</v>
      </c>
      <c r="L9" s="11">
        <f t="shared" si="4"/>
        <v>1.1262067490667373</v>
      </c>
    </row>
    <row r="10" spans="1:12" x14ac:dyDescent="0.25">
      <c r="A10" s="3" t="s">
        <v>30</v>
      </c>
      <c r="B10" s="3" t="s">
        <v>6</v>
      </c>
      <c r="C10" s="10">
        <v>6.2706260681152344</v>
      </c>
      <c r="E10" s="3" t="s">
        <v>36</v>
      </c>
      <c r="F10" s="3" t="s">
        <v>6</v>
      </c>
      <c r="G10" s="10">
        <f t="shared" si="0"/>
        <v>6.2592258453369141</v>
      </c>
      <c r="H10" s="10" cm="1">
        <f t="array" ref="H10">STDEV(IF($A$2:$A$52=$E10,$C$2:$C$52))</f>
        <v>4.7726507136229203E-2</v>
      </c>
      <c r="I10" s="10">
        <f t="shared" ref="I10" si="5">(G10-AVERAGE($G$2:$G$7))</f>
        <v>1.9323666890461944E-2</v>
      </c>
      <c r="J10" s="10">
        <f t="shared" ref="J10" si="6">IF(F10="F",G10-AVERAGE($G$2:$G$4),G10-AVERAGE($G$5:$G$7))</f>
        <v>4.1035546196823702E-3</v>
      </c>
      <c r="K10" s="11">
        <f t="shared" ref="K10" si="7">2^-(I10)</f>
        <v>0.98669515718548306</v>
      </c>
      <c r="L10" s="11">
        <f t="shared" ref="L10" si="8">2^-J10</f>
        <v>0.99715967406517325</v>
      </c>
    </row>
    <row r="11" spans="1:12" x14ac:dyDescent="0.25">
      <c r="A11" s="3" t="s">
        <v>31</v>
      </c>
      <c r="B11" s="3" t="s">
        <v>8</v>
      </c>
      <c r="C11" s="10">
        <v>6.3194637298583984</v>
      </c>
      <c r="E11" s="3" t="s">
        <v>37</v>
      </c>
      <c r="F11" s="3" t="s">
        <v>8</v>
      </c>
      <c r="G11" s="10">
        <f t="shared" si="0"/>
        <v>6.0835405985514326</v>
      </c>
      <c r="H11" s="10" cm="1">
        <f t="array" ref="H11">STDEV(IF($A$2:$A$52=$E11,$C$2:$C$52))</f>
        <v>1.3231595353440416E-2</v>
      </c>
      <c r="I11" s="10">
        <f t="shared" ref="I11:I16" si="9">(G11-AVERAGE($G$2:$G$7))</f>
        <v>-0.15636157989501953</v>
      </c>
      <c r="J11" s="10">
        <f t="shared" ref="J11:J16" si="10">IF(F11="F",G11-AVERAGE($G$2:$G$4),G11-AVERAGE($G$5:$G$7))</f>
        <v>-0.14114146762424085</v>
      </c>
      <c r="K11" s="11">
        <f t="shared" ref="K11:K16" si="11">2^-(I11)</f>
        <v>1.1144729340367583</v>
      </c>
      <c r="L11" s="11">
        <f t="shared" ref="L11:L16" si="12">2^-J11</f>
        <v>1.1027772937762168</v>
      </c>
    </row>
    <row r="12" spans="1:12" x14ac:dyDescent="0.25">
      <c r="A12" s="3" t="s">
        <v>31</v>
      </c>
      <c r="B12" s="3" t="s">
        <v>8</v>
      </c>
      <c r="C12" s="10">
        <v>6.244415283203125</v>
      </c>
      <c r="E12" s="3" t="s">
        <v>38</v>
      </c>
      <c r="F12" s="3" t="s">
        <v>8</v>
      </c>
      <c r="G12" s="10">
        <f t="shared" si="0"/>
        <v>6.1563587188720703</v>
      </c>
      <c r="H12" s="10" cm="1">
        <f t="array" ref="H12">STDEV(IF($A$2:$A$52=$E12,$C$2:$C$52))</f>
        <v>2.4862668042213779E-2</v>
      </c>
      <c r="I12" s="10">
        <f t="shared" si="9"/>
        <v>-8.3543459574381806E-2</v>
      </c>
      <c r="J12" s="10">
        <f t="shared" si="10"/>
        <v>-6.8323347303603121E-2</v>
      </c>
      <c r="K12" s="11">
        <f t="shared" si="11"/>
        <v>1.0596174147140631</v>
      </c>
      <c r="L12" s="11">
        <f t="shared" si="12"/>
        <v>1.0484974460564018</v>
      </c>
    </row>
    <row r="13" spans="1:12" x14ac:dyDescent="0.25">
      <c r="A13" s="3" t="s">
        <v>31</v>
      </c>
      <c r="B13" s="3" t="s">
        <v>8</v>
      </c>
      <c r="C13" s="10">
        <v>6.2541961669921875</v>
      </c>
      <c r="E13" s="3" t="s">
        <v>39</v>
      </c>
      <c r="F13" s="3" t="s">
        <v>8</v>
      </c>
      <c r="G13" s="10">
        <f t="shared" si="0"/>
        <v>6.1729698181152344</v>
      </c>
      <c r="H13" s="10" cm="1">
        <f t="array" ref="H13">STDEV(IF($A$2:$A$52=$E13,$C$2:$C$52))</f>
        <v>1.7927852649673382E-2</v>
      </c>
      <c r="I13" s="10">
        <f t="shared" si="9"/>
        <v>-6.6932360331217744E-2</v>
      </c>
      <c r="J13" s="10">
        <f t="shared" si="10"/>
        <v>-5.1712248060439059E-2</v>
      </c>
      <c r="K13" s="11">
        <f t="shared" si="11"/>
        <v>1.0474870153099176</v>
      </c>
      <c r="L13" s="11">
        <f t="shared" si="12"/>
        <v>1.0364943469960464</v>
      </c>
    </row>
    <row r="14" spans="1:12" x14ac:dyDescent="0.25">
      <c r="A14" s="3" t="s">
        <v>32</v>
      </c>
      <c r="B14" s="3" t="s">
        <v>8</v>
      </c>
      <c r="C14" s="10">
        <v>6.1574668884277344</v>
      </c>
      <c r="E14" s="3" t="s">
        <v>40</v>
      </c>
      <c r="F14" s="3" t="s">
        <v>6</v>
      </c>
      <c r="G14" s="10">
        <f t="shared" si="0"/>
        <v>5.9492982228597002</v>
      </c>
      <c r="H14" s="10" cm="1">
        <f t="array" ref="H14">STDEV(IF($A$2:$A$52=$E14,$C$2:$C$52))</f>
        <v>1.5618837892053003E-2</v>
      </c>
      <c r="I14" s="10">
        <f t="shared" si="9"/>
        <v>-0.29060395558675189</v>
      </c>
      <c r="J14" s="10">
        <f t="shared" si="10"/>
        <v>-0.30582406785753147</v>
      </c>
      <c r="K14" s="11">
        <f t="shared" si="11"/>
        <v>1.2231522188781478</v>
      </c>
      <c r="L14" s="11">
        <f t="shared" si="12"/>
        <v>1.2361245102162259</v>
      </c>
    </row>
    <row r="15" spans="1:12" x14ac:dyDescent="0.25">
      <c r="A15" s="3" t="s">
        <v>32</v>
      </c>
      <c r="B15" s="3" t="s">
        <v>8</v>
      </c>
      <c r="C15" s="10">
        <v>6.1569633483886719</v>
      </c>
      <c r="E15" s="3" t="s">
        <v>41</v>
      </c>
      <c r="F15" s="3" t="s">
        <v>6</v>
      </c>
      <c r="G15" s="10">
        <f t="shared" si="0"/>
        <v>5.9813086191813154</v>
      </c>
      <c r="H15" s="10" cm="1">
        <f t="array" ref="H15">STDEV(IF($A$2:$A$52=$E15,$C$2:$C$52))</f>
        <v>1.6441457767204581E-2</v>
      </c>
      <c r="I15" s="10">
        <f t="shared" si="9"/>
        <v>-0.25859355926513672</v>
      </c>
      <c r="J15" s="10">
        <f t="shared" si="10"/>
        <v>-0.27381367153591629</v>
      </c>
      <c r="K15" s="11">
        <f t="shared" si="11"/>
        <v>1.1963118868797116</v>
      </c>
      <c r="L15" s="11">
        <f t="shared" si="12"/>
        <v>1.2089995197746946</v>
      </c>
    </row>
    <row r="16" spans="1:12" x14ac:dyDescent="0.25">
      <c r="A16" s="3" t="s">
        <v>32</v>
      </c>
      <c r="B16" s="3" t="s">
        <v>8</v>
      </c>
      <c r="C16" s="10">
        <v>6.1506252288818359</v>
      </c>
      <c r="E16" s="3" t="s">
        <v>42</v>
      </c>
      <c r="F16" s="3" t="s">
        <v>6</v>
      </c>
      <c r="G16" s="10">
        <f t="shared" si="0"/>
        <v>6.0897572835286455</v>
      </c>
      <c r="H16" s="10" cm="1">
        <f t="array" ref="H16">STDEV(IF($A$2:$A$52=$E16,$C$2:$C$52))</f>
        <v>3.4509875097749422E-2</v>
      </c>
      <c r="I16" s="10">
        <f t="shared" si="9"/>
        <v>-0.15014489491780658</v>
      </c>
      <c r="J16" s="10">
        <f t="shared" si="10"/>
        <v>-0.16536500718858615</v>
      </c>
      <c r="K16" s="11">
        <f t="shared" si="11"/>
        <v>1.1096809156138236</v>
      </c>
      <c r="L16" s="11">
        <f t="shared" si="12"/>
        <v>1.1214497730850965</v>
      </c>
    </row>
    <row r="17" spans="1:12" x14ac:dyDescent="0.25">
      <c r="A17" s="3" t="s">
        <v>33</v>
      </c>
      <c r="B17" s="3" t="s">
        <v>8</v>
      </c>
      <c r="C17" s="10">
        <v>6.2540130615234375</v>
      </c>
      <c r="E17" s="3" t="s">
        <v>43</v>
      </c>
      <c r="F17" s="3" t="s">
        <v>8</v>
      </c>
      <c r="G17" s="10">
        <f t="shared" si="0"/>
        <v>6.1677220662434893</v>
      </c>
      <c r="H17" s="10" cm="1">
        <f t="array" ref="H17">STDEV(IF($A$2:$A$52=$E17,$C$2:$C$52))</f>
        <v>2.0008185555816439E-2</v>
      </c>
      <c r="I17" s="10">
        <f t="shared" ref="I17" si="13">(G17-AVERAGE($G$2:$G$7))</f>
        <v>-7.2180112202962832E-2</v>
      </c>
      <c r="J17" s="10">
        <f t="shared" ref="J17" si="14">IF(F17="F",G17-AVERAGE($G$2:$G$4),G17-AVERAGE($G$5:$G$7))</f>
        <v>-5.6959999932184147E-2</v>
      </c>
      <c r="K17" s="11">
        <f t="shared" ref="K17" si="15">2^-(I17)</f>
        <v>1.0513041501898108</v>
      </c>
      <c r="L17" s="11">
        <f t="shared" ref="L17" si="16">2^-J17</f>
        <v>1.0402714236250681</v>
      </c>
    </row>
    <row r="18" spans="1:12" x14ac:dyDescent="0.25">
      <c r="A18" s="3" t="s">
        <v>33</v>
      </c>
      <c r="B18" s="3" t="s">
        <v>8</v>
      </c>
      <c r="C18" s="10">
        <v>6.2292213439941406</v>
      </c>
      <c r="E18" s="3" t="s">
        <v>44</v>
      </c>
      <c r="F18" s="3" t="s">
        <v>8</v>
      </c>
      <c r="G18" s="10">
        <f t="shared" si="0"/>
        <v>6.2008349100748701</v>
      </c>
      <c r="H18" s="10" cm="1">
        <f t="array" ref="H18">STDEV(IF($A$2:$A$52=$E18,$C$2:$C$52))</f>
        <v>3.3900248266688429E-2</v>
      </c>
      <c r="I18" s="10">
        <f t="shared" ref="I18" si="17">(G18-AVERAGE($G$2:$G$7))</f>
        <v>-3.9067268371582031E-2</v>
      </c>
      <c r="J18" s="10">
        <f t="shared" ref="J18" si="18">IF(F18="F",G18-AVERAGE($G$2:$G$4),G18-AVERAGE($G$5:$G$7))</f>
        <v>-2.3847156100803346E-2</v>
      </c>
      <c r="K18" s="11">
        <f t="shared" ref="K18" si="19">2^-(I18)</f>
        <v>1.0274493450215869</v>
      </c>
      <c r="L18" s="11">
        <f t="shared" ref="L18" si="20">2^-J18</f>
        <v>1.0166669585155499</v>
      </c>
    </row>
    <row r="19" spans="1:12" x14ac:dyDescent="0.25">
      <c r="A19" s="3" t="s">
        <v>33</v>
      </c>
      <c r="B19" s="3" t="s">
        <v>8</v>
      </c>
      <c r="C19" s="10">
        <v>6.2557735443115234</v>
      </c>
    </row>
    <row r="20" spans="1:12" x14ac:dyDescent="0.25">
      <c r="A20" s="3" t="s">
        <v>34</v>
      </c>
      <c r="B20" s="3" t="s">
        <v>8</v>
      </c>
      <c r="C20" s="10">
        <v>6.1564598083496094</v>
      </c>
    </row>
    <row r="21" spans="1:12" x14ac:dyDescent="0.25">
      <c r="A21" s="3" t="s">
        <v>34</v>
      </c>
      <c r="B21" s="3" t="s">
        <v>6</v>
      </c>
      <c r="C21" s="10">
        <v>6.2356052398681641</v>
      </c>
    </row>
    <row r="22" spans="1:12" x14ac:dyDescent="0.25">
      <c r="A22" s="3" t="s">
        <v>34</v>
      </c>
      <c r="B22" s="3" t="s">
        <v>6</v>
      </c>
      <c r="C22" s="10">
        <v>6.201202392578125</v>
      </c>
    </row>
    <row r="23" spans="1:12" x14ac:dyDescent="0.25">
      <c r="A23" s="3" t="s">
        <v>35</v>
      </c>
      <c r="B23" s="3" t="s">
        <v>6</v>
      </c>
      <c r="C23" s="10">
        <v>6.0957546234130859</v>
      </c>
    </row>
    <row r="24" spans="1:12" x14ac:dyDescent="0.25">
      <c r="A24" s="3" t="s">
        <v>35</v>
      </c>
      <c r="B24" s="3" t="s">
        <v>6</v>
      </c>
      <c r="C24" s="10">
        <v>6.0584869384765625</v>
      </c>
    </row>
    <row r="25" spans="1:12" x14ac:dyDescent="0.25">
      <c r="A25" s="3" t="s">
        <v>35</v>
      </c>
      <c r="B25" s="3" t="s">
        <v>6</v>
      </c>
      <c r="C25" s="10">
        <v>6.096710205078125</v>
      </c>
    </row>
    <row r="26" spans="1:12" x14ac:dyDescent="0.25">
      <c r="A26" s="3" t="s">
        <v>36</v>
      </c>
      <c r="B26" s="3" t="s">
        <v>6</v>
      </c>
      <c r="C26" s="10">
        <v>6.2069530487060547</v>
      </c>
    </row>
    <row r="27" spans="1:12" x14ac:dyDescent="0.25">
      <c r="A27" s="3" t="s">
        <v>36</v>
      </c>
      <c r="B27" s="3" t="s">
        <v>6</v>
      </c>
      <c r="C27" s="10">
        <v>6.3004779815673828</v>
      </c>
    </row>
    <row r="28" spans="1:12" x14ac:dyDescent="0.25">
      <c r="A28" s="3" t="s">
        <v>36</v>
      </c>
      <c r="B28" s="3" t="s">
        <v>6</v>
      </c>
      <c r="C28" s="10">
        <v>6.2702465057373047</v>
      </c>
    </row>
    <row r="29" spans="1:12" x14ac:dyDescent="0.25">
      <c r="A29" s="3" t="s">
        <v>37</v>
      </c>
      <c r="B29" s="3" t="s">
        <v>6</v>
      </c>
      <c r="C29" s="10">
        <v>6.0765609741210938</v>
      </c>
    </row>
    <row r="30" spans="1:12" x14ac:dyDescent="0.25">
      <c r="A30" s="3" t="s">
        <v>37</v>
      </c>
      <c r="B30" s="3" t="s">
        <v>8</v>
      </c>
      <c r="C30" s="10">
        <v>6.0752601623535156</v>
      </c>
    </row>
    <row r="31" spans="1:12" x14ac:dyDescent="0.25">
      <c r="A31" s="3" t="s">
        <v>37</v>
      </c>
      <c r="B31" s="3" t="s">
        <v>8</v>
      </c>
      <c r="C31" s="10">
        <v>6.0988006591796875</v>
      </c>
    </row>
    <row r="32" spans="1:12" x14ac:dyDescent="0.25">
      <c r="A32" s="3" t="s">
        <v>38</v>
      </c>
      <c r="B32" s="3" t="s">
        <v>8</v>
      </c>
      <c r="C32" s="10">
        <v>6.1727237701416016</v>
      </c>
    </row>
    <row r="33" spans="1:3" x14ac:dyDescent="0.25">
      <c r="A33" s="3" t="s">
        <v>38</v>
      </c>
      <c r="B33" s="3" t="s">
        <v>8</v>
      </c>
      <c r="C33" s="10">
        <v>6.1277484893798828</v>
      </c>
    </row>
    <row r="34" spans="1:3" x14ac:dyDescent="0.25">
      <c r="A34" s="3" t="s">
        <v>38</v>
      </c>
      <c r="B34" s="3" t="s">
        <v>8</v>
      </c>
      <c r="C34" s="10">
        <v>6.1686038970947266</v>
      </c>
    </row>
    <row r="35" spans="1:3" x14ac:dyDescent="0.25">
      <c r="A35" s="3" t="s">
        <v>39</v>
      </c>
      <c r="B35" s="3" t="s">
        <v>8</v>
      </c>
      <c r="C35" s="10">
        <v>6.1923599243164063</v>
      </c>
    </row>
    <row r="36" spans="1:3" x14ac:dyDescent="0.25">
      <c r="A36" s="3" t="s">
        <v>39</v>
      </c>
      <c r="B36" s="3" t="s">
        <v>8</v>
      </c>
      <c r="C36" s="10">
        <v>6.1569957733154297</v>
      </c>
    </row>
    <row r="37" spans="1:3" x14ac:dyDescent="0.25">
      <c r="A37" s="3" t="s">
        <v>39</v>
      </c>
      <c r="B37" s="3" t="s">
        <v>8</v>
      </c>
      <c r="C37" s="10">
        <v>6.1695537567138672</v>
      </c>
    </row>
    <row r="38" spans="1:3" x14ac:dyDescent="0.25">
      <c r="A38" s="3" t="s">
        <v>40</v>
      </c>
      <c r="B38" s="3" t="s">
        <v>8</v>
      </c>
      <c r="C38" s="10">
        <v>5.9318771362304688</v>
      </c>
    </row>
    <row r="39" spans="1:3" x14ac:dyDescent="0.25">
      <c r="A39" s="3" t="s">
        <v>40</v>
      </c>
      <c r="B39" s="3" t="s">
        <v>8</v>
      </c>
      <c r="C39" s="10">
        <v>5.9620494842529297</v>
      </c>
    </row>
    <row r="40" spans="1:3" x14ac:dyDescent="0.25">
      <c r="A40" s="3" t="s">
        <v>40</v>
      </c>
      <c r="B40" s="3" t="s">
        <v>6</v>
      </c>
      <c r="C40" s="10">
        <v>5.9539680480957031</v>
      </c>
    </row>
    <row r="41" spans="1:3" x14ac:dyDescent="0.25">
      <c r="A41" s="3" t="s">
        <v>41</v>
      </c>
      <c r="B41" s="3" t="s">
        <v>6</v>
      </c>
      <c r="C41" s="10">
        <v>5.9799823760986328</v>
      </c>
    </row>
    <row r="42" spans="1:3" x14ac:dyDescent="0.25">
      <c r="A42" s="3" t="s">
        <v>41</v>
      </c>
      <c r="B42" s="3" t="s">
        <v>6</v>
      </c>
      <c r="C42" s="10">
        <v>5.9983730316162109</v>
      </c>
    </row>
    <row r="43" spans="1:3" x14ac:dyDescent="0.25">
      <c r="A43" s="3" t="s">
        <v>41</v>
      </c>
      <c r="B43" s="3" t="s">
        <v>6</v>
      </c>
      <c r="C43" s="10">
        <v>5.9655704498291016</v>
      </c>
    </row>
    <row r="44" spans="1:3" x14ac:dyDescent="0.25">
      <c r="A44" s="3" t="s">
        <v>42</v>
      </c>
      <c r="B44" s="3" t="s">
        <v>6</v>
      </c>
      <c r="C44" s="10">
        <v>6.1217632293701172</v>
      </c>
    </row>
    <row r="45" spans="1:3" x14ac:dyDescent="0.25">
      <c r="A45" s="3" t="s">
        <v>42</v>
      </c>
      <c r="B45" s="3" t="s">
        <v>6</v>
      </c>
      <c r="C45" s="10">
        <v>6.0943126678466797</v>
      </c>
    </row>
    <row r="46" spans="1:3" x14ac:dyDescent="0.25">
      <c r="A46" s="3" t="s">
        <v>42</v>
      </c>
      <c r="B46" s="3" t="s">
        <v>6</v>
      </c>
      <c r="C46" s="10">
        <v>6.0531959533691406</v>
      </c>
    </row>
    <row r="47" spans="1:3" x14ac:dyDescent="0.25">
      <c r="A47" s="3" t="s">
        <v>43</v>
      </c>
      <c r="B47" s="3" t="s">
        <v>8</v>
      </c>
      <c r="C47" s="10">
        <v>6.1630306243896484</v>
      </c>
    </row>
    <row r="48" spans="1:3" x14ac:dyDescent="0.25">
      <c r="A48" s="3" t="s">
        <v>43</v>
      </c>
      <c r="B48" s="3" t="s">
        <v>8</v>
      </c>
      <c r="C48" s="10">
        <v>6.1504764556884766</v>
      </c>
    </row>
    <row r="49" spans="1:3" x14ac:dyDescent="0.25">
      <c r="A49" s="3" t="s">
        <v>43</v>
      </c>
      <c r="B49" s="3" t="s">
        <v>8</v>
      </c>
      <c r="C49" s="10">
        <v>6.1896591186523438</v>
      </c>
    </row>
    <row r="50" spans="1:3" x14ac:dyDescent="0.25">
      <c r="A50" s="3" t="s">
        <v>44</v>
      </c>
      <c r="B50" s="3" t="s">
        <v>8</v>
      </c>
      <c r="C50" s="10">
        <v>6.2299137115478516</v>
      </c>
    </row>
    <row r="51" spans="1:3" x14ac:dyDescent="0.25">
      <c r="A51" s="3" t="s">
        <v>44</v>
      </c>
      <c r="B51" s="3" t="s">
        <v>8</v>
      </c>
      <c r="C51" s="10">
        <v>6.1636009216308594</v>
      </c>
    </row>
    <row r="52" spans="1:3" x14ac:dyDescent="0.25">
      <c r="A52" s="3" t="s">
        <v>44</v>
      </c>
      <c r="B52" s="3" t="s">
        <v>8</v>
      </c>
      <c r="C52" s="10">
        <v>6.2089900970458984</v>
      </c>
    </row>
    <row r="94" spans="12:12" x14ac:dyDescent="0.25">
      <c r="L94" t="s">
        <v>58</v>
      </c>
    </row>
    <row r="95" spans="12:12" x14ac:dyDescent="0.25">
      <c r="L95" s="7"/>
    </row>
    <row r="97" spans="12:12" x14ac:dyDescent="0.25">
      <c r="L97" s="7"/>
    </row>
    <row r="99" spans="12:12" x14ac:dyDescent="0.25">
      <c r="L99" s="7"/>
    </row>
    <row r="101" spans="12:12" x14ac:dyDescent="0.25">
      <c r="L101" s="7"/>
    </row>
    <row r="103" spans="12:12" x14ac:dyDescent="0.25">
      <c r="L103" s="7"/>
    </row>
    <row r="105" spans="12:12" x14ac:dyDescent="0.25">
      <c r="L105" s="7"/>
    </row>
    <row r="107" spans="12:12" x14ac:dyDescent="0.25">
      <c r="L107" s="7"/>
    </row>
    <row r="109" spans="12:12" x14ac:dyDescent="0.25">
      <c r="L109" s="7"/>
    </row>
    <row r="111" spans="12:12" x14ac:dyDescent="0.25">
      <c r="L111" s="7"/>
    </row>
    <row r="113" spans="12:12" x14ac:dyDescent="0.25">
      <c r="L113" s="7"/>
    </row>
    <row r="115" spans="12:12" x14ac:dyDescent="0.25">
      <c r="L115" s="7"/>
    </row>
    <row r="117" spans="12:12" x14ac:dyDescent="0.25">
      <c r="L117" s="7"/>
    </row>
    <row r="119" spans="12:12" x14ac:dyDescent="0.25">
      <c r="L119" s="7"/>
    </row>
    <row r="121" spans="12:12" x14ac:dyDescent="0.25">
      <c r="L121" s="7"/>
    </row>
    <row r="123" spans="12:12" x14ac:dyDescent="0.25">
      <c r="L123" s="7"/>
    </row>
    <row r="125" spans="12:12" x14ac:dyDescent="0.25">
      <c r="L125" s="7"/>
    </row>
    <row r="127" spans="12:12" x14ac:dyDescent="0.25">
      <c r="L127" s="7"/>
    </row>
    <row r="129" spans="11:14" x14ac:dyDescent="0.25">
      <c r="N129" s="7"/>
    </row>
    <row r="131" spans="11:14" x14ac:dyDescent="0.25">
      <c r="N131" s="7"/>
    </row>
    <row r="133" spans="11:14" x14ac:dyDescent="0.25">
      <c r="K133" s="7"/>
    </row>
    <row r="135" spans="11:14" x14ac:dyDescent="0.25">
      <c r="K135" s="7"/>
    </row>
    <row r="137" spans="11:14" x14ac:dyDescent="0.25">
      <c r="K137" s="7"/>
    </row>
    <row r="139" spans="11:14" x14ac:dyDescent="0.25">
      <c r="K139" s="7"/>
    </row>
    <row r="141" spans="11:14" x14ac:dyDescent="0.25">
      <c r="K141" s="7"/>
    </row>
    <row r="143" spans="11:14" x14ac:dyDescent="0.25">
      <c r="K143" s="7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17803-AE6D-4DA6-949E-AF3AF0C5626B}">
  <dimension ref="A1:O103"/>
  <sheetViews>
    <sheetView workbookViewId="0">
      <selection activeCell="O24" sqref="O24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14.85546875" bestFit="1" customWidth="1"/>
    <col min="14" max="14" width="17.7109375" bestFit="1" customWidth="1"/>
    <col min="15" max="15" width="14" bestFit="1" customWidth="1"/>
  </cols>
  <sheetData>
    <row r="1" spans="1:15" x14ac:dyDescent="0.25">
      <c r="A1" s="3" t="s">
        <v>91</v>
      </c>
      <c r="B1" s="3" t="s">
        <v>92</v>
      </c>
      <c r="C1" s="3" t="s">
        <v>93</v>
      </c>
      <c r="D1" s="3" t="s">
        <v>94</v>
      </c>
      <c r="F1" s="3" t="s">
        <v>91</v>
      </c>
      <c r="G1" s="3" t="s">
        <v>4</v>
      </c>
      <c r="H1" s="3" t="s">
        <v>95</v>
      </c>
      <c r="I1" s="3" t="s">
        <v>96</v>
      </c>
      <c r="J1" s="3" t="s">
        <v>97</v>
      </c>
      <c r="K1" s="3" t="s">
        <v>98</v>
      </c>
      <c r="M1" s="3" t="s">
        <v>4</v>
      </c>
      <c r="N1" s="3" t="s">
        <v>95</v>
      </c>
      <c r="O1" s="3" t="s">
        <v>99</v>
      </c>
    </row>
    <row r="2" spans="1:15" x14ac:dyDescent="0.25">
      <c r="A2" s="3" t="s">
        <v>28</v>
      </c>
      <c r="B2" s="8">
        <v>1</v>
      </c>
      <c r="C2" s="23" t="s">
        <v>100</v>
      </c>
      <c r="D2" s="10">
        <v>19.941818237304688</v>
      </c>
      <c r="F2" s="3" t="s">
        <v>28</v>
      </c>
      <c r="G2" s="3" t="s">
        <v>10</v>
      </c>
      <c r="H2" s="3">
        <f>AVERAGEIFS($D$2:$D$103,$A$2:$A$103,$F2,$C$2:$C$103,"Kcnq2")</f>
        <v>26.287929534912109</v>
      </c>
      <c r="I2" s="3">
        <f>AVERAGEIFS($D$2:$D$103,$A$2:$A$103,$F2,$C$2:$C$103,"Gapdh")</f>
        <v>19.951902389526367</v>
      </c>
      <c r="J2" s="3">
        <f t="array" ref="J2">STDEV(IF($A$2:$A$103=$F2,IF($C$2:$C$103="Kcnq2",$D$2:$D$103,"NA"),"NA"))</f>
        <v>3.591216742060916E-2</v>
      </c>
      <c r="K2" s="3">
        <f t="array" ref="K2">STDEV(IF($A$2:$A$103=$F2,IF($C$2:$C$103="Gapdh",$D$2:$D$103,"NA"),"NA"))</f>
        <v>1.1133476294263825E-2</v>
      </c>
      <c r="M2" s="3" t="s">
        <v>10</v>
      </c>
      <c r="N2" s="3">
        <f>AVERAGEIF($G$2:$G$18,$M2,$H$2:$H$18)</f>
        <v>26.143474155002167</v>
      </c>
      <c r="O2" s="3">
        <f t="array" ref="O2">STDEV(IF($G$2:$G$18=$M2,$H$2:$H$18,"NA"))/SQRT(6)</f>
        <v>0.24005590453340245</v>
      </c>
    </row>
    <row r="3" spans="1:15" x14ac:dyDescent="0.25">
      <c r="A3" s="3" t="s">
        <v>28</v>
      </c>
      <c r="B3" s="8">
        <v>2</v>
      </c>
      <c r="C3" s="23" t="s">
        <v>101</v>
      </c>
      <c r="D3" s="10">
        <v>26.260826110839844</v>
      </c>
      <c r="F3" s="3" t="s">
        <v>29</v>
      </c>
      <c r="G3" s="3" t="s">
        <v>10</v>
      </c>
      <c r="H3" s="3">
        <f t="shared" ref="H3:H18" si="0">AVERAGEIFS($D$2:$D$103,$A$2:$A$103,$F3,$C$2:$C$103,"Kcnq2")</f>
        <v>25.323738098144531</v>
      </c>
      <c r="I3" s="3">
        <f t="shared" ref="I3:I18" si="1">AVERAGEIFS($D$2:$D$103,$A$2:$A$103,$F3,$C$2:$C$103,"Gapdh")</f>
        <v>19.194360097249348</v>
      </c>
      <c r="J3" s="3">
        <f t="array" ref="J3">STDEV(IF($A$2:$A$103=$F3,IF($C$2:$C$103="Kcnq2",$D$2:$D$103,"NA"),"NA"))</f>
        <v>0.24654561328001307</v>
      </c>
      <c r="K3" s="3">
        <f t="array" ref="K3">STDEV(IF($A$2:$A$103=$F3,IF($C$2:$C$103="Gapdh",$D$2:$D$103,"NA"),"NA"))</f>
        <v>0.27044953165574126</v>
      </c>
      <c r="M3" s="22" t="s">
        <v>102</v>
      </c>
      <c r="N3" s="3">
        <f>AVERAGEIF($G$2:$G$18,$M3,$H$2:$H$18)</f>
        <v>26.520132912529842</v>
      </c>
      <c r="O3" s="3">
        <f t="array" ref="O3">STDEV(IF($G$2:$G$18=$M3,$H$2:$H$18,"NA"))/SQRT(6)</f>
        <v>0.21596239848767798</v>
      </c>
    </row>
    <row r="4" spans="1:15" x14ac:dyDescent="0.25">
      <c r="A4" s="3" t="s">
        <v>28</v>
      </c>
      <c r="B4" s="8">
        <v>3</v>
      </c>
      <c r="C4" s="23" t="s">
        <v>100</v>
      </c>
      <c r="D4" s="10">
        <v>19.950038909912109</v>
      </c>
      <c r="F4" s="3" t="s">
        <v>30</v>
      </c>
      <c r="G4" s="3" t="s">
        <v>10</v>
      </c>
      <c r="H4" s="3">
        <f t="shared" si="0"/>
        <v>27.022129058837891</v>
      </c>
      <c r="I4" s="3">
        <f t="shared" si="1"/>
        <v>20.722167332967121</v>
      </c>
      <c r="J4" s="3">
        <f t="array" ref="J4">STDEV(IF($A$2:$A$103=$F4,IF($C$2:$C$103="Kcnq2",$D$2:$D$103,"NA"),"NA"))</f>
        <v>0.22734872704889475</v>
      </c>
      <c r="K4" s="3">
        <f t="array" ref="K4">STDEV(IF($A$2:$A$103=$F4,IF($C$2:$C$103="Gapdh",$D$2:$D$103,"NA"),"NA"))</f>
        <v>0.20972316453832113</v>
      </c>
      <c r="M4" s="22" t="s">
        <v>54</v>
      </c>
      <c r="N4" s="3">
        <f>AVERAGEIF($G$2:$G$18,$M4,$H$2:$H$18)</f>
        <v>26.409284845987958</v>
      </c>
      <c r="O4" s="3">
        <f t="array" ref="O4">STDEV(IF($G$2:$G$18=$M4,$H$2:$H$18,"NA"))/SQRT(6)</f>
        <v>0.12303121610185971</v>
      </c>
    </row>
    <row r="5" spans="1:15" x14ac:dyDescent="0.25">
      <c r="A5" s="3" t="s">
        <v>28</v>
      </c>
      <c r="B5" s="8">
        <v>1</v>
      </c>
      <c r="C5" s="23" t="s">
        <v>101</v>
      </c>
      <c r="D5" s="10">
        <v>26.274301528930664</v>
      </c>
      <c r="F5" s="3" t="s">
        <v>31</v>
      </c>
      <c r="G5" s="3" t="s">
        <v>10</v>
      </c>
      <c r="H5" s="3">
        <f t="shared" si="0"/>
        <v>26.41057014465332</v>
      </c>
      <c r="I5" s="3">
        <f t="shared" si="1"/>
        <v>20.13787841796875</v>
      </c>
      <c r="J5" s="3">
        <f t="array" ref="J5">STDEV(IF($A$2:$A$103=$F5,IF($C$2:$C$103="Kcnq2",$D$2:$D$103,"NA"),"NA"))</f>
        <v>0.20780011706757115</v>
      </c>
      <c r="K5" s="3">
        <f t="array" ref="K5">STDEV(IF($A$2:$A$103=$F5,IF($C$2:$C$103="Gapdh",$D$2:$D$103,"NA"),"NA"))</f>
        <v>0.17943989696049242</v>
      </c>
    </row>
    <row r="6" spans="1:15" x14ac:dyDescent="0.25">
      <c r="A6" s="3" t="s">
        <v>28</v>
      </c>
      <c r="B6" s="8">
        <v>2</v>
      </c>
      <c r="C6" s="23" t="s">
        <v>100</v>
      </c>
      <c r="D6" s="10">
        <v>19.963850021362305</v>
      </c>
      <c r="F6" s="3" t="s">
        <v>32</v>
      </c>
      <c r="G6" s="3" t="s">
        <v>10</v>
      </c>
      <c r="H6" s="3">
        <f t="shared" si="0"/>
        <v>25.705847422281902</v>
      </c>
      <c r="I6" s="3">
        <f t="shared" si="1"/>
        <v>19.55082893371582</v>
      </c>
      <c r="J6" s="3">
        <f t="array" ref="J6">STDEV(IF($A$2:$A$103=$F6,IF($C$2:$C$103="Kcnq2",$D$2:$D$103,"NA"),"NA"))</f>
        <v>8.1320088548859276E-2</v>
      </c>
      <c r="K6" s="3">
        <f t="array" ref="K6">STDEV(IF($A$2:$A$103=$F6,IF($C$2:$C$103="Gapdh",$D$2:$D$103,"NA"),"NA"))</f>
        <v>7.8337671479760493E-2</v>
      </c>
      <c r="M6" s="3" t="s">
        <v>4</v>
      </c>
      <c r="N6" s="3" t="s">
        <v>103</v>
      </c>
      <c r="O6" s="3" t="s">
        <v>104</v>
      </c>
    </row>
    <row r="7" spans="1:15" x14ac:dyDescent="0.25">
      <c r="A7" s="3" t="s">
        <v>28</v>
      </c>
      <c r="B7" s="8">
        <v>3</v>
      </c>
      <c r="C7" s="23" t="s">
        <v>101</v>
      </c>
      <c r="D7" s="10">
        <v>26.32866096496582</v>
      </c>
      <c r="F7" s="3" t="s">
        <v>33</v>
      </c>
      <c r="G7" s="3" t="s">
        <v>10</v>
      </c>
      <c r="H7" s="3">
        <f t="shared" si="0"/>
        <v>26.110630671183269</v>
      </c>
      <c r="I7" s="3">
        <f t="shared" si="1"/>
        <v>19.864294687906902</v>
      </c>
      <c r="J7" s="3">
        <f t="array" ref="J7">STDEV(IF($A$2:$A$103=$F7,IF($C$2:$C$103="Kcnq2",$D$2:$D$103,"NA"),"NA"))</f>
        <v>9.9450312805149849E-2</v>
      </c>
      <c r="K7" s="3">
        <f t="array" ref="K7">STDEV(IF($A$2:$A$103=$F7,IF($C$2:$C$103="Gapdh",$D$2:$D$103,"NA"),"NA"))</f>
        <v>0.1101055141353839</v>
      </c>
      <c r="M7" s="3" t="s">
        <v>10</v>
      </c>
      <c r="N7" s="3">
        <f>AVERAGEIF($G$2:$G$18,$M7,$I$2:$I$18)</f>
        <v>19.903571976555718</v>
      </c>
      <c r="O7" s="3">
        <f t="array" ref="O7">STDEV(IF($G$2:$G$18=$M7,$I$2:$I$18,"NA"))/SQRT(6)</f>
        <v>0.21262529986407938</v>
      </c>
    </row>
    <row r="8" spans="1:15" x14ac:dyDescent="0.25">
      <c r="A8" s="3" t="s">
        <v>29</v>
      </c>
      <c r="B8" s="8">
        <v>1</v>
      </c>
      <c r="C8" s="23" t="s">
        <v>100</v>
      </c>
      <c r="D8" s="10">
        <v>19.474020004272461</v>
      </c>
      <c r="F8" s="3" t="s">
        <v>34</v>
      </c>
      <c r="G8" s="22" t="s">
        <v>102</v>
      </c>
      <c r="H8" s="3">
        <f t="shared" si="0"/>
        <v>26.422244389851887</v>
      </c>
      <c r="I8" s="3">
        <f t="shared" si="1"/>
        <v>20.224488576253254</v>
      </c>
      <c r="J8" s="3">
        <f t="array" ref="J8">STDEV(IF($A$2:$A$103=$F8,IF($C$2:$C$103="Kcnq2",$D$2:$D$103,"NA"),"NA"))</f>
        <v>8.2720862412046209E-2</v>
      </c>
      <c r="K8" s="3">
        <f t="array" ref="K8">STDEV(IF($A$2:$A$103=$F8,IF($C$2:$C$103="Gapdh",$D$2:$D$103,"NA"),"NA"))</f>
        <v>0.11653126771075635</v>
      </c>
      <c r="M8" s="22" t="s">
        <v>102</v>
      </c>
      <c r="N8" s="3">
        <f>AVERAGEIF($G$2:$G$18,$M8,$I$2:$I$18)</f>
        <v>20.361216015285915</v>
      </c>
      <c r="O8" s="3">
        <f t="array" ref="O8">STDEV(IF($G$2:$G$18=$M8,$I$2:$I$18,"NA"))/SQRT(6)</f>
        <v>0.2129876750185887</v>
      </c>
    </row>
    <row r="9" spans="1:15" x14ac:dyDescent="0.25">
      <c r="A9" s="3" t="s">
        <v>29</v>
      </c>
      <c r="B9" s="8">
        <v>2</v>
      </c>
      <c r="C9" s="23" t="s">
        <v>101</v>
      </c>
      <c r="D9" s="10">
        <v>25.563095092773438</v>
      </c>
      <c r="F9" s="3" t="s">
        <v>35</v>
      </c>
      <c r="G9" s="22" t="s">
        <v>102</v>
      </c>
      <c r="H9" s="3">
        <f t="shared" si="0"/>
        <v>26.471155166625977</v>
      </c>
      <c r="I9" s="3">
        <f t="shared" si="1"/>
        <v>20.387504577636719</v>
      </c>
      <c r="J9" s="3">
        <f t="array" ref="J9">STDEV(IF($A$2:$A$103=$F9,IF($C$2:$C$103="Kcnq2",$D$2:$D$103,"NA"),"NA"))</f>
        <v>0.12339434771233231</v>
      </c>
      <c r="K9" s="3">
        <f t="array" ref="K9">STDEV(IF($A$2:$A$103=$F9,IF($C$2:$C$103="Gapdh",$D$2:$D$103,"NA"),"NA"))</f>
        <v>0.10462325445814692</v>
      </c>
      <c r="M9" s="22" t="s">
        <v>54</v>
      </c>
      <c r="N9" s="3">
        <f>AVERAGEIF($G$2:$G$18,$M9,$I$2:$I$18)</f>
        <v>20.331500625610353</v>
      </c>
      <c r="O9" s="3">
        <f t="array" ref="O9">STDEV(IF($G$2:$G$18=$M9,$I$2:$I$18,"NA"))/SQRT(6)</f>
        <v>0.13022358012870269</v>
      </c>
    </row>
    <row r="10" spans="1:15" x14ac:dyDescent="0.25">
      <c r="A10" s="3" t="s">
        <v>29</v>
      </c>
      <c r="B10" s="8">
        <v>3</v>
      </c>
      <c r="C10" s="23" t="s">
        <v>100</v>
      </c>
      <c r="D10" s="10">
        <v>19.174886703491211</v>
      </c>
      <c r="F10" s="3" t="s">
        <v>36</v>
      </c>
      <c r="G10" s="22" t="s">
        <v>102</v>
      </c>
      <c r="H10" s="3">
        <f t="shared" si="0"/>
        <v>27.138935724894207</v>
      </c>
      <c r="I10" s="3">
        <f t="shared" si="1"/>
        <v>20.879709879557293</v>
      </c>
      <c r="J10" s="3">
        <f t="array" ref="J10">STDEV(IF($A$2:$A$103=$F10,IF($C$2:$C$103="Kcnq2",$D$2:$D$103,"NA"),"NA"))</f>
        <v>0.1356268103708988</v>
      </c>
      <c r="K10" s="3">
        <f t="array" ref="K10">STDEV(IF($A$2:$A$103=$F10,IF($C$2:$C$103="Gapdh",$D$2:$D$103,"NA"),"NA"))</f>
        <v>0.11091670571871554</v>
      </c>
    </row>
    <row r="11" spans="1:15" x14ac:dyDescent="0.25">
      <c r="A11" s="3" t="s">
        <v>29</v>
      </c>
      <c r="B11" s="8">
        <v>1</v>
      </c>
      <c r="C11" s="23" t="s">
        <v>101</v>
      </c>
      <c r="D11" s="10">
        <v>25.337535858154297</v>
      </c>
      <c r="F11" s="3" t="s">
        <v>37</v>
      </c>
      <c r="G11" s="22" t="s">
        <v>102</v>
      </c>
      <c r="H11" s="3">
        <f t="shared" si="0"/>
        <v>26.750433603922527</v>
      </c>
      <c r="I11" s="3">
        <f t="shared" si="1"/>
        <v>20.666893005371094</v>
      </c>
      <c r="J11" s="3">
        <f t="array" ref="J11">STDEV(IF($A$2:$A$103=$F11,IF($C$2:$C$103="Kcnq2",$D$2:$D$103,"NA"),"NA"))</f>
        <v>8.1648379654379433E-2</v>
      </c>
      <c r="K11" s="3">
        <f t="array" ref="K11">STDEV(IF($A$2:$A$103=$F11,IF($C$2:$C$103="Gapdh",$D$2:$D$103,"NA"),"NA"))</f>
        <v>8.186741192060927E-2</v>
      </c>
    </row>
    <row r="12" spans="1:15" x14ac:dyDescent="0.25">
      <c r="A12" s="3" t="s">
        <v>29</v>
      </c>
      <c r="B12" s="8">
        <v>2</v>
      </c>
      <c r="C12" s="23" t="s">
        <v>100</v>
      </c>
      <c r="D12" s="10">
        <v>18.934173583984375</v>
      </c>
      <c r="F12" s="3" t="s">
        <v>38</v>
      </c>
      <c r="G12" s="22" t="s">
        <v>102</v>
      </c>
      <c r="H12" s="3">
        <f t="shared" si="0"/>
        <v>26.762599945068359</v>
      </c>
      <c r="I12" s="3">
        <f t="shared" si="1"/>
        <v>20.606241226196289</v>
      </c>
      <c r="J12" s="3">
        <f t="array" ref="J12">STDEV(IF($A$2:$A$103=$F12,IF($C$2:$C$103="Kcnq2",$D$2:$D$103,"NA"),"NA"))</f>
        <v>4.1385799368662185E-2</v>
      </c>
      <c r="K12" s="3">
        <f t="array" ref="K12">STDEV(IF($A$2:$A$103=$F12,IF($C$2:$C$103="Gapdh",$D$2:$D$103,"NA"),"NA"))</f>
        <v>6.3971061327009748E-2</v>
      </c>
    </row>
    <row r="13" spans="1:15" x14ac:dyDescent="0.25">
      <c r="A13" s="3" t="s">
        <v>29</v>
      </c>
      <c r="B13" s="8">
        <v>3</v>
      </c>
      <c r="C13" s="23" t="s">
        <v>101</v>
      </c>
      <c r="D13" s="10">
        <v>25.070583343505859</v>
      </c>
      <c r="F13" s="3" t="s">
        <v>39</v>
      </c>
      <c r="G13" s="22" t="s">
        <v>102</v>
      </c>
      <c r="H13" s="3">
        <f t="shared" si="0"/>
        <v>25.575428644816082</v>
      </c>
      <c r="I13" s="3">
        <f t="shared" si="1"/>
        <v>19.402458826700848</v>
      </c>
      <c r="J13" s="3">
        <f t="array" ref="J13">STDEV(IF($A$2:$A$103=$F13,IF($C$2:$C$103="Kcnq2",$D$2:$D$103,"NA"),"NA"))</f>
        <v>0.17412167647775137</v>
      </c>
      <c r="K13" s="3">
        <f t="array" ref="K13">STDEV(IF($A$2:$A$103=$F13,IF($C$2:$C$103="Gapdh",$D$2:$D$103,"NA"),"NA"))</f>
        <v>0.17179150214666827</v>
      </c>
    </row>
    <row r="14" spans="1:15" x14ac:dyDescent="0.25">
      <c r="A14" s="3" t="s">
        <v>30</v>
      </c>
      <c r="B14" s="8">
        <v>1</v>
      </c>
      <c r="C14" s="23" t="s">
        <v>100</v>
      </c>
      <c r="D14" s="10">
        <v>20.934829711914063</v>
      </c>
      <c r="F14" s="3" t="s">
        <v>40</v>
      </c>
      <c r="G14" s="22" t="s">
        <v>54</v>
      </c>
      <c r="H14" s="3">
        <f t="shared" si="0"/>
        <v>26.666289647420246</v>
      </c>
      <c r="I14" s="3">
        <f t="shared" si="1"/>
        <v>20.716991424560547</v>
      </c>
      <c r="J14" s="3">
        <f t="array" ref="J14">STDEV(IF($A$2:$A$103=$F14,IF($C$2:$C$103="Kcnq2",$D$2:$D$103,"NA"),"NA"))</f>
        <v>4.0604639485986652E-2</v>
      </c>
      <c r="K14" s="3">
        <f t="array" ref="K14">STDEV(IF($A$2:$A$103=$F14,IF($C$2:$C$103="Gapdh",$D$2:$D$103,"NA"),"NA"))</f>
        <v>5.0800394956351275E-2</v>
      </c>
    </row>
    <row r="15" spans="1:15" x14ac:dyDescent="0.25">
      <c r="A15" s="3" t="s">
        <v>30</v>
      </c>
      <c r="B15" s="8">
        <v>2</v>
      </c>
      <c r="C15" s="23" t="s">
        <v>101</v>
      </c>
      <c r="D15" s="10">
        <v>27.239717483520508</v>
      </c>
      <c r="F15" s="3" t="s">
        <v>41</v>
      </c>
      <c r="G15" s="22" t="s">
        <v>54</v>
      </c>
      <c r="H15" s="3">
        <f t="shared" si="0"/>
        <v>26.307645161946613</v>
      </c>
      <c r="I15" s="3">
        <f t="shared" si="1"/>
        <v>20.326336542765301</v>
      </c>
      <c r="J15" s="3">
        <f t="array" ref="J15">STDEV(IF($A$2:$A$103=$F15,IF($C$2:$C$103="Kcnq2",$D$2:$D$103,"NA"),"NA"))</f>
        <v>6.6092239739372449E-2</v>
      </c>
      <c r="K15" s="3">
        <f t="array" ref="K15">STDEV(IF($A$2:$A$103=$F15,IF($C$2:$C$103="Gapdh",$D$2:$D$103,"NA"),"NA"))</f>
        <v>5.936908817159002E-2</v>
      </c>
    </row>
    <row r="16" spans="1:15" x14ac:dyDescent="0.25">
      <c r="A16" s="3" t="s">
        <v>30</v>
      </c>
      <c r="B16" s="8">
        <v>3</v>
      </c>
      <c r="C16" s="23" t="s">
        <v>100</v>
      </c>
      <c r="D16" s="10">
        <v>20.716159820556641</v>
      </c>
      <c r="F16" s="3" t="s">
        <v>42</v>
      </c>
      <c r="G16" s="22" t="s">
        <v>54</v>
      </c>
      <c r="H16" s="3">
        <f t="shared" si="0"/>
        <v>26.051968256632488</v>
      </c>
      <c r="I16" s="3">
        <f t="shared" si="1"/>
        <v>19.96221097310384</v>
      </c>
      <c r="J16" s="3">
        <f t="array" ref="J16">STDEV(IF($A$2:$A$103=$F16,IF($C$2:$C$103="Kcnq2",$D$2:$D$103,"NA"),"NA"))</f>
        <v>0.11435903990343432</v>
      </c>
      <c r="K16" s="3">
        <f t="array" ref="K16">STDEV(IF($A$2:$A$103=$F16,IF($C$2:$C$103="Gapdh",$D$2:$D$103,"NA"),"NA"))</f>
        <v>7.9963220490269576E-2</v>
      </c>
    </row>
    <row r="17" spans="1:11" x14ac:dyDescent="0.25">
      <c r="A17" s="3" t="s">
        <v>30</v>
      </c>
      <c r="B17" s="8">
        <v>1</v>
      </c>
      <c r="C17" s="23" t="s">
        <v>101</v>
      </c>
      <c r="D17" s="10">
        <v>27.040531158447266</v>
      </c>
      <c r="F17" s="22" t="s">
        <v>43</v>
      </c>
      <c r="G17" s="22" t="s">
        <v>54</v>
      </c>
      <c r="H17" s="22">
        <f t="shared" si="0"/>
        <v>26.246792475382488</v>
      </c>
      <c r="I17" s="22">
        <f t="shared" si="1"/>
        <v>20.079070409138996</v>
      </c>
      <c r="J17" s="22">
        <f t="array" ref="J17">STDEV(IF($A$2:$A$103=$F17,IF($C$2:$C$103="Kcnq2",$D$2:$D$103,"NA"),"NA"))</f>
        <v>2.9757980399482211E-2</v>
      </c>
      <c r="K17" s="22">
        <f t="array" ref="K17">STDEV(IF($A$2:$A$103=$F17,IF($C$2:$C$103="Gapdh",$D$2:$D$103,"NA"),"NA"))</f>
        <v>1.059401275442599E-2</v>
      </c>
    </row>
    <row r="18" spans="1:11" x14ac:dyDescent="0.25">
      <c r="A18" s="3" t="s">
        <v>30</v>
      </c>
      <c r="B18" s="8">
        <v>2</v>
      </c>
      <c r="C18" s="23" t="s">
        <v>100</v>
      </c>
      <c r="D18" s="10">
        <v>20.515512466430664</v>
      </c>
      <c r="F18" s="3" t="s">
        <v>44</v>
      </c>
      <c r="G18" s="22" t="s">
        <v>54</v>
      </c>
      <c r="H18" s="3">
        <f t="shared" si="0"/>
        <v>26.773728688557942</v>
      </c>
      <c r="I18" s="3">
        <f t="shared" si="1"/>
        <v>20.572893778483074</v>
      </c>
      <c r="J18" s="3">
        <f t="array" ref="J18">STDEV(IF($A$2:$A$103=$F18,IF($C$2:$C$103="Kcnq2",$D$2:$D$103,"NA"),"NA"))</f>
        <v>8.648197505137889E-2</v>
      </c>
      <c r="K18" s="3">
        <f t="array" ref="K18">STDEV(IF($A$2:$A$103=$F18,IF($C$2:$C$103="Gapdh",$D$2:$D$103,"NA"),"NA"))</f>
        <v>5.7884626880250721E-2</v>
      </c>
    </row>
    <row r="19" spans="1:11" x14ac:dyDescent="0.25">
      <c r="A19" s="3" t="s">
        <v>30</v>
      </c>
      <c r="B19" s="8">
        <v>3</v>
      </c>
      <c r="C19" s="23" t="s">
        <v>101</v>
      </c>
      <c r="D19" s="10">
        <v>26.786138534545898</v>
      </c>
    </row>
    <row r="20" spans="1:11" x14ac:dyDescent="0.25">
      <c r="A20" s="3" t="s">
        <v>31</v>
      </c>
      <c r="B20" s="8">
        <v>1</v>
      </c>
      <c r="C20" s="23" t="s">
        <v>100</v>
      </c>
      <c r="D20" s="10">
        <v>20.287937164306641</v>
      </c>
    </row>
    <row r="21" spans="1:11" x14ac:dyDescent="0.25">
      <c r="A21" s="3" t="s">
        <v>31</v>
      </c>
      <c r="B21" s="8">
        <v>2</v>
      </c>
      <c r="C21" s="23" t="s">
        <v>101</v>
      </c>
      <c r="D21" s="10">
        <v>26.607400894165039</v>
      </c>
    </row>
    <row r="22" spans="1:11" x14ac:dyDescent="0.25">
      <c r="A22" s="3" t="s">
        <v>31</v>
      </c>
      <c r="B22" s="8">
        <v>3</v>
      </c>
      <c r="C22" s="23" t="s">
        <v>100</v>
      </c>
      <c r="D22" s="10">
        <v>20.18658447265625</v>
      </c>
    </row>
    <row r="23" spans="1:11" x14ac:dyDescent="0.25">
      <c r="A23" s="3" t="s">
        <v>31</v>
      </c>
      <c r="B23" s="8">
        <v>1</v>
      </c>
      <c r="C23" s="23" t="s">
        <v>101</v>
      </c>
      <c r="D23" s="10">
        <v>26.430999755859375</v>
      </c>
    </row>
    <row r="24" spans="1:11" x14ac:dyDescent="0.25">
      <c r="A24" s="3" t="s">
        <v>31</v>
      </c>
      <c r="B24" s="8">
        <v>2</v>
      </c>
      <c r="C24" s="23" t="s">
        <v>100</v>
      </c>
      <c r="D24" s="10">
        <v>19.939113616943359</v>
      </c>
    </row>
    <row r="25" spans="1:11" x14ac:dyDescent="0.25">
      <c r="A25" s="3" t="s">
        <v>31</v>
      </c>
      <c r="B25" s="8">
        <v>3</v>
      </c>
      <c r="C25" s="23" t="s">
        <v>101</v>
      </c>
      <c r="D25" s="10">
        <v>26.193309783935547</v>
      </c>
    </row>
    <row r="26" spans="1:11" x14ac:dyDescent="0.25">
      <c r="A26" s="3" t="s">
        <v>32</v>
      </c>
      <c r="B26" s="8">
        <v>1</v>
      </c>
      <c r="C26" s="23" t="s">
        <v>100</v>
      </c>
      <c r="D26" s="10">
        <v>19.637418746948242</v>
      </c>
    </row>
    <row r="27" spans="1:11" x14ac:dyDescent="0.25">
      <c r="A27" s="3" t="s">
        <v>32</v>
      </c>
      <c r="B27" s="8">
        <v>2</v>
      </c>
      <c r="C27" s="23" t="s">
        <v>101</v>
      </c>
      <c r="D27" s="10">
        <v>25.794885635375977</v>
      </c>
      <c r="J27" s="7"/>
    </row>
    <row r="28" spans="1:11" x14ac:dyDescent="0.25">
      <c r="A28" s="3" t="s">
        <v>32</v>
      </c>
      <c r="B28" s="8">
        <v>3</v>
      </c>
      <c r="C28" s="23" t="s">
        <v>100</v>
      </c>
      <c r="D28" s="10">
        <v>19.530193328857422</v>
      </c>
      <c r="J28" s="7"/>
    </row>
    <row r="29" spans="1:11" x14ac:dyDescent="0.25">
      <c r="A29" s="3" t="s">
        <v>32</v>
      </c>
      <c r="B29" s="8">
        <v>1</v>
      </c>
      <c r="C29" s="23" t="s">
        <v>101</v>
      </c>
      <c r="D29" s="10">
        <v>25.687156677246094</v>
      </c>
    </row>
    <row r="30" spans="1:11" x14ac:dyDescent="0.25">
      <c r="A30" s="3" t="s">
        <v>32</v>
      </c>
      <c r="B30" s="8">
        <v>2</v>
      </c>
      <c r="C30" s="23" t="s">
        <v>100</v>
      </c>
      <c r="D30" s="10">
        <v>19.484874725341797</v>
      </c>
    </row>
    <row r="31" spans="1:11" x14ac:dyDescent="0.25">
      <c r="A31" s="3" t="s">
        <v>32</v>
      </c>
      <c r="B31" s="8">
        <v>3</v>
      </c>
      <c r="C31" s="23" t="s">
        <v>101</v>
      </c>
      <c r="D31" s="10">
        <v>25.635499954223633</v>
      </c>
    </row>
    <row r="32" spans="1:11" x14ac:dyDescent="0.25">
      <c r="A32" s="3" t="s">
        <v>33</v>
      </c>
      <c r="B32" s="8">
        <v>1</v>
      </c>
      <c r="C32" s="23" t="s">
        <v>100</v>
      </c>
      <c r="D32" s="10">
        <v>19.896728515625</v>
      </c>
    </row>
    <row r="33" spans="1:4" x14ac:dyDescent="0.25">
      <c r="A33" s="3" t="s">
        <v>33</v>
      </c>
      <c r="B33" s="8">
        <v>2</v>
      </c>
      <c r="C33" s="23" t="s">
        <v>101</v>
      </c>
      <c r="D33" s="10">
        <v>26.150741577148438</v>
      </c>
    </row>
    <row r="34" spans="1:4" x14ac:dyDescent="0.25">
      <c r="A34" s="3" t="s">
        <v>33</v>
      </c>
      <c r="B34" s="8">
        <v>3</v>
      </c>
      <c r="C34" s="23" t="s">
        <v>100</v>
      </c>
      <c r="D34" s="10">
        <v>19.954540252685547</v>
      </c>
    </row>
    <row r="35" spans="1:4" x14ac:dyDescent="0.25">
      <c r="A35" s="3" t="s">
        <v>33</v>
      </c>
      <c r="B35" s="8">
        <v>1</v>
      </c>
      <c r="C35" s="23" t="s">
        <v>101</v>
      </c>
      <c r="D35" s="10">
        <v>26.183761596679688</v>
      </c>
    </row>
    <row r="36" spans="1:4" x14ac:dyDescent="0.25">
      <c r="A36" s="3" t="s">
        <v>33</v>
      </c>
      <c r="B36" s="8">
        <v>2</v>
      </c>
      <c r="C36" s="23" t="s">
        <v>100</v>
      </c>
      <c r="D36" s="10">
        <v>19.741615295410156</v>
      </c>
    </row>
    <row r="37" spans="1:4" x14ac:dyDescent="0.25">
      <c r="A37" s="3" t="s">
        <v>33</v>
      </c>
      <c r="B37" s="8">
        <v>3</v>
      </c>
      <c r="C37" s="23" t="s">
        <v>101</v>
      </c>
      <c r="D37" s="10">
        <v>25.99738883972168</v>
      </c>
    </row>
    <row r="38" spans="1:4" x14ac:dyDescent="0.25">
      <c r="A38" s="3" t="s">
        <v>34</v>
      </c>
      <c r="B38" s="8">
        <v>1</v>
      </c>
      <c r="C38" s="23" t="s">
        <v>100</v>
      </c>
      <c r="D38" s="10">
        <v>20.359045028686523</v>
      </c>
    </row>
    <row r="39" spans="1:4" x14ac:dyDescent="0.25">
      <c r="A39" s="3" t="s">
        <v>34</v>
      </c>
      <c r="B39" s="8">
        <v>2</v>
      </c>
      <c r="C39" s="23" t="s">
        <v>101</v>
      </c>
      <c r="D39" s="10">
        <v>26.515504837036133</v>
      </c>
    </row>
    <row r="40" spans="1:4" x14ac:dyDescent="0.25">
      <c r="A40" s="3" t="s">
        <v>34</v>
      </c>
      <c r="B40" s="8">
        <v>3</v>
      </c>
      <c r="C40" s="23" t="s">
        <v>100</v>
      </c>
      <c r="D40" s="10">
        <v>20.157886505126953</v>
      </c>
    </row>
    <row r="41" spans="1:4" x14ac:dyDescent="0.25">
      <c r="A41" s="3" t="s">
        <v>34</v>
      </c>
      <c r="B41" s="8">
        <v>1</v>
      </c>
      <c r="C41" s="23" t="s">
        <v>101</v>
      </c>
      <c r="D41" s="10">
        <v>26.393491744995117</v>
      </c>
    </row>
    <row r="42" spans="1:4" x14ac:dyDescent="0.25">
      <c r="A42" s="3" t="s">
        <v>34</v>
      </c>
      <c r="B42" s="8">
        <v>2</v>
      </c>
      <c r="C42" s="23" t="s">
        <v>100</v>
      </c>
      <c r="D42" s="10">
        <v>20.156534194946289</v>
      </c>
    </row>
    <row r="43" spans="1:4" x14ac:dyDescent="0.25">
      <c r="A43" s="3" t="s">
        <v>34</v>
      </c>
      <c r="B43" s="8">
        <v>3</v>
      </c>
      <c r="C43" s="23" t="s">
        <v>101</v>
      </c>
      <c r="D43" s="10">
        <v>26.357736587524414</v>
      </c>
    </row>
    <row r="44" spans="1:4" x14ac:dyDescent="0.25">
      <c r="A44" s="3" t="s">
        <v>35</v>
      </c>
      <c r="B44" s="8">
        <v>1</v>
      </c>
      <c r="C44" s="23" t="s">
        <v>100</v>
      </c>
      <c r="D44" s="10">
        <v>20.494377136230469</v>
      </c>
    </row>
    <row r="45" spans="1:4" x14ac:dyDescent="0.25">
      <c r="A45" s="3" t="s">
        <v>35</v>
      </c>
      <c r="B45" s="8">
        <v>2</v>
      </c>
      <c r="C45" s="23" t="s">
        <v>101</v>
      </c>
      <c r="D45" s="10">
        <v>26.590131759643555</v>
      </c>
    </row>
    <row r="46" spans="1:4" x14ac:dyDescent="0.25">
      <c r="A46" s="3" t="s">
        <v>35</v>
      </c>
      <c r="B46" s="8">
        <v>3</v>
      </c>
      <c r="C46" s="23" t="s">
        <v>100</v>
      </c>
      <c r="D46" s="10">
        <v>20.285285949707031</v>
      </c>
    </row>
    <row r="47" spans="1:4" x14ac:dyDescent="0.25">
      <c r="A47" s="3" t="s">
        <v>35</v>
      </c>
      <c r="B47" s="8">
        <v>1</v>
      </c>
      <c r="C47" s="23" t="s">
        <v>101</v>
      </c>
      <c r="D47" s="10">
        <v>26.343772888183594</v>
      </c>
    </row>
    <row r="48" spans="1:4" x14ac:dyDescent="0.25">
      <c r="A48" s="3" t="s">
        <v>35</v>
      </c>
      <c r="B48" s="8">
        <v>2</v>
      </c>
      <c r="C48" s="23" t="s">
        <v>100</v>
      </c>
      <c r="D48" s="10">
        <v>20.382850646972656</v>
      </c>
    </row>
    <row r="49" spans="1:4" x14ac:dyDescent="0.25">
      <c r="A49" s="3" t="s">
        <v>35</v>
      </c>
      <c r="B49" s="8">
        <v>3</v>
      </c>
      <c r="C49" s="23" t="s">
        <v>101</v>
      </c>
      <c r="D49" s="10">
        <v>26.479560852050781</v>
      </c>
    </row>
    <row r="50" spans="1:4" x14ac:dyDescent="0.25">
      <c r="A50" s="3" t="s">
        <v>36</v>
      </c>
      <c r="B50" s="8">
        <v>1</v>
      </c>
      <c r="C50" s="23" t="s">
        <v>100</v>
      </c>
      <c r="D50" s="10">
        <v>20.873783111572266</v>
      </c>
    </row>
    <row r="51" spans="1:4" x14ac:dyDescent="0.25">
      <c r="A51" s="3" t="s">
        <v>36</v>
      </c>
      <c r="B51" s="8">
        <v>2</v>
      </c>
      <c r="C51" s="23" t="s">
        <v>101</v>
      </c>
      <c r="D51" s="10">
        <v>27.08073616027832</v>
      </c>
    </row>
    <row r="52" spans="1:4" x14ac:dyDescent="0.25">
      <c r="A52" s="3" t="s">
        <v>36</v>
      </c>
      <c r="B52" s="8">
        <v>3</v>
      </c>
      <c r="C52" s="23" t="s">
        <v>100</v>
      </c>
      <c r="D52" s="10">
        <v>20.993471145629883</v>
      </c>
    </row>
    <row r="53" spans="1:4" x14ac:dyDescent="0.25">
      <c r="A53" s="3" t="s">
        <v>36</v>
      </c>
      <c r="B53" s="8">
        <v>1</v>
      </c>
      <c r="C53" s="23" t="s">
        <v>101</v>
      </c>
      <c r="D53" s="10">
        <v>27.293949127197266</v>
      </c>
    </row>
    <row r="54" spans="1:4" x14ac:dyDescent="0.25">
      <c r="A54" s="3" t="s">
        <v>36</v>
      </c>
      <c r="B54" s="8">
        <v>2</v>
      </c>
      <c r="C54" s="23" t="s">
        <v>100</v>
      </c>
      <c r="D54" s="10">
        <v>20.771875381469727</v>
      </c>
    </row>
    <row r="55" spans="1:4" x14ac:dyDescent="0.25">
      <c r="A55" s="3" t="s">
        <v>36</v>
      </c>
      <c r="B55" s="8">
        <v>3</v>
      </c>
      <c r="C55" s="23" t="s">
        <v>101</v>
      </c>
      <c r="D55" s="10">
        <v>27.042121887207031</v>
      </c>
    </row>
    <row r="56" spans="1:4" x14ac:dyDescent="0.25">
      <c r="A56" s="3" t="s">
        <v>37</v>
      </c>
      <c r="B56" s="8">
        <v>1</v>
      </c>
      <c r="C56" s="23" t="s">
        <v>100</v>
      </c>
      <c r="D56" s="10">
        <v>20.587404251098633</v>
      </c>
    </row>
    <row r="57" spans="1:4" x14ac:dyDescent="0.25">
      <c r="A57" s="3" t="s">
        <v>37</v>
      </c>
      <c r="B57" s="8">
        <v>2</v>
      </c>
      <c r="C57" s="23" t="s">
        <v>101</v>
      </c>
      <c r="D57" s="10">
        <v>26.663965225219727</v>
      </c>
    </row>
    <row r="58" spans="1:4" x14ac:dyDescent="0.25">
      <c r="A58" s="3" t="s">
        <v>37</v>
      </c>
      <c r="B58" s="8">
        <v>3</v>
      </c>
      <c r="C58" s="23" t="s">
        <v>100</v>
      </c>
      <c r="D58" s="10">
        <v>20.750947952270508</v>
      </c>
    </row>
    <row r="59" spans="1:4" x14ac:dyDescent="0.25">
      <c r="A59" s="3" t="s">
        <v>37</v>
      </c>
      <c r="B59" s="8">
        <v>1</v>
      </c>
      <c r="C59" s="23" t="s">
        <v>101</v>
      </c>
      <c r="D59" s="10">
        <v>26.826208114624023</v>
      </c>
    </row>
    <row r="60" spans="1:4" x14ac:dyDescent="0.25">
      <c r="A60" s="3" t="s">
        <v>37</v>
      </c>
      <c r="B60" s="8">
        <v>2</v>
      </c>
      <c r="C60" s="23" t="s">
        <v>100</v>
      </c>
      <c r="D60" s="10">
        <v>20.662326812744141</v>
      </c>
    </row>
    <row r="61" spans="1:4" x14ac:dyDescent="0.25">
      <c r="A61" s="3" t="s">
        <v>37</v>
      </c>
      <c r="B61" s="8">
        <v>3</v>
      </c>
      <c r="C61" s="23" t="s">
        <v>101</v>
      </c>
      <c r="D61" s="10">
        <v>26.761127471923828</v>
      </c>
    </row>
    <row r="62" spans="1:4" x14ac:dyDescent="0.25">
      <c r="A62" s="3" t="s">
        <v>38</v>
      </c>
      <c r="B62" s="8">
        <v>1</v>
      </c>
      <c r="C62" s="23" t="s">
        <v>100</v>
      </c>
      <c r="D62" s="10">
        <v>20.58686637878418</v>
      </c>
    </row>
    <row r="63" spans="1:4" x14ac:dyDescent="0.25">
      <c r="A63" s="3" t="s">
        <v>38</v>
      </c>
      <c r="B63" s="8">
        <v>2</v>
      </c>
      <c r="C63" s="23" t="s">
        <v>101</v>
      </c>
      <c r="D63" s="10">
        <v>26.759590148925781</v>
      </c>
    </row>
    <row r="64" spans="1:4" x14ac:dyDescent="0.25">
      <c r="A64" s="3" t="s">
        <v>38</v>
      </c>
      <c r="B64" s="8">
        <v>3</v>
      </c>
      <c r="C64" s="23" t="s">
        <v>100</v>
      </c>
      <c r="D64" s="10">
        <v>20.67765998840332</v>
      </c>
    </row>
    <row r="65" spans="1:4" x14ac:dyDescent="0.25">
      <c r="A65" s="3" t="s">
        <v>38</v>
      </c>
      <c r="B65" s="8">
        <v>1</v>
      </c>
      <c r="C65" s="23" t="s">
        <v>101</v>
      </c>
      <c r="D65" s="10">
        <v>26.805408477783203</v>
      </c>
    </row>
    <row r="66" spans="1:4" x14ac:dyDescent="0.25">
      <c r="A66" s="3" t="s">
        <v>38</v>
      </c>
      <c r="B66" s="8">
        <v>2</v>
      </c>
      <c r="C66" s="23" t="s">
        <v>100</v>
      </c>
      <c r="D66" s="10">
        <v>20.554197311401367</v>
      </c>
    </row>
    <row r="67" spans="1:4" x14ac:dyDescent="0.25">
      <c r="A67" s="3" t="s">
        <v>38</v>
      </c>
      <c r="B67" s="8">
        <v>3</v>
      </c>
      <c r="C67" s="23" t="s">
        <v>101</v>
      </c>
      <c r="D67" s="10">
        <v>26.722801208496094</v>
      </c>
    </row>
    <row r="68" spans="1:4" x14ac:dyDescent="0.25">
      <c r="A68" s="3" t="s">
        <v>39</v>
      </c>
      <c r="B68" s="8">
        <v>1</v>
      </c>
      <c r="C68" s="23" t="s">
        <v>100</v>
      </c>
      <c r="D68" s="10">
        <v>19.486337661743164</v>
      </c>
    </row>
    <row r="69" spans="1:4" x14ac:dyDescent="0.25">
      <c r="A69" s="3" t="s">
        <v>39</v>
      </c>
      <c r="B69" s="8">
        <v>2</v>
      </c>
      <c r="C69" s="23" t="s">
        <v>101</v>
      </c>
      <c r="D69" s="10">
        <v>25.67869758605957</v>
      </c>
    </row>
    <row r="70" spans="1:4" x14ac:dyDescent="0.25">
      <c r="A70" s="3" t="s">
        <v>39</v>
      </c>
      <c r="B70" s="8">
        <v>3</v>
      </c>
      <c r="C70" s="23" t="s">
        <v>100</v>
      </c>
      <c r="D70" s="10">
        <v>19.516197204589844</v>
      </c>
    </row>
    <row r="71" spans="1:4" x14ac:dyDescent="0.25">
      <c r="A71" s="3" t="s">
        <v>39</v>
      </c>
      <c r="B71" s="8">
        <v>1</v>
      </c>
      <c r="C71" s="23" t="s">
        <v>101</v>
      </c>
      <c r="D71" s="10">
        <v>25.673192977905273</v>
      </c>
    </row>
    <row r="72" spans="1:4" x14ac:dyDescent="0.25">
      <c r="A72" s="3" t="s">
        <v>39</v>
      </c>
      <c r="B72" s="8">
        <v>2</v>
      </c>
      <c r="C72" s="23" t="s">
        <v>100</v>
      </c>
      <c r="D72" s="10">
        <v>19.204841613769531</v>
      </c>
    </row>
    <row r="73" spans="1:4" x14ac:dyDescent="0.25">
      <c r="A73" s="3" t="s">
        <v>39</v>
      </c>
      <c r="B73" s="8">
        <v>3</v>
      </c>
      <c r="C73" s="23" t="s">
        <v>101</v>
      </c>
      <c r="D73" s="10">
        <v>25.374395370483398</v>
      </c>
    </row>
    <row r="74" spans="1:4" x14ac:dyDescent="0.25">
      <c r="A74" s="3" t="s">
        <v>40</v>
      </c>
      <c r="B74" s="8">
        <v>1</v>
      </c>
      <c r="C74" s="23" t="s">
        <v>100</v>
      </c>
      <c r="D74" s="10">
        <v>20.769168853759766</v>
      </c>
    </row>
    <row r="75" spans="1:4" x14ac:dyDescent="0.25">
      <c r="A75" s="3" t="s">
        <v>40</v>
      </c>
      <c r="B75" s="8">
        <v>2</v>
      </c>
      <c r="C75" s="23" t="s">
        <v>101</v>
      </c>
      <c r="D75" s="10">
        <v>26.701045989990234</v>
      </c>
    </row>
    <row r="76" spans="1:4" x14ac:dyDescent="0.25">
      <c r="A76" s="3" t="s">
        <v>40</v>
      </c>
      <c r="B76" s="8">
        <v>3</v>
      </c>
      <c r="C76" s="23" t="s">
        <v>100</v>
      </c>
      <c r="D76" s="10">
        <v>20.714115142822266</v>
      </c>
    </row>
    <row r="77" spans="1:4" x14ac:dyDescent="0.25">
      <c r="A77" s="3" t="s">
        <v>40</v>
      </c>
      <c r="B77" s="8">
        <v>1</v>
      </c>
      <c r="C77" s="23" t="s">
        <v>101</v>
      </c>
      <c r="D77" s="10">
        <v>26.676164627075195</v>
      </c>
    </row>
    <row r="78" spans="1:4" x14ac:dyDescent="0.25">
      <c r="A78" s="3" t="s">
        <v>40</v>
      </c>
      <c r="B78" s="8">
        <v>2</v>
      </c>
      <c r="C78" s="23" t="s">
        <v>100</v>
      </c>
      <c r="D78" s="10">
        <v>20.667690277099609</v>
      </c>
    </row>
    <row r="79" spans="1:4" x14ac:dyDescent="0.25">
      <c r="A79" s="3" t="s">
        <v>40</v>
      </c>
      <c r="B79" s="8">
        <v>3</v>
      </c>
      <c r="C79" s="23" t="s">
        <v>101</v>
      </c>
      <c r="D79" s="10">
        <v>26.621658325195313</v>
      </c>
    </row>
    <row r="80" spans="1:4" x14ac:dyDescent="0.25">
      <c r="A80" s="3" t="s">
        <v>41</v>
      </c>
      <c r="B80" s="8">
        <v>1</v>
      </c>
      <c r="C80" s="23" t="s">
        <v>100</v>
      </c>
      <c r="D80" s="10">
        <v>20.390302658081055</v>
      </c>
    </row>
    <row r="81" spans="1:4" x14ac:dyDescent="0.25">
      <c r="A81" s="3" t="s">
        <v>41</v>
      </c>
      <c r="B81" s="8">
        <v>2</v>
      </c>
      <c r="C81" s="23" t="s">
        <v>101</v>
      </c>
      <c r="D81" s="10">
        <v>26.370285034179688</v>
      </c>
    </row>
    <row r="82" spans="1:4" x14ac:dyDescent="0.25">
      <c r="A82" s="3" t="s">
        <v>41</v>
      </c>
      <c r="B82" s="8">
        <v>3</v>
      </c>
      <c r="C82" s="23" t="s">
        <v>100</v>
      </c>
      <c r="D82" s="10">
        <v>20.315706253051758</v>
      </c>
    </row>
    <row r="83" spans="1:4" x14ac:dyDescent="0.25">
      <c r="A83" s="3" t="s">
        <v>41</v>
      </c>
      <c r="B83" s="8">
        <v>1</v>
      </c>
      <c r="C83" s="23" t="s">
        <v>101</v>
      </c>
      <c r="D83" s="10">
        <v>26.314079284667969</v>
      </c>
    </row>
    <row r="84" spans="1:4" x14ac:dyDescent="0.25">
      <c r="A84" s="3" t="s">
        <v>41</v>
      </c>
      <c r="B84" s="8">
        <v>2</v>
      </c>
      <c r="C84" s="23" t="s">
        <v>100</v>
      </c>
      <c r="D84" s="10">
        <v>20.273000717163086</v>
      </c>
    </row>
    <row r="85" spans="1:4" x14ac:dyDescent="0.25">
      <c r="A85" s="3" t="s">
        <v>41</v>
      </c>
      <c r="B85" s="8">
        <v>3</v>
      </c>
      <c r="C85" s="23" t="s">
        <v>101</v>
      </c>
      <c r="D85" s="10">
        <v>26.238571166992188</v>
      </c>
    </row>
    <row r="86" spans="1:4" x14ac:dyDescent="0.25">
      <c r="A86" s="3" t="s">
        <v>42</v>
      </c>
      <c r="B86" s="8">
        <v>1</v>
      </c>
      <c r="C86" s="23" t="s">
        <v>100</v>
      </c>
      <c r="D86" s="10">
        <v>20.041364669799805</v>
      </c>
    </row>
    <row r="87" spans="1:4" x14ac:dyDescent="0.25">
      <c r="A87" s="3" t="s">
        <v>42</v>
      </c>
      <c r="B87" s="8">
        <v>2</v>
      </c>
      <c r="C87" s="23" t="s">
        <v>101</v>
      </c>
      <c r="D87" s="10">
        <v>26.163127899169922</v>
      </c>
    </row>
    <row r="88" spans="1:4" x14ac:dyDescent="0.25">
      <c r="A88" s="3" t="s">
        <v>42</v>
      </c>
      <c r="B88" s="8">
        <v>3</v>
      </c>
      <c r="C88" s="23" t="s">
        <v>100</v>
      </c>
      <c r="D88" s="10">
        <v>19.96380615234375</v>
      </c>
    </row>
    <row r="89" spans="1:4" x14ac:dyDescent="0.25">
      <c r="A89" s="3" t="s">
        <v>42</v>
      </c>
      <c r="B89" s="8">
        <v>1</v>
      </c>
      <c r="C89" s="23" t="s">
        <v>101</v>
      </c>
      <c r="D89" s="10">
        <v>26.05811882019043</v>
      </c>
    </row>
    <row r="90" spans="1:4" x14ac:dyDescent="0.25">
      <c r="A90" s="3" t="s">
        <v>42</v>
      </c>
      <c r="B90" s="8">
        <v>2</v>
      </c>
      <c r="C90" s="23" t="s">
        <v>100</v>
      </c>
      <c r="D90" s="10">
        <v>19.881462097167969</v>
      </c>
    </row>
    <row r="91" spans="1:4" x14ac:dyDescent="0.25">
      <c r="A91" s="3" t="s">
        <v>42</v>
      </c>
      <c r="B91" s="8">
        <v>3</v>
      </c>
      <c r="C91" s="23" t="s">
        <v>101</v>
      </c>
      <c r="D91" s="10">
        <v>25.934658050537109</v>
      </c>
    </row>
    <row r="92" spans="1:4" x14ac:dyDescent="0.25">
      <c r="A92" s="3" t="s">
        <v>43</v>
      </c>
      <c r="B92" s="8">
        <v>1</v>
      </c>
      <c r="C92" s="23" t="s">
        <v>100</v>
      </c>
      <c r="D92" s="10">
        <v>20.082578659057617</v>
      </c>
    </row>
    <row r="93" spans="1:4" x14ac:dyDescent="0.25">
      <c r="A93" s="3" t="s">
        <v>43</v>
      </c>
      <c r="B93" s="8">
        <v>2</v>
      </c>
      <c r="C93" s="23" t="s">
        <v>101</v>
      </c>
      <c r="D93" s="10">
        <v>26.245609283447266</v>
      </c>
    </row>
    <row r="94" spans="1:4" x14ac:dyDescent="0.25">
      <c r="A94" s="3" t="s">
        <v>43</v>
      </c>
      <c r="B94" s="8">
        <v>3</v>
      </c>
      <c r="C94" s="23" t="s">
        <v>100</v>
      </c>
      <c r="D94" s="10">
        <v>20.067167282104492</v>
      </c>
    </row>
    <row r="95" spans="1:4" x14ac:dyDescent="0.25">
      <c r="A95" s="3" t="s">
        <v>43</v>
      </c>
      <c r="B95" s="8">
        <v>1</v>
      </c>
      <c r="C95" s="23" t="s">
        <v>101</v>
      </c>
      <c r="D95" s="10">
        <v>26.217643737792969</v>
      </c>
    </row>
    <row r="96" spans="1:4" x14ac:dyDescent="0.25">
      <c r="A96" s="3" t="s">
        <v>43</v>
      </c>
      <c r="B96" s="8">
        <v>2</v>
      </c>
      <c r="C96" s="23" t="s">
        <v>100</v>
      </c>
      <c r="D96" s="10">
        <v>20.087465286254883</v>
      </c>
    </row>
    <row r="97" spans="1:4" x14ac:dyDescent="0.25">
      <c r="A97" s="3" t="s">
        <v>43</v>
      </c>
      <c r="B97" s="8">
        <v>3</v>
      </c>
      <c r="C97" s="23" t="s">
        <v>101</v>
      </c>
      <c r="D97" s="10">
        <v>26.277124404907227</v>
      </c>
    </row>
    <row r="98" spans="1:4" x14ac:dyDescent="0.25">
      <c r="A98" s="3" t="s">
        <v>44</v>
      </c>
      <c r="B98" s="8">
        <v>1</v>
      </c>
      <c r="C98" s="23" t="s">
        <v>100</v>
      </c>
      <c r="D98" s="10">
        <v>20.581459045410156</v>
      </c>
    </row>
    <row r="99" spans="1:4" x14ac:dyDescent="0.25">
      <c r="A99" s="3" t="s">
        <v>44</v>
      </c>
      <c r="B99" s="8">
        <v>2</v>
      </c>
      <c r="C99" s="23" t="s">
        <v>101</v>
      </c>
      <c r="D99" s="10">
        <v>26.811372756958008</v>
      </c>
    </row>
    <row r="100" spans="1:4" x14ac:dyDescent="0.25">
      <c r="A100" s="3" t="s">
        <v>44</v>
      </c>
      <c r="B100" s="8">
        <v>3</v>
      </c>
      <c r="C100" s="23" t="s">
        <v>100</v>
      </c>
      <c r="D100" s="10">
        <v>20.511203765869141</v>
      </c>
    </row>
    <row r="101" spans="1:4" x14ac:dyDescent="0.25">
      <c r="A101" s="3" t="s">
        <v>44</v>
      </c>
      <c r="B101" s="8">
        <v>1</v>
      </c>
      <c r="C101" s="23" t="s">
        <v>101</v>
      </c>
      <c r="D101" s="10">
        <v>26.6748046875</v>
      </c>
    </row>
    <row r="102" spans="1:4" x14ac:dyDescent="0.25">
      <c r="A102" s="3" t="s">
        <v>44</v>
      </c>
      <c r="B102" s="8">
        <v>2</v>
      </c>
      <c r="C102" s="23" t="s">
        <v>100</v>
      </c>
      <c r="D102" s="10">
        <v>20.626018524169922</v>
      </c>
    </row>
    <row r="103" spans="1:4" x14ac:dyDescent="0.25">
      <c r="A103" s="3" t="s">
        <v>44</v>
      </c>
      <c r="B103" s="8">
        <v>3</v>
      </c>
      <c r="C103" s="23" t="s">
        <v>101</v>
      </c>
      <c r="D103" s="10">
        <v>26.83500862121582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8"/>
  <sheetViews>
    <sheetView zoomScaleNormal="100" workbookViewId="0">
      <selection activeCell="K5" sqref="K5"/>
    </sheetView>
  </sheetViews>
  <sheetFormatPr defaultRowHeight="15" x14ac:dyDescent="0.25"/>
  <cols>
    <col min="1" max="1" width="9" bestFit="1" customWidth="1"/>
    <col min="2" max="2" width="19.7109375" bestFit="1" customWidth="1"/>
    <col min="3" max="3" width="3.5703125" bestFit="1" customWidth="1"/>
    <col min="4" max="4" width="11" bestFit="1" customWidth="1"/>
    <col min="5" max="5" width="9.42578125" bestFit="1" customWidth="1"/>
    <col min="6" max="6" width="8.7109375" bestFit="1" customWidth="1"/>
    <col min="7" max="7" width="10.7109375" bestFit="1" customWidth="1"/>
    <col min="9" max="9" width="14.5703125" bestFit="1" customWidth="1"/>
    <col min="10" max="10" width="17.28515625" bestFit="1" customWidth="1"/>
  </cols>
  <sheetData>
    <row r="1" spans="1:11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50</v>
      </c>
    </row>
    <row r="2" spans="1:11" x14ac:dyDescent="0.25">
      <c r="A2" s="3" t="s">
        <v>9</v>
      </c>
      <c r="B2" s="4" t="s">
        <v>55</v>
      </c>
      <c r="C2" s="3" t="s">
        <v>6</v>
      </c>
      <c r="D2" s="1" t="s">
        <v>28</v>
      </c>
      <c r="E2" s="3">
        <v>21</v>
      </c>
      <c r="F2" s="3" t="s">
        <v>10</v>
      </c>
      <c r="G2" s="3">
        <v>0.9526050344188528</v>
      </c>
      <c r="I2" s="3" t="s">
        <v>4</v>
      </c>
      <c r="J2" s="8" t="s">
        <v>52</v>
      </c>
      <c r="K2" s="3" t="s">
        <v>53</v>
      </c>
    </row>
    <row r="3" spans="1:11" x14ac:dyDescent="0.25">
      <c r="A3" s="3" t="s">
        <v>11</v>
      </c>
      <c r="B3" s="4" t="s">
        <v>55</v>
      </c>
      <c r="C3" s="3" t="s">
        <v>6</v>
      </c>
      <c r="D3" s="1" t="s">
        <v>29</v>
      </c>
      <c r="E3" s="3">
        <v>21</v>
      </c>
      <c r="F3" s="3" t="s">
        <v>10</v>
      </c>
      <c r="G3" s="3">
        <v>0.92190974533193348</v>
      </c>
      <c r="I3" s="3" t="s">
        <v>10</v>
      </c>
      <c r="J3" s="9">
        <f>AVERAGEIF($F2:$F$18,"WT",$G$2:$G$18)</f>
        <v>1.00129305605745</v>
      </c>
      <c r="K3" s="3">
        <f t="array" ref="K3">STDEV(IF($F$2:$F$18="WT",$G$2:$G$18,"NA"))/SQRT(5)</f>
        <v>2.478163439821739E-2</v>
      </c>
    </row>
    <row r="4" spans="1:11" x14ac:dyDescent="0.25">
      <c r="A4" s="3" t="s">
        <v>12</v>
      </c>
      <c r="B4" s="4" t="s">
        <v>55</v>
      </c>
      <c r="C4" s="3" t="s">
        <v>6</v>
      </c>
      <c r="D4" s="1" t="s">
        <v>30</v>
      </c>
      <c r="E4" s="3">
        <v>21</v>
      </c>
      <c r="F4" s="3" t="s">
        <v>10</v>
      </c>
      <c r="G4" s="3">
        <v>1.0259388244272485</v>
      </c>
      <c r="I4" s="3" t="s">
        <v>90</v>
      </c>
      <c r="J4" s="9">
        <f>AVERAGEIFS($G$2:$G$18,$B$2:$B$18,"E254fs",$F$2:$F$18,"Het")</f>
        <v>0.71982995238940006</v>
      </c>
      <c r="K4" s="3" cm="1">
        <f t="array" ref="K4">STDEV(IF($B$2:$B$18="E254fs",IF($F$2:$F$18="Het",$G$2:$G$18)))/SQRT(6)</f>
        <v>3.167746460076841E-2</v>
      </c>
    </row>
    <row r="5" spans="1:11" x14ac:dyDescent="0.25">
      <c r="A5" s="3" t="s">
        <v>13</v>
      </c>
      <c r="B5" s="4" t="s">
        <v>55</v>
      </c>
      <c r="C5" s="3" t="s">
        <v>8</v>
      </c>
      <c r="D5" s="1" t="s">
        <v>31</v>
      </c>
      <c r="E5" s="3">
        <v>21</v>
      </c>
      <c r="F5" s="3" t="s">
        <v>10</v>
      </c>
      <c r="G5" s="3">
        <v>0.9979682772801427</v>
      </c>
      <c r="I5" s="3" t="s">
        <v>54</v>
      </c>
      <c r="J5" s="9">
        <f>AVERAGEIFS($G$2:$G$18,$B$2:$B$18,"G256W",$F$2:$F$18,"Het")</f>
        <v>1.0020051362136519</v>
      </c>
      <c r="K5" s="3" cm="1">
        <f t="array" ref="K5">STDEV(IF($B$2:$B$18="G256W",IF($F$2:$F$18="Het",$G$2:$G$18)))/SQRT(5)</f>
        <v>3.0069765753273713E-2</v>
      </c>
    </row>
    <row r="6" spans="1:11" x14ac:dyDescent="0.25">
      <c r="A6" s="3" t="s">
        <v>14</v>
      </c>
      <c r="B6" s="4" t="s">
        <v>55</v>
      </c>
      <c r="C6" s="3" t="s">
        <v>8</v>
      </c>
      <c r="D6" s="1" t="s">
        <v>32</v>
      </c>
      <c r="E6" s="3">
        <v>21</v>
      </c>
      <c r="F6" s="3" t="s">
        <v>10</v>
      </c>
      <c r="G6" s="3">
        <v>1.0411642332200148</v>
      </c>
    </row>
    <row r="7" spans="1:11" x14ac:dyDescent="0.25">
      <c r="A7" s="3" t="s">
        <v>15</v>
      </c>
      <c r="B7" s="4" t="s">
        <v>55</v>
      </c>
      <c r="C7" s="3" t="s">
        <v>8</v>
      </c>
      <c r="D7" s="1" t="s">
        <v>33</v>
      </c>
      <c r="E7" s="3">
        <v>21</v>
      </c>
      <c r="F7" s="3" t="s">
        <v>10</v>
      </c>
      <c r="G7" s="3">
        <v>1.068172221666509</v>
      </c>
    </row>
    <row r="8" spans="1:11" ht="15.75" x14ac:dyDescent="0.25">
      <c r="A8" s="3" t="s">
        <v>16</v>
      </c>
      <c r="B8" s="4" t="s">
        <v>90</v>
      </c>
      <c r="C8" s="5" t="s">
        <v>6</v>
      </c>
      <c r="D8" s="2" t="s">
        <v>34</v>
      </c>
      <c r="E8" s="3">
        <v>21</v>
      </c>
      <c r="F8" s="6" t="s">
        <v>7</v>
      </c>
      <c r="G8" s="3">
        <v>0.68052644441422105</v>
      </c>
    </row>
    <row r="9" spans="1:11" ht="15.75" x14ac:dyDescent="0.25">
      <c r="A9" s="3" t="s">
        <v>17</v>
      </c>
      <c r="B9" s="4" t="s">
        <v>90</v>
      </c>
      <c r="C9" s="5" t="s">
        <v>6</v>
      </c>
      <c r="D9" s="2" t="s">
        <v>35</v>
      </c>
      <c r="E9" s="3">
        <v>21</v>
      </c>
      <c r="F9" s="6" t="s">
        <v>7</v>
      </c>
      <c r="G9" s="3">
        <v>0.68180883231346645</v>
      </c>
    </row>
    <row r="10" spans="1:11" ht="15.75" x14ac:dyDescent="0.25">
      <c r="A10" s="3" t="s">
        <v>18</v>
      </c>
      <c r="B10" s="4" t="s">
        <v>90</v>
      </c>
      <c r="C10" s="5" t="s">
        <v>6</v>
      </c>
      <c r="D10" s="2" t="s">
        <v>36</v>
      </c>
      <c r="E10" s="3">
        <v>22</v>
      </c>
      <c r="F10" s="6" t="s">
        <v>7</v>
      </c>
      <c r="G10" s="3">
        <v>0.70293724051372308</v>
      </c>
    </row>
    <row r="11" spans="1:11" ht="15.75" x14ac:dyDescent="0.25">
      <c r="A11" s="3" t="s">
        <v>19</v>
      </c>
      <c r="B11" s="4" t="s">
        <v>90</v>
      </c>
      <c r="C11" s="5" t="s">
        <v>8</v>
      </c>
      <c r="D11" s="2" t="s">
        <v>37</v>
      </c>
      <c r="E11" s="3">
        <v>21</v>
      </c>
      <c r="F11" s="6" t="s">
        <v>7</v>
      </c>
      <c r="G11" s="3">
        <v>0.66097925592459605</v>
      </c>
    </row>
    <row r="12" spans="1:11" ht="15.75" x14ac:dyDescent="0.25">
      <c r="A12" s="3" t="s">
        <v>20</v>
      </c>
      <c r="B12" s="4" t="s">
        <v>90</v>
      </c>
      <c r="C12" s="5" t="s">
        <v>8</v>
      </c>
      <c r="D12" s="2" t="s">
        <v>38</v>
      </c>
      <c r="E12" s="3">
        <v>22</v>
      </c>
      <c r="F12" s="6" t="s">
        <v>7</v>
      </c>
      <c r="G12" s="3">
        <v>0.72004293310630652</v>
      </c>
    </row>
    <row r="13" spans="1:11" ht="15.75" x14ac:dyDescent="0.25">
      <c r="A13" s="3" t="s">
        <v>21</v>
      </c>
      <c r="B13" s="4" t="s">
        <v>90</v>
      </c>
      <c r="C13" s="5" t="s">
        <v>8</v>
      </c>
      <c r="D13" s="2" t="s">
        <v>39</v>
      </c>
      <c r="E13" s="3">
        <v>20</v>
      </c>
      <c r="F13" s="6" t="s">
        <v>7</v>
      </c>
      <c r="G13" s="3">
        <v>0.872685008064087</v>
      </c>
    </row>
    <row r="14" spans="1:11" ht="15.75" x14ac:dyDescent="0.25">
      <c r="A14" s="3" t="s">
        <v>24</v>
      </c>
      <c r="B14" s="4" t="s">
        <v>55</v>
      </c>
      <c r="C14" s="3" t="s">
        <v>6</v>
      </c>
      <c r="D14" s="1" t="s">
        <v>40</v>
      </c>
      <c r="E14" s="3">
        <v>21</v>
      </c>
      <c r="F14" s="6" t="s">
        <v>7</v>
      </c>
      <c r="G14" s="3">
        <v>1.0589067005184449</v>
      </c>
    </row>
    <row r="15" spans="1:11" ht="15.75" x14ac:dyDescent="0.25">
      <c r="A15" s="3" t="s">
        <v>25</v>
      </c>
      <c r="B15" s="4" t="s">
        <v>55</v>
      </c>
      <c r="C15" s="3" t="s">
        <v>6</v>
      </c>
      <c r="D15" s="1" t="s">
        <v>41</v>
      </c>
      <c r="E15" s="3">
        <v>21</v>
      </c>
      <c r="F15" s="6" t="s">
        <v>7</v>
      </c>
      <c r="G15" s="3">
        <v>0.8913334447079031</v>
      </c>
    </row>
    <row r="16" spans="1:11" ht="15.75" x14ac:dyDescent="0.25">
      <c r="A16" s="3" t="s">
        <v>26</v>
      </c>
      <c r="B16" s="4" t="s">
        <v>55</v>
      </c>
      <c r="C16" s="3" t="s">
        <v>6</v>
      </c>
      <c r="D16" s="1" t="s">
        <v>42</v>
      </c>
      <c r="E16" s="3">
        <v>21</v>
      </c>
      <c r="F16" s="6" t="s">
        <v>7</v>
      </c>
      <c r="G16" s="3">
        <v>0.9871403038050649</v>
      </c>
    </row>
    <row r="17" spans="1:7" ht="15.75" x14ac:dyDescent="0.25">
      <c r="A17" s="3" t="s">
        <v>22</v>
      </c>
      <c r="B17" s="4" t="s">
        <v>55</v>
      </c>
      <c r="C17" s="3" t="s">
        <v>8</v>
      </c>
      <c r="D17" s="1" t="s">
        <v>43</v>
      </c>
      <c r="E17" s="3">
        <v>21</v>
      </c>
      <c r="F17" s="6" t="s">
        <v>7</v>
      </c>
      <c r="G17" s="3">
        <v>1.0395985010302773</v>
      </c>
    </row>
    <row r="18" spans="1:7" ht="15.75" x14ac:dyDescent="0.25">
      <c r="A18" s="3" t="s">
        <v>23</v>
      </c>
      <c r="B18" s="4" t="s">
        <v>55</v>
      </c>
      <c r="C18" s="3" t="s">
        <v>8</v>
      </c>
      <c r="D18" s="1" t="s">
        <v>44</v>
      </c>
      <c r="E18" s="3">
        <v>21</v>
      </c>
      <c r="F18" s="6" t="s">
        <v>7</v>
      </c>
      <c r="G18" s="3">
        <v>1.033046731006569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8"/>
  <sheetViews>
    <sheetView workbookViewId="0">
      <selection activeCell="A13" sqref="A13"/>
    </sheetView>
  </sheetViews>
  <sheetFormatPr defaultRowHeight="15" x14ac:dyDescent="0.25"/>
  <cols>
    <col min="1" max="1" width="23.42578125" bestFit="1" customWidth="1"/>
    <col min="3" max="3" width="21.85546875" bestFit="1" customWidth="1"/>
    <col min="4" max="4" width="11.5703125" bestFit="1" customWidth="1"/>
  </cols>
  <sheetData>
    <row r="1" spans="1:4" x14ac:dyDescent="0.25">
      <c r="A1" s="1" t="s">
        <v>89</v>
      </c>
      <c r="C1" s="3" t="s">
        <v>59</v>
      </c>
      <c r="D1" s="3">
        <f>COUNT(A2:A7)</f>
        <v>6</v>
      </c>
    </row>
    <row r="2" spans="1:4" x14ac:dyDescent="0.25">
      <c r="A2" s="3">
        <v>0.68052644441422105</v>
      </c>
      <c r="C2" s="3" t="s">
        <v>60</v>
      </c>
      <c r="D2" s="3">
        <f>AVERAGE(A2:A7)</f>
        <v>0.71982995238940006</v>
      </c>
    </row>
    <row r="3" spans="1:4" x14ac:dyDescent="0.25">
      <c r="A3" s="3">
        <v>0.68180883231346645</v>
      </c>
      <c r="C3" s="3" t="s">
        <v>61</v>
      </c>
      <c r="D3" s="3">
        <f>STDEV(A2:A7)</f>
        <v>7.7593624616959442E-2</v>
      </c>
    </row>
    <row r="4" spans="1:4" x14ac:dyDescent="0.25">
      <c r="A4" s="3">
        <v>0.70293724051372308</v>
      </c>
      <c r="C4" s="3" t="s">
        <v>62</v>
      </c>
      <c r="D4" s="3">
        <f>D3/D1</f>
        <v>1.2932270769493241E-2</v>
      </c>
    </row>
    <row r="5" spans="1:4" x14ac:dyDescent="0.25">
      <c r="A5" s="3">
        <v>0.66097925592459605</v>
      </c>
      <c r="C5" s="3" t="s">
        <v>66</v>
      </c>
      <c r="D5" s="3">
        <f>D1-1</f>
        <v>5</v>
      </c>
    </row>
    <row r="6" spans="1:4" x14ac:dyDescent="0.25">
      <c r="A6" s="3">
        <v>0.72004293310630652</v>
      </c>
      <c r="C6" s="3" t="s">
        <v>63</v>
      </c>
      <c r="D6" s="3">
        <v>0.5</v>
      </c>
    </row>
    <row r="7" spans="1:4" x14ac:dyDescent="0.25">
      <c r="A7" s="3">
        <v>0.872685008064087</v>
      </c>
      <c r="C7" s="3" t="s">
        <v>64</v>
      </c>
      <c r="D7" s="3">
        <f>(D2-D6)/(D4)</f>
        <v>16.998557817701357</v>
      </c>
    </row>
    <row r="8" spans="1:4" x14ac:dyDescent="0.25">
      <c r="C8" s="3" t="s">
        <v>65</v>
      </c>
      <c r="D8" s="3">
        <f>_xlfn.T.DIST.2T(ABS(D7),D5)</f>
        <v>1.2890603546455625E-5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3"/>
  <sheetViews>
    <sheetView workbookViewId="0">
      <selection activeCell="D17" sqref="D17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8" bestFit="1" customWidth="1"/>
    <col min="5" max="5" width="11.5703125" bestFit="1" customWidth="1"/>
    <col min="9" max="9" width="11" bestFit="1" customWidth="1"/>
    <col min="10" max="10" width="10.28515625" bestFit="1" customWidth="1"/>
  </cols>
  <sheetData>
    <row r="1" spans="1:10" x14ac:dyDescent="0.25">
      <c r="A1" s="3" t="s">
        <v>57</v>
      </c>
      <c r="B1" s="3" t="s">
        <v>2</v>
      </c>
      <c r="C1" s="3" t="s">
        <v>45</v>
      </c>
      <c r="E1" s="3" t="s">
        <v>57</v>
      </c>
      <c r="F1" s="3" t="s">
        <v>2</v>
      </c>
      <c r="G1" s="3" t="s">
        <v>47</v>
      </c>
      <c r="H1" s="3" t="s">
        <v>56</v>
      </c>
      <c r="I1" s="3" t="s">
        <v>48</v>
      </c>
      <c r="J1" s="3" t="s">
        <v>50</v>
      </c>
    </row>
    <row r="2" spans="1:10" x14ac:dyDescent="0.25">
      <c r="A2" s="3" t="s">
        <v>28</v>
      </c>
      <c r="B2" s="3" t="s">
        <v>6</v>
      </c>
      <c r="C2" s="10">
        <v>3.832763671875</v>
      </c>
      <c r="E2" s="3" t="s">
        <v>28</v>
      </c>
      <c r="F2" s="3" t="s">
        <v>6</v>
      </c>
      <c r="G2" s="10">
        <f t="shared" ref="G2:G18" si="0">AVERAGEIF($A$2:$A$52,E2,$C$2:$C$52)</f>
        <v>3.8466326395670571</v>
      </c>
      <c r="H2" s="10" cm="1">
        <f t="array" ref="H2">STDEV(IF($A$2:$A$52=$E2,$C$2:$C$52))</f>
        <v>6.5504565283994537E-2</v>
      </c>
      <c r="I2" s="10">
        <f>(G2-AVERAGE($G$2:$G$7))</f>
        <v>7.0049921671549331E-2</v>
      </c>
      <c r="J2" s="11">
        <f>2^-(I2)</f>
        <v>0.9526050344188528</v>
      </c>
    </row>
    <row r="3" spans="1:10" x14ac:dyDescent="0.25">
      <c r="A3" s="3" t="s">
        <v>28</v>
      </c>
      <c r="B3" s="3" t="s">
        <v>6</v>
      </c>
      <c r="C3" s="10">
        <v>3.7891731262207031</v>
      </c>
      <c r="E3" s="3" t="s">
        <v>29</v>
      </c>
      <c r="F3" s="3" t="s">
        <v>6</v>
      </c>
      <c r="G3" s="10">
        <f t="shared" si="0"/>
        <v>3.893885294596354</v>
      </c>
      <c r="H3" s="10">
        <f t="array" ref="H3">STDEV(IF($A$2:$A$52=$E3,$C$2:$C$52))</f>
        <v>1.151346942200809E-2</v>
      </c>
      <c r="I3" s="10">
        <f t="shared" ref="I3:I4" si="1">(G3-AVERAGE($G$2:$G$7))</f>
        <v>0.11730257670084621</v>
      </c>
      <c r="J3" s="11">
        <f t="shared" ref="J3:J18" si="2">2^-(I3)</f>
        <v>0.92190974533193348</v>
      </c>
    </row>
    <row r="4" spans="1:10" x14ac:dyDescent="0.25">
      <c r="A4" s="3" t="s">
        <v>28</v>
      </c>
      <c r="B4" s="3" t="s">
        <v>6</v>
      </c>
      <c r="C4" s="10">
        <v>3.9179611206054688</v>
      </c>
      <c r="E4" s="3" t="s">
        <v>30</v>
      </c>
      <c r="F4" s="3" t="s">
        <v>6</v>
      </c>
      <c r="G4" s="10">
        <f t="shared" si="0"/>
        <v>3.7396380106608071</v>
      </c>
      <c r="H4" s="10">
        <f t="array" ref="H4">STDEV(IF($A$2:$A$52=$E4,$C$2:$C$52))</f>
        <v>2.9164223151947534E-2</v>
      </c>
      <c r="I4" s="10">
        <f t="shared" si="1"/>
        <v>-3.6944707234700669E-2</v>
      </c>
      <c r="J4" s="11">
        <f t="shared" si="2"/>
        <v>1.0259388244272485</v>
      </c>
    </row>
    <row r="5" spans="1:10" x14ac:dyDescent="0.25">
      <c r="A5" s="3" t="s">
        <v>29</v>
      </c>
      <c r="B5" s="3" t="s">
        <v>6</v>
      </c>
      <c r="C5" s="10">
        <v>3.9011650085449219</v>
      </c>
      <c r="E5" s="3" t="s">
        <v>31</v>
      </c>
      <c r="F5" s="3" t="s">
        <v>8</v>
      </c>
      <c r="G5" s="10">
        <f t="shared" si="0"/>
        <v>3.7795168558756509</v>
      </c>
      <c r="H5" s="10">
        <f t="array" ref="H5">STDEV(IF($A$2:$A$52=$E5,$C$2:$C$52))</f>
        <v>4.2178654861630228E-2</v>
      </c>
      <c r="I5" s="10">
        <f>(G5-AVERAGE($G$2:$G$7))</f>
        <v>2.9341379801430811E-3</v>
      </c>
      <c r="J5" s="11">
        <f t="shared" si="2"/>
        <v>0.9979682772801427</v>
      </c>
    </row>
    <row r="6" spans="1:10" x14ac:dyDescent="0.25">
      <c r="A6" s="3" t="s">
        <v>29</v>
      </c>
      <c r="B6" s="3" t="s">
        <v>6</v>
      </c>
      <c r="C6" s="10">
        <v>3.8806114196777344</v>
      </c>
      <c r="E6" s="3" t="s">
        <v>32</v>
      </c>
      <c r="F6" s="3" t="s">
        <v>8</v>
      </c>
      <c r="G6" s="10">
        <f t="shared" si="0"/>
        <v>3.7183850606282554</v>
      </c>
      <c r="H6" s="10" cm="1">
        <f t="array" ref="H6">STDEV(IF($A$2:$A$52=$E6,$C$2:$C$52))</f>
        <v>2.9733617297520182E-2</v>
      </c>
      <c r="I6" s="10">
        <f>(G6-AVERAGE($G$2:$G$7))</f>
        <v>-5.8197657267252456E-2</v>
      </c>
      <c r="J6" s="11">
        <f t="shared" si="2"/>
        <v>1.0411642332200148</v>
      </c>
    </row>
    <row r="7" spans="1:10" x14ac:dyDescent="0.25">
      <c r="A7" s="3" t="s">
        <v>29</v>
      </c>
      <c r="B7" s="3" t="s">
        <v>6</v>
      </c>
      <c r="C7" s="10">
        <v>3.8998794555664063</v>
      </c>
      <c r="E7" s="3" t="s">
        <v>33</v>
      </c>
      <c r="F7" s="3" t="s">
        <v>8</v>
      </c>
      <c r="G7" s="10">
        <f t="shared" si="0"/>
        <v>3.6814384460449219</v>
      </c>
      <c r="H7" s="10">
        <f t="array" ref="H7">STDEV(IF($A$2:$A$52=$E7,$C$2:$C$52))</f>
        <v>2.9678486858017775E-2</v>
      </c>
      <c r="I7" s="10">
        <f>(G7-AVERAGE($G$2:$G$7))</f>
        <v>-9.5144271850585938E-2</v>
      </c>
      <c r="J7" s="11">
        <f t="shared" si="2"/>
        <v>1.068172221666509</v>
      </c>
    </row>
    <row r="8" spans="1:10" x14ac:dyDescent="0.25">
      <c r="A8" s="3" t="s">
        <v>30</v>
      </c>
      <c r="B8" s="3" t="s">
        <v>6</v>
      </c>
      <c r="C8" s="10">
        <v>3.7391738891601563</v>
      </c>
      <c r="E8" s="3" t="s">
        <v>34</v>
      </c>
      <c r="F8" s="3" t="s">
        <v>6</v>
      </c>
      <c r="G8" s="10">
        <f t="shared" si="0"/>
        <v>4.3318595886230469</v>
      </c>
      <c r="H8" s="10">
        <f t="array" ref="H8">STDEV(IF($A$2:$A$52=$E8,$C$2:$C$52))</f>
        <v>2.0505045309588812E-2</v>
      </c>
      <c r="I8" s="10">
        <f t="shared" ref="I8:I13" si="3">(G8-AVERAGE($G$2:$G$7))</f>
        <v>0.55527687072753906</v>
      </c>
      <c r="J8" s="11">
        <f t="shared" si="2"/>
        <v>0.68052644441422105</v>
      </c>
    </row>
    <row r="9" spans="1:10" x14ac:dyDescent="0.25">
      <c r="A9" s="3" t="s">
        <v>30</v>
      </c>
      <c r="B9" s="3" t="s">
        <v>6</v>
      </c>
      <c r="C9" s="10">
        <v>3.7690315246582031</v>
      </c>
      <c r="E9" s="3" t="s">
        <v>35</v>
      </c>
      <c r="F9" s="3" t="s">
        <v>6</v>
      </c>
      <c r="G9" s="10">
        <f t="shared" si="0"/>
        <v>4.3291435241699219</v>
      </c>
      <c r="H9" s="10">
        <f t="array" ref="H9">STDEV(IF($A$2:$A$52=$E9,$C$2:$C$52))</f>
        <v>3.7741469095384061E-2</v>
      </c>
      <c r="I9" s="10">
        <f t="shared" si="3"/>
        <v>0.55256080627441406</v>
      </c>
      <c r="J9" s="11">
        <f t="shared" si="2"/>
        <v>0.68180883231346645</v>
      </c>
    </row>
    <row r="10" spans="1:10" x14ac:dyDescent="0.25">
      <c r="A10" s="3" t="s">
        <v>30</v>
      </c>
      <c r="B10" s="3" t="s">
        <v>6</v>
      </c>
      <c r="C10" s="10">
        <v>3.7107086181640625</v>
      </c>
      <c r="E10" s="3" t="s">
        <v>36</v>
      </c>
      <c r="F10" s="3" t="s">
        <v>6</v>
      </c>
      <c r="G10" s="10">
        <f t="shared" si="0"/>
        <v>4.285114924112956</v>
      </c>
      <c r="H10" s="10">
        <f t="array" ref="H10">STDEV(IF($A$2:$A$52=$E10,$C$2:$C$52))</f>
        <v>3.204976101203405E-2</v>
      </c>
      <c r="I10" s="10">
        <f t="shared" si="3"/>
        <v>0.50853220621744821</v>
      </c>
      <c r="J10" s="11">
        <f t="shared" si="2"/>
        <v>0.70293724051372308</v>
      </c>
    </row>
    <row r="11" spans="1:10" x14ac:dyDescent="0.25">
      <c r="A11" s="3" t="s">
        <v>31</v>
      </c>
      <c r="B11" s="3" t="s">
        <v>8</v>
      </c>
      <c r="C11" s="10">
        <v>3.8245677947998047</v>
      </c>
      <c r="E11" s="3" t="s">
        <v>37</v>
      </c>
      <c r="F11" s="3" t="s">
        <v>8</v>
      </c>
      <c r="G11" s="10">
        <f t="shared" si="0"/>
        <v>4.3739058176676435</v>
      </c>
      <c r="H11" s="10">
        <f t="array" ref="H11">STDEV(IF($A$2:$A$52=$E11,$C$2:$C$52))</f>
        <v>2.0942741520204668E-2</v>
      </c>
      <c r="I11" s="10">
        <f t="shared" si="3"/>
        <v>0.59732309977213571</v>
      </c>
      <c r="J11" s="11">
        <f t="shared" si="2"/>
        <v>0.66097925592459605</v>
      </c>
    </row>
    <row r="12" spans="1:10" x14ac:dyDescent="0.25">
      <c r="A12" s="3" t="s">
        <v>31</v>
      </c>
      <c r="B12" s="3" t="s">
        <v>8</v>
      </c>
      <c r="C12" s="10">
        <v>3.7409648895263672</v>
      </c>
      <c r="E12" s="3" t="s">
        <v>38</v>
      </c>
      <c r="F12" s="3" t="s">
        <v>8</v>
      </c>
      <c r="G12" s="10">
        <f t="shared" si="0"/>
        <v>4.2504278818766279</v>
      </c>
      <c r="H12" s="10">
        <f t="array" ref="H12">STDEV(IF($A$2:$A$52=$E12,$C$2:$C$52))</f>
        <v>3.8978839779922281E-2</v>
      </c>
      <c r="I12" s="10">
        <f t="shared" si="3"/>
        <v>0.47384516398112009</v>
      </c>
      <c r="J12" s="11">
        <f t="shared" si="2"/>
        <v>0.72004293310630652</v>
      </c>
    </row>
    <row r="13" spans="1:10" x14ac:dyDescent="0.25">
      <c r="A13" s="3" t="s">
        <v>31</v>
      </c>
      <c r="B13" s="3" t="s">
        <v>8</v>
      </c>
      <c r="C13" s="10">
        <v>3.7730178833007813</v>
      </c>
      <c r="E13" s="3" t="s">
        <v>39</v>
      </c>
      <c r="F13" s="3" t="s">
        <v>8</v>
      </c>
      <c r="G13" s="10">
        <f t="shared" si="0"/>
        <v>3.9730497996012368</v>
      </c>
      <c r="H13" s="10">
        <f t="array" ref="H13">STDEV(IF($A$2:$A$52=$E13,$C$2:$C$52))</f>
        <v>4.181732064076938E-2</v>
      </c>
      <c r="I13" s="10">
        <f t="shared" si="3"/>
        <v>0.19646708170572902</v>
      </c>
      <c r="J13" s="11">
        <f t="shared" si="2"/>
        <v>0.872685008064087</v>
      </c>
    </row>
    <row r="14" spans="1:10" x14ac:dyDescent="0.25">
      <c r="A14" s="3" t="s">
        <v>32</v>
      </c>
      <c r="B14" s="3" t="s">
        <v>8</v>
      </c>
      <c r="C14" s="10">
        <v>3.7063655853271484</v>
      </c>
      <c r="E14" s="3" t="s">
        <v>40</v>
      </c>
      <c r="F14" s="3" t="s">
        <v>6</v>
      </c>
      <c r="G14" s="10">
        <f t="shared" si="0"/>
        <v>3.6940072377522788</v>
      </c>
      <c r="H14" s="10">
        <f t="array" ref="H14">STDEV(IF($A$2:$A$52=$E14,$C$2:$C$52))</f>
        <v>6.3800231102247827E-3</v>
      </c>
      <c r="I14" s="10">
        <f>(G14-AVERAGE($G$2:$G$7))</f>
        <v>-8.2575480143229019E-2</v>
      </c>
      <c r="J14" s="11">
        <f t="shared" si="2"/>
        <v>1.0589067005184449</v>
      </c>
    </row>
    <row r="15" spans="1:10" x14ac:dyDescent="0.25">
      <c r="A15" s="3" t="s">
        <v>32</v>
      </c>
      <c r="B15" s="3" t="s">
        <v>8</v>
      </c>
      <c r="C15" s="10">
        <v>3.6965427398681641</v>
      </c>
      <c r="E15" s="3" t="s">
        <v>41</v>
      </c>
      <c r="F15" s="3" t="s">
        <v>6</v>
      </c>
      <c r="G15" s="10">
        <f t="shared" si="0"/>
        <v>3.9425455729166665</v>
      </c>
      <c r="H15" s="10">
        <f t="array" ref="H15">STDEV(IF($A$2:$A$52=$E15,$C$2:$C$52))</f>
        <v>2.7602519510876205E-2</v>
      </c>
      <c r="I15" s="10">
        <f t="shared" ref="I15:I18" si="4">(G15-AVERAGE($G$2:$G$7))</f>
        <v>0.16596285502115871</v>
      </c>
      <c r="J15" s="11">
        <f t="shared" si="2"/>
        <v>0.8913334447079031</v>
      </c>
    </row>
    <row r="16" spans="1:10" x14ac:dyDescent="0.25">
      <c r="A16" s="3" t="s">
        <v>32</v>
      </c>
      <c r="B16" s="3" t="s">
        <v>8</v>
      </c>
      <c r="C16" s="10">
        <v>3.7522468566894531</v>
      </c>
      <c r="E16" s="3" t="s">
        <v>42</v>
      </c>
      <c r="F16" s="3" t="s">
        <v>6</v>
      </c>
      <c r="G16" s="10">
        <f t="shared" si="0"/>
        <v>3.7952556610107422</v>
      </c>
      <c r="H16" s="10">
        <f t="array" ref="H16">STDEV(IF($A$2:$A$52=$E16,$C$2:$C$52))</f>
        <v>1.5301096081789145E-2</v>
      </c>
      <c r="I16" s="10">
        <f t="shared" si="4"/>
        <v>1.8672943115234375E-2</v>
      </c>
      <c r="J16" s="11">
        <f t="shared" si="2"/>
        <v>0.9871403038050649</v>
      </c>
    </row>
    <row r="17" spans="1:10" x14ac:dyDescent="0.25">
      <c r="A17" s="3" t="s">
        <v>33</v>
      </c>
      <c r="B17" s="3" t="s">
        <v>8</v>
      </c>
      <c r="C17" s="10">
        <v>3.6738567352294922</v>
      </c>
      <c r="E17" s="3" t="s">
        <v>43</v>
      </c>
      <c r="F17" s="3" t="s">
        <v>8</v>
      </c>
      <c r="G17" s="10">
        <f t="shared" si="0"/>
        <v>3.7205562591552734</v>
      </c>
      <c r="H17" s="10">
        <f t="array" ref="H17">STDEV(IF($A$2:$A$52=$E17,$C$2:$C$52))</f>
        <v>1.3630646115539465E-2</v>
      </c>
      <c r="I17" s="10">
        <f t="shared" si="4"/>
        <v>-5.6026458740234375E-2</v>
      </c>
      <c r="J17" s="11">
        <f t="shared" si="2"/>
        <v>1.0395985010302773</v>
      </c>
    </row>
    <row r="18" spans="1:10" x14ac:dyDescent="0.25">
      <c r="A18" s="3" t="s">
        <v>33</v>
      </c>
      <c r="B18" s="3" t="s">
        <v>8</v>
      </c>
      <c r="C18" s="10">
        <v>3.6562862396240234</v>
      </c>
      <c r="E18" s="3" t="s">
        <v>44</v>
      </c>
      <c r="F18" s="3" t="s">
        <v>8</v>
      </c>
      <c r="G18" s="10">
        <f t="shared" si="0"/>
        <v>3.7296772003173828</v>
      </c>
      <c r="H18" s="10">
        <f t="array" ref="H18">STDEV(IF($A$2:$A$52=$E18,$C$2:$C$52))</f>
        <v>1.8566454607707013E-2</v>
      </c>
      <c r="I18" s="10">
        <f t="shared" si="4"/>
        <v>-4.6905517578125E-2</v>
      </c>
      <c r="J18" s="11">
        <f t="shared" si="2"/>
        <v>1.033046731006569</v>
      </c>
    </row>
    <row r="19" spans="1:10" x14ac:dyDescent="0.25">
      <c r="A19" s="3" t="s">
        <v>33</v>
      </c>
      <c r="B19" s="3" t="s">
        <v>8</v>
      </c>
      <c r="C19" s="10">
        <v>3.71417236328125</v>
      </c>
    </row>
    <row r="20" spans="1:10" x14ac:dyDescent="0.25">
      <c r="A20" s="3" t="s">
        <v>34</v>
      </c>
      <c r="B20" s="3" t="s">
        <v>8</v>
      </c>
      <c r="C20" s="10">
        <v>4.3268280029296875</v>
      </c>
    </row>
    <row r="21" spans="1:10" x14ac:dyDescent="0.25">
      <c r="A21" s="3" t="s">
        <v>34</v>
      </c>
      <c r="B21" s="3" t="s">
        <v>6</v>
      </c>
      <c r="C21" s="10">
        <v>4.3143386840820313</v>
      </c>
    </row>
    <row r="22" spans="1:10" x14ac:dyDescent="0.25">
      <c r="A22" s="3" t="s">
        <v>34</v>
      </c>
      <c r="B22" s="3" t="s">
        <v>6</v>
      </c>
      <c r="C22" s="10">
        <v>4.3544120788574219</v>
      </c>
    </row>
    <row r="23" spans="1:10" x14ac:dyDescent="0.25">
      <c r="A23" s="3" t="s">
        <v>35</v>
      </c>
      <c r="B23" s="3" t="s">
        <v>6</v>
      </c>
      <c r="C23" s="10">
        <v>4.3719005584716797</v>
      </c>
    </row>
    <row r="24" spans="1:10" x14ac:dyDescent="0.25">
      <c r="A24" s="3" t="s">
        <v>35</v>
      </c>
      <c r="B24" s="3" t="s">
        <v>6</v>
      </c>
      <c r="C24" s="10">
        <v>4.3150653839111328</v>
      </c>
    </row>
    <row r="25" spans="1:10" x14ac:dyDescent="0.25">
      <c r="A25" s="3" t="s">
        <v>35</v>
      </c>
      <c r="B25" s="3" t="s">
        <v>6</v>
      </c>
      <c r="C25" s="10">
        <v>4.3004646301269531</v>
      </c>
    </row>
    <row r="26" spans="1:10" x14ac:dyDescent="0.25">
      <c r="A26" s="3" t="s">
        <v>36</v>
      </c>
      <c r="B26" s="3" t="s">
        <v>6</v>
      </c>
      <c r="C26" s="10">
        <v>4.2513523101806641</v>
      </c>
    </row>
    <row r="27" spans="1:10" x14ac:dyDescent="0.25">
      <c r="A27" s="3" t="s">
        <v>36</v>
      </c>
      <c r="B27" s="3" t="s">
        <v>6</v>
      </c>
      <c r="C27" s="10">
        <v>4.3151206970214844</v>
      </c>
    </row>
    <row r="28" spans="1:10" x14ac:dyDescent="0.25">
      <c r="A28" s="3" t="s">
        <v>36</v>
      </c>
      <c r="B28" s="3" t="s">
        <v>6</v>
      </c>
      <c r="C28" s="10">
        <v>4.2888717651367188</v>
      </c>
    </row>
    <row r="29" spans="1:10" x14ac:dyDescent="0.25">
      <c r="A29" s="3" t="s">
        <v>37</v>
      </c>
      <c r="B29" s="3" t="s">
        <v>6</v>
      </c>
      <c r="C29" s="10">
        <v>4.3852310180664063</v>
      </c>
    </row>
    <row r="30" spans="1:10" x14ac:dyDescent="0.25">
      <c r="A30" s="3" t="s">
        <v>37</v>
      </c>
      <c r="B30" s="3" t="s">
        <v>8</v>
      </c>
      <c r="C30" s="10">
        <v>4.3497390747070313</v>
      </c>
    </row>
    <row r="31" spans="1:10" x14ac:dyDescent="0.25">
      <c r="A31" s="3" t="s">
        <v>37</v>
      </c>
      <c r="B31" s="3" t="s">
        <v>8</v>
      </c>
      <c r="C31" s="10">
        <v>4.3867473602294922</v>
      </c>
    </row>
    <row r="32" spans="1:10" x14ac:dyDescent="0.25">
      <c r="A32" s="3" t="s">
        <v>38</v>
      </c>
      <c r="B32" s="3" t="s">
        <v>8</v>
      </c>
      <c r="C32" s="10">
        <v>4.2242698669433594</v>
      </c>
    </row>
    <row r="33" spans="1:3" x14ac:dyDescent="0.25">
      <c r="A33" s="3" t="s">
        <v>38</v>
      </c>
      <c r="B33" s="3" t="s">
        <v>8</v>
      </c>
      <c r="C33" s="10">
        <v>4.2317867279052734</v>
      </c>
    </row>
    <row r="34" spans="1:3" x14ac:dyDescent="0.25">
      <c r="A34" s="3" t="s">
        <v>38</v>
      </c>
      <c r="B34" s="3" t="s">
        <v>8</v>
      </c>
      <c r="C34" s="10">
        <v>4.29522705078125</v>
      </c>
    </row>
    <row r="35" spans="1:3" x14ac:dyDescent="0.25">
      <c r="A35" s="3" t="s">
        <v>39</v>
      </c>
      <c r="B35" s="3" t="s">
        <v>8</v>
      </c>
      <c r="C35" s="10">
        <v>4.0198001861572266</v>
      </c>
    </row>
    <row r="36" spans="1:3" x14ac:dyDescent="0.25">
      <c r="A36" s="3" t="s">
        <v>39</v>
      </c>
      <c r="B36" s="3" t="s">
        <v>8</v>
      </c>
      <c r="C36" s="10">
        <v>3.9392108917236328</v>
      </c>
    </row>
    <row r="37" spans="1:3" x14ac:dyDescent="0.25">
      <c r="A37" s="3" t="s">
        <v>39</v>
      </c>
      <c r="B37" s="3" t="s">
        <v>8</v>
      </c>
      <c r="C37" s="10">
        <v>3.9601383209228516</v>
      </c>
    </row>
    <row r="38" spans="1:3" x14ac:dyDescent="0.25">
      <c r="A38" s="3" t="s">
        <v>40</v>
      </c>
      <c r="B38" s="3" t="s">
        <v>8</v>
      </c>
      <c r="C38" s="10">
        <v>3.7013721466064453</v>
      </c>
    </row>
    <row r="39" spans="1:3" x14ac:dyDescent="0.25">
      <c r="A39" s="3" t="s">
        <v>40</v>
      </c>
      <c r="B39" s="3" t="s">
        <v>8</v>
      </c>
      <c r="C39" s="10">
        <v>3.6901721954345703</v>
      </c>
    </row>
    <row r="40" spans="1:3" x14ac:dyDescent="0.25">
      <c r="A40" s="3" t="s">
        <v>40</v>
      </c>
      <c r="B40" s="3" t="s">
        <v>6</v>
      </c>
      <c r="C40" s="10">
        <v>3.6904773712158203</v>
      </c>
    </row>
    <row r="41" spans="1:3" x14ac:dyDescent="0.25">
      <c r="A41" s="3" t="s">
        <v>41</v>
      </c>
      <c r="B41" s="3" t="s">
        <v>6</v>
      </c>
      <c r="C41" s="10">
        <v>3.9167022705078125</v>
      </c>
    </row>
    <row r="42" spans="1:3" x14ac:dyDescent="0.25">
      <c r="A42" s="3" t="s">
        <v>41</v>
      </c>
      <c r="B42" s="3" t="s">
        <v>6</v>
      </c>
      <c r="C42" s="10">
        <v>3.9716224670410156</v>
      </c>
    </row>
    <row r="43" spans="1:3" x14ac:dyDescent="0.25">
      <c r="A43" s="3" t="s">
        <v>41</v>
      </c>
      <c r="B43" s="3" t="s">
        <v>6</v>
      </c>
      <c r="C43" s="10">
        <v>3.9393119812011719</v>
      </c>
    </row>
    <row r="44" spans="1:3" x14ac:dyDescent="0.25">
      <c r="A44" s="3" t="s">
        <v>42</v>
      </c>
      <c r="B44" s="3" t="s">
        <v>6</v>
      </c>
      <c r="C44" s="10">
        <v>3.8018989562988281</v>
      </c>
    </row>
    <row r="45" spans="1:3" x14ac:dyDescent="0.25">
      <c r="A45" s="3" t="s">
        <v>42</v>
      </c>
      <c r="B45" s="3" t="s">
        <v>6</v>
      </c>
      <c r="C45" s="10">
        <v>3.7777557373046875</v>
      </c>
    </row>
    <row r="46" spans="1:3" x14ac:dyDescent="0.25">
      <c r="A46" s="3" t="s">
        <v>42</v>
      </c>
      <c r="B46" s="3" t="s">
        <v>6</v>
      </c>
      <c r="C46" s="10">
        <v>3.8061122894287109</v>
      </c>
    </row>
    <row r="47" spans="1:3" x14ac:dyDescent="0.25">
      <c r="A47" s="3" t="s">
        <v>43</v>
      </c>
      <c r="B47" s="3" t="s">
        <v>8</v>
      </c>
      <c r="C47" s="10">
        <v>3.7048187255859375</v>
      </c>
    </row>
    <row r="48" spans="1:3" x14ac:dyDescent="0.25">
      <c r="A48" s="3" t="s">
        <v>43</v>
      </c>
      <c r="B48" s="3" t="s">
        <v>8</v>
      </c>
      <c r="C48" s="10">
        <v>3.7286300659179688</v>
      </c>
    </row>
    <row r="49" spans="1:3" x14ac:dyDescent="0.25">
      <c r="A49" s="3" t="s">
        <v>43</v>
      </c>
      <c r="B49" s="3" t="s">
        <v>8</v>
      </c>
      <c r="C49" s="10">
        <v>3.7282199859619141</v>
      </c>
    </row>
    <row r="50" spans="1:3" x14ac:dyDescent="0.25">
      <c r="A50" s="3" t="s">
        <v>44</v>
      </c>
      <c r="B50" s="3" t="s">
        <v>8</v>
      </c>
      <c r="C50" s="10">
        <v>3.7175064086914063</v>
      </c>
    </row>
    <row r="51" spans="1:3" x14ac:dyDescent="0.25">
      <c r="A51" s="3" t="s">
        <v>44</v>
      </c>
      <c r="B51" s="3" t="s">
        <v>8</v>
      </c>
      <c r="C51" s="10">
        <v>3.7204780578613281</v>
      </c>
    </row>
    <row r="52" spans="1:3" x14ac:dyDescent="0.25">
      <c r="A52" s="3" t="s">
        <v>44</v>
      </c>
      <c r="B52" s="3" t="s">
        <v>8</v>
      </c>
      <c r="C52" s="10">
        <v>3.7510471343994141</v>
      </c>
    </row>
    <row r="94" spans="12:12" x14ac:dyDescent="0.25">
      <c r="L94" t="s">
        <v>58</v>
      </c>
    </row>
    <row r="95" spans="12:12" x14ac:dyDescent="0.25">
      <c r="L95" s="7"/>
    </row>
    <row r="97" spans="12:12" x14ac:dyDescent="0.25">
      <c r="L97" s="7"/>
    </row>
    <row r="99" spans="12:12" x14ac:dyDescent="0.25">
      <c r="L99" s="7"/>
    </row>
    <row r="101" spans="12:12" x14ac:dyDescent="0.25">
      <c r="L101" s="7"/>
    </row>
    <row r="103" spans="12:12" x14ac:dyDescent="0.25">
      <c r="L103" s="7"/>
    </row>
    <row r="105" spans="12:12" x14ac:dyDescent="0.25">
      <c r="L105" s="7"/>
    </row>
    <row r="107" spans="12:12" x14ac:dyDescent="0.25">
      <c r="L107" s="7"/>
    </row>
    <row r="109" spans="12:12" x14ac:dyDescent="0.25">
      <c r="L109" s="7"/>
    </row>
    <row r="111" spans="12:12" x14ac:dyDescent="0.25">
      <c r="L111" s="7"/>
    </row>
    <row r="113" spans="12:12" x14ac:dyDescent="0.25">
      <c r="L113" s="7"/>
    </row>
    <row r="115" spans="12:12" x14ac:dyDescent="0.25">
      <c r="L115" s="7"/>
    </row>
    <row r="117" spans="12:12" x14ac:dyDescent="0.25">
      <c r="L117" s="7"/>
    </row>
    <row r="119" spans="12:12" x14ac:dyDescent="0.25">
      <c r="L119" s="7"/>
    </row>
    <row r="121" spans="12:12" x14ac:dyDescent="0.25">
      <c r="L121" s="7"/>
    </row>
    <row r="123" spans="12:12" x14ac:dyDescent="0.25">
      <c r="L123" s="7"/>
    </row>
    <row r="125" spans="12:12" x14ac:dyDescent="0.25">
      <c r="L125" s="7"/>
    </row>
    <row r="127" spans="12:12" x14ac:dyDescent="0.25">
      <c r="L127" s="7"/>
    </row>
    <row r="129" spans="12:12" x14ac:dyDescent="0.25">
      <c r="L129" s="7"/>
    </row>
    <row r="131" spans="12:12" x14ac:dyDescent="0.25">
      <c r="L131" s="7"/>
    </row>
    <row r="133" spans="12:12" x14ac:dyDescent="0.25">
      <c r="L133" s="7"/>
    </row>
    <row r="135" spans="12:12" x14ac:dyDescent="0.25">
      <c r="L135" s="7"/>
    </row>
    <row r="137" spans="12:12" x14ac:dyDescent="0.25">
      <c r="L137" s="7"/>
    </row>
    <row r="139" spans="12:12" x14ac:dyDescent="0.25">
      <c r="L139" s="7"/>
    </row>
    <row r="141" spans="12:12" x14ac:dyDescent="0.25">
      <c r="L141" s="7"/>
    </row>
    <row r="143" spans="12:12" x14ac:dyDescent="0.25">
      <c r="L143" s="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8B397-0FCE-46BC-83B6-9DBADC75974D}">
  <dimension ref="A1:O131"/>
  <sheetViews>
    <sheetView workbookViewId="0">
      <selection activeCell="J33" sqref="J33"/>
    </sheetView>
  </sheetViews>
  <sheetFormatPr defaultRowHeight="15" x14ac:dyDescent="0.25"/>
  <cols>
    <col min="1" max="1" width="7.28515625" bestFit="1" customWidth="1"/>
    <col min="2" max="2" width="25.5703125" bestFit="1" customWidth="1"/>
    <col min="3" max="3" width="7.28515625" bestFit="1" customWidth="1"/>
    <col min="4" max="4" width="19" bestFit="1" customWidth="1"/>
    <col min="6" max="6" width="9.7109375" bestFit="1" customWidth="1"/>
    <col min="7" max="7" width="9.7109375" customWidth="1"/>
    <col min="8" max="8" width="17" bestFit="1" customWidth="1"/>
    <col min="9" max="9" width="17.7109375" bestFit="1" customWidth="1"/>
    <col min="10" max="10" width="11.85546875" bestFit="1" customWidth="1"/>
    <col min="11" max="11" width="12.42578125" bestFit="1" customWidth="1"/>
    <col min="13" max="13" width="14.85546875" bestFit="1" customWidth="1"/>
    <col min="14" max="14" width="17.7109375" bestFit="1" customWidth="1"/>
    <col min="15" max="15" width="14" bestFit="1" customWidth="1"/>
  </cols>
  <sheetData>
    <row r="1" spans="1:15" x14ac:dyDescent="0.25">
      <c r="A1" s="3" t="s">
        <v>91</v>
      </c>
      <c r="B1" s="3" t="s">
        <v>92</v>
      </c>
      <c r="C1" s="3" t="s">
        <v>93</v>
      </c>
      <c r="D1" s="3" t="s">
        <v>94</v>
      </c>
      <c r="F1" s="3" t="s">
        <v>91</v>
      </c>
      <c r="G1" s="3" t="s">
        <v>4</v>
      </c>
      <c r="H1" s="3" t="s">
        <v>95</v>
      </c>
      <c r="I1" s="3" t="s">
        <v>96</v>
      </c>
      <c r="J1" s="3" t="s">
        <v>97</v>
      </c>
      <c r="K1" s="3" t="s">
        <v>98</v>
      </c>
      <c r="M1" s="3" t="s">
        <v>4</v>
      </c>
      <c r="N1" s="3" t="s">
        <v>95</v>
      </c>
      <c r="O1" s="3" t="s">
        <v>99</v>
      </c>
    </row>
    <row r="2" spans="1:15" x14ac:dyDescent="0.25">
      <c r="A2" s="3" t="s">
        <v>28</v>
      </c>
      <c r="B2" s="8">
        <v>1</v>
      </c>
      <c r="C2" s="23" t="s">
        <v>100</v>
      </c>
      <c r="D2" s="10">
        <v>18.985816955566406</v>
      </c>
      <c r="F2" s="3" t="s">
        <v>28</v>
      </c>
      <c r="G2" s="3" t="s">
        <v>10</v>
      </c>
      <c r="H2" s="3">
        <f>AVERAGEIFS($D$2:$D$103,$A$2:$A$103,$F2,$C$2:$C$103,"Kcnq2")</f>
        <v>22.809195200602215</v>
      </c>
      <c r="I2" s="3">
        <f>AVERAGEIFS($D$2:$D$103,$A$2:$A$103,$F2,$C$2:$C$103,"Gapdh")</f>
        <v>18.962562561035156</v>
      </c>
      <c r="J2" s="3">
        <f t="array" ref="J2">STDEV(IF($A$2:$A$103=$F2,IF($C$2:$C$103="Kcnq2",$D$2:$D$103,"NA"),"NA"))</f>
        <v>0.12267937416870178</v>
      </c>
      <c r="K2" s="3">
        <f t="array" ref="K2">STDEV(IF($A$2:$A$103=$F2,IF($C$2:$C$103="Gapdh",$D$2:$D$103,"NA"),"NA"))</f>
        <v>6.1411814086493446E-2</v>
      </c>
      <c r="M2" s="3" t="s">
        <v>10</v>
      </c>
      <c r="N2" s="3">
        <f>AVERAGEIF($G$2:$G$18,$M2,$H$2:$H$18)</f>
        <v>22.83996370103624</v>
      </c>
      <c r="O2" s="3">
        <f t="array" ref="O2">STDEV(IF($G$2:$G$18=$M2,$H$2:$H$18,"NA"))/SQRT(6)</f>
        <v>5.9338252140161037E-2</v>
      </c>
    </row>
    <row r="3" spans="1:15" x14ac:dyDescent="0.25">
      <c r="A3" s="3" t="s">
        <v>28</v>
      </c>
      <c r="B3" s="8">
        <v>2</v>
      </c>
      <c r="C3" s="23" t="s">
        <v>101</v>
      </c>
      <c r="D3" s="10">
        <v>22.818580627441406</v>
      </c>
      <c r="F3" s="3" t="s">
        <v>29</v>
      </c>
      <c r="G3" s="3" t="s">
        <v>10</v>
      </c>
      <c r="H3" s="3">
        <f t="shared" ref="H3:H18" si="0">AVERAGEIFS($D$2:$D$103,$A$2:$A$103,$F3,$C$2:$C$103,"Kcnq2")</f>
        <v>22.692033131917317</v>
      </c>
      <c r="I3" s="3">
        <f t="shared" ref="I3:I18" si="1">AVERAGEIFS($D$2:$D$103,$A$2:$A$103,$F3,$C$2:$C$103,"Gapdh")</f>
        <v>18.798147837320965</v>
      </c>
      <c r="J3" s="3">
        <f t="array" ref="J3">STDEV(IF($A$2:$A$103=$F3,IF($C$2:$C$103="Kcnq2",$D$2:$D$103,"NA"),"NA"))</f>
        <v>0.1049629104274292</v>
      </c>
      <c r="K3" s="3">
        <f t="array" ref="K3">STDEV(IF($A$2:$A$103=$F3,IF($C$2:$C$103="Gapdh",$D$2:$D$103,"NA"),"NA"))</f>
        <v>0.10958279897112851</v>
      </c>
      <c r="M3" s="22" t="s">
        <v>102</v>
      </c>
      <c r="N3" s="3">
        <f>AVERAGEIF($G$2:$G$18,$M3,$H$2:$H$18)</f>
        <v>23.450220425923664</v>
      </c>
      <c r="O3" s="3">
        <f t="array" ref="O3">STDEV(IF($G$2:$G$18=$M3,$H$2:$H$18,"NA"))/SQRT(6)</f>
        <v>4.8533495480605357E-2</v>
      </c>
    </row>
    <row r="4" spans="1:15" x14ac:dyDescent="0.25">
      <c r="A4" s="3" t="s">
        <v>28</v>
      </c>
      <c r="B4" s="8">
        <v>3</v>
      </c>
      <c r="C4" s="23" t="s">
        <v>100</v>
      </c>
      <c r="D4" s="10">
        <v>18.892919540405273</v>
      </c>
      <c r="F4" s="3" t="s">
        <v>30</v>
      </c>
      <c r="G4" s="3" t="s">
        <v>10</v>
      </c>
      <c r="H4" s="3">
        <f t="shared" si="0"/>
        <v>22.712618509928387</v>
      </c>
      <c r="I4" s="3">
        <f t="shared" si="1"/>
        <v>18.972980499267578</v>
      </c>
      <c r="J4" s="3">
        <f t="array" ref="J4">STDEV(IF($A$2:$A$103=$F4,IF($C$2:$C$103="Kcnq2",$D$2:$D$103,"NA"),"NA"))</f>
        <v>0.10670387590017091</v>
      </c>
      <c r="K4" s="3">
        <f t="array" ref="K4">STDEV(IF($A$2:$A$103=$F4,IF($C$2:$C$103="Gapdh",$D$2:$D$103,"NA"),"NA"))</f>
        <v>8.9296718646887097E-2</v>
      </c>
      <c r="M4" s="22" t="s">
        <v>54</v>
      </c>
      <c r="N4" s="3">
        <f>AVERAGEIF($G$2:$G$18,$M4,$H$2:$H$18)</f>
        <v>22.918846003214519</v>
      </c>
      <c r="O4" s="3">
        <f t="array" ref="O4">STDEV(IF($G$2:$G$18=$M4,$H$2:$H$18,"NA"))/SQRT(6)</f>
        <v>3.2571391290074012E-2</v>
      </c>
    </row>
    <row r="5" spans="1:15" x14ac:dyDescent="0.25">
      <c r="A5" s="3" t="s">
        <v>28</v>
      </c>
      <c r="B5" s="8">
        <v>1</v>
      </c>
      <c r="C5" s="23" t="s">
        <v>101</v>
      </c>
      <c r="D5" s="10">
        <v>22.682092666625977</v>
      </c>
      <c r="F5" s="3" t="s">
        <v>31</v>
      </c>
      <c r="G5" s="3" t="s">
        <v>10</v>
      </c>
      <c r="H5" s="3">
        <f t="shared" si="0"/>
        <v>22.788670857747395</v>
      </c>
      <c r="I5" s="3">
        <f t="shared" si="1"/>
        <v>19.009154001871746</v>
      </c>
      <c r="J5" s="3">
        <f t="array" ref="J5">STDEV(IF($A$2:$A$103=$F5,IF($C$2:$C$103="Kcnq2",$D$2:$D$103,"NA"),"NA"))</f>
        <v>4.5919082431746409E-2</v>
      </c>
      <c r="K5" s="3">
        <f t="array" ref="K5">STDEV(IF($A$2:$A$103=$F5,IF($C$2:$C$103="Gapdh",$D$2:$D$103,"NA"),"NA"))</f>
        <v>7.8586206553632451E-2</v>
      </c>
    </row>
    <row r="6" spans="1:15" x14ac:dyDescent="0.25">
      <c r="A6" s="3" t="s">
        <v>28</v>
      </c>
      <c r="B6" s="8">
        <v>2</v>
      </c>
      <c r="C6" s="23" t="s">
        <v>100</v>
      </c>
      <c r="D6" s="10">
        <v>19.008951187133789</v>
      </c>
      <c r="F6" s="3" t="s">
        <v>32</v>
      </c>
      <c r="G6" s="3" t="s">
        <v>10</v>
      </c>
      <c r="H6" s="3">
        <f t="shared" si="0"/>
        <v>23.025981903076172</v>
      </c>
      <c r="I6" s="3">
        <f t="shared" si="1"/>
        <v>19.307596842447918</v>
      </c>
      <c r="J6" s="3">
        <f t="array" ref="J6">STDEV(IF($A$2:$A$103=$F6,IF($C$2:$C$103="Kcnq2",$D$2:$D$103,"NA"),"NA"))</f>
        <v>1.764427386476287E-3</v>
      </c>
      <c r="K6" s="3">
        <f t="array" ref="K6">STDEV(IF($A$2:$A$103=$F6,IF($C$2:$C$103="Gapdh",$D$2:$D$103,"NA"),"NA"))</f>
        <v>2.9760125726148043E-2</v>
      </c>
      <c r="M6" s="3" t="s">
        <v>4</v>
      </c>
      <c r="N6" s="3" t="s">
        <v>103</v>
      </c>
      <c r="O6" s="3" t="s">
        <v>104</v>
      </c>
    </row>
    <row r="7" spans="1:15" x14ac:dyDescent="0.25">
      <c r="A7" s="3" t="s">
        <v>28</v>
      </c>
      <c r="B7" s="8">
        <v>3</v>
      </c>
      <c r="C7" s="23" t="s">
        <v>101</v>
      </c>
      <c r="D7" s="10">
        <v>22.926912307739258</v>
      </c>
      <c r="F7" s="3" t="s">
        <v>33</v>
      </c>
      <c r="G7" s="3" t="s">
        <v>10</v>
      </c>
      <c r="H7" s="3">
        <f t="shared" si="0"/>
        <v>23.011282602945965</v>
      </c>
      <c r="I7" s="3">
        <f t="shared" si="1"/>
        <v>19.329844156901043</v>
      </c>
      <c r="J7" s="3">
        <f t="array" ref="J7">STDEV(IF($A$2:$A$103=$F7,IF($C$2:$C$103="Kcnq2",$D$2:$D$103,"NA"),"NA"))</f>
        <v>6.5730296458610143E-2</v>
      </c>
      <c r="K7" s="3">
        <f t="array" ref="K7">STDEV(IF($A$2:$A$103=$F7,IF($C$2:$C$103="Gapdh",$D$2:$D$103,"NA"),"NA"))</f>
        <v>9.1710901771649742E-2</v>
      </c>
      <c r="M7" s="3" t="s">
        <v>10</v>
      </c>
      <c r="N7" s="3">
        <f>AVERAGEIF($G$2:$G$18,$M7,$I$2:$I$18)</f>
        <v>19.063380983140735</v>
      </c>
      <c r="O7" s="3">
        <f t="array" ref="O7">STDEV(IF($G$2:$G$18=$M7,$I$2:$I$18,"NA"))/SQRT(6)</f>
        <v>8.6075509053954127E-2</v>
      </c>
    </row>
    <row r="8" spans="1:15" x14ac:dyDescent="0.25">
      <c r="A8" s="3" t="s">
        <v>29</v>
      </c>
      <c r="B8" s="8">
        <v>1</v>
      </c>
      <c r="C8" s="23" t="s">
        <v>100</v>
      </c>
      <c r="D8" s="10">
        <v>18.672491073608398</v>
      </c>
      <c r="F8" s="3" t="s">
        <v>34</v>
      </c>
      <c r="G8" s="22" t="s">
        <v>102</v>
      </c>
      <c r="H8" s="3">
        <f t="shared" si="0"/>
        <v>23.455321629842121</v>
      </c>
      <c r="I8" s="3">
        <f t="shared" si="1"/>
        <v>19.123462041219074</v>
      </c>
      <c r="J8" s="3">
        <f t="array" ref="J8">STDEV(IF($A$2:$A$103=$F8,IF($C$2:$C$103="Kcnq2",$D$2:$D$103,"NA"),"NA"))</f>
        <v>0.1949569455585814</v>
      </c>
      <c r="K8" s="3">
        <f t="array" ref="K8">STDEV(IF($A$2:$A$103=$F8,IF($C$2:$C$103="Gapdh",$D$2:$D$103,"NA"),"NA"))</f>
        <v>0.18490235629886967</v>
      </c>
      <c r="M8" s="22" t="s">
        <v>102</v>
      </c>
      <c r="N8" s="3">
        <f>AVERAGEIF($G$2:$G$18,$M8,$I$2:$I$18)</f>
        <v>19.192970169915093</v>
      </c>
      <c r="O8" s="3">
        <f t="array" ref="O8">STDEV(IF($G$2:$G$18=$M8,$I$2:$I$18,"NA"))/SQRT(6)</f>
        <v>4.9220718157063047E-2</v>
      </c>
    </row>
    <row r="9" spans="1:15" x14ac:dyDescent="0.25">
      <c r="A9" s="3" t="s">
        <v>29</v>
      </c>
      <c r="B9" s="8">
        <v>2</v>
      </c>
      <c r="C9" s="23" t="s">
        <v>101</v>
      </c>
      <c r="D9" s="10">
        <v>22.57365608215332</v>
      </c>
      <c r="F9" s="3" t="s">
        <v>35</v>
      </c>
      <c r="G9" s="22" t="s">
        <v>102</v>
      </c>
      <c r="H9" s="3">
        <f t="shared" si="0"/>
        <v>23.631071090698242</v>
      </c>
      <c r="I9" s="3">
        <f t="shared" si="1"/>
        <v>19.30192756652832</v>
      </c>
      <c r="J9" s="3">
        <f t="array" ref="J9">STDEV(IF($A$2:$A$103=$F9,IF($C$2:$C$103="Kcnq2",$D$2:$D$103,"NA"),"NA"))</f>
        <v>7.8863336283925944E-2</v>
      </c>
      <c r="K9" s="3">
        <f t="array" ref="K9">STDEV(IF($A$2:$A$103=$F9,IF($C$2:$C$103="Gapdh",$D$2:$D$103,"NA"),"NA"))</f>
        <v>5.4129089492917705E-2</v>
      </c>
      <c r="M9" s="22" t="s">
        <v>54</v>
      </c>
      <c r="N9" s="3">
        <f>AVERAGEIF($G$2:$G$18,$M9,$I$2:$I$18)</f>
        <v>19.142437616984051</v>
      </c>
      <c r="O9" s="3">
        <f t="array" ref="O9">STDEV(IF($G$2:$G$18=$M9,$I$2:$I$18,"NA"))/SQRT(6)</f>
        <v>5.0653606654864444E-2</v>
      </c>
    </row>
    <row r="10" spans="1:15" x14ac:dyDescent="0.25">
      <c r="A10" s="3" t="s">
        <v>29</v>
      </c>
      <c r="B10" s="8">
        <v>3</v>
      </c>
      <c r="C10" s="23" t="s">
        <v>100</v>
      </c>
      <c r="D10" s="10">
        <v>18.848085403442383</v>
      </c>
      <c r="F10" s="3" t="s">
        <v>36</v>
      </c>
      <c r="G10" s="22" t="s">
        <v>102</v>
      </c>
      <c r="H10" s="3">
        <f t="shared" si="0"/>
        <v>23.467761357625324</v>
      </c>
      <c r="I10" s="3">
        <f t="shared" si="1"/>
        <v>19.182646433512371</v>
      </c>
      <c r="J10" s="3">
        <f t="array" ref="J10">STDEV(IF($A$2:$A$103=$F10,IF($C$2:$C$103="Kcnq2",$D$2:$D$103,"NA"),"NA"))</f>
        <v>1.4672868979409852E-2</v>
      </c>
      <c r="K10" s="3">
        <f t="array" ref="K10">STDEV(IF($A$2:$A$103=$F10,IF($C$2:$C$103="Gapdh",$D$2:$D$103,"NA"),"NA"))</f>
        <v>2.2064924008684643E-2</v>
      </c>
    </row>
    <row r="11" spans="1:15" x14ac:dyDescent="0.25">
      <c r="A11" s="3" t="s">
        <v>29</v>
      </c>
      <c r="B11" s="8">
        <v>1</v>
      </c>
      <c r="C11" s="23" t="s">
        <v>101</v>
      </c>
      <c r="D11" s="10">
        <v>22.728696823120117</v>
      </c>
      <c r="F11" s="3" t="s">
        <v>37</v>
      </c>
      <c r="G11" s="22" t="s">
        <v>102</v>
      </c>
      <c r="H11" s="3">
        <f t="shared" si="0"/>
        <v>23.367863337198894</v>
      </c>
      <c r="I11" s="3">
        <f t="shared" si="1"/>
        <v>18.99395751953125</v>
      </c>
      <c r="J11" s="3">
        <f t="array" ref="J11">STDEV(IF($A$2:$A$103=$F11,IF($C$2:$C$103="Kcnq2",$D$2:$D$103,"NA"),"NA"))</f>
        <v>4.3753718919539504E-2</v>
      </c>
      <c r="K11" s="3">
        <f t="array" ref="K11">STDEV(IF($A$2:$A$103=$F11,IF($C$2:$C$103="Gapdh",$D$2:$D$103,"NA"),"NA"))</f>
        <v>2.667525579101454E-2</v>
      </c>
    </row>
    <row r="12" spans="1:15" x14ac:dyDescent="0.25">
      <c r="A12" s="3" t="s">
        <v>29</v>
      </c>
      <c r="B12" s="8">
        <v>2</v>
      </c>
      <c r="C12" s="23" t="s">
        <v>100</v>
      </c>
      <c r="D12" s="10">
        <v>18.873867034912109</v>
      </c>
      <c r="F12" s="3" t="s">
        <v>38</v>
      </c>
      <c r="G12" s="22" t="s">
        <v>102</v>
      </c>
      <c r="H12" s="3">
        <f t="shared" si="0"/>
        <v>23.498060862223308</v>
      </c>
      <c r="I12" s="3">
        <f t="shared" si="1"/>
        <v>19.24763298034668</v>
      </c>
      <c r="J12" s="3">
        <f t="array" ref="J12">STDEV(IF($A$2:$A$103=$F12,IF($C$2:$C$103="Kcnq2",$D$2:$D$103,"NA"),"NA"))</f>
        <v>1.6939083350168412E-2</v>
      </c>
      <c r="K12" s="3">
        <f t="array" ref="K12">STDEV(IF($A$2:$A$103=$F12,IF($C$2:$C$103="Gapdh",$D$2:$D$103,"NA"),"NA"))</f>
        <v>2.6754125946209722E-2</v>
      </c>
    </row>
    <row r="13" spans="1:15" x14ac:dyDescent="0.25">
      <c r="A13" s="3" t="s">
        <v>29</v>
      </c>
      <c r="B13" s="8">
        <v>3</v>
      </c>
      <c r="C13" s="23" t="s">
        <v>101</v>
      </c>
      <c r="D13" s="10">
        <v>22.773746490478516</v>
      </c>
      <c r="F13" s="3" t="s">
        <v>39</v>
      </c>
      <c r="G13" s="22" t="s">
        <v>102</v>
      </c>
      <c r="H13" s="3">
        <f t="shared" si="0"/>
        <v>23.281244277954102</v>
      </c>
      <c r="I13" s="3">
        <f t="shared" si="1"/>
        <v>19.308194478352863</v>
      </c>
      <c r="J13" s="3">
        <f t="array" ref="J13">STDEV(IF($A$2:$A$103=$F13,IF($C$2:$C$103="Kcnq2",$D$2:$D$103,"NA"),"NA"))</f>
        <v>1.5269245022344185E-2</v>
      </c>
      <c r="K13" s="3">
        <f t="array" ref="K13">STDEV(IF($A$2:$A$103=$F13,IF($C$2:$C$103="Gapdh",$D$2:$D$103,"NA"),"NA"))</f>
        <v>3.0341823784589165E-2</v>
      </c>
    </row>
    <row r="14" spans="1:15" x14ac:dyDescent="0.25">
      <c r="A14" s="3" t="s">
        <v>30</v>
      </c>
      <c r="B14" s="8">
        <v>1</v>
      </c>
      <c r="C14" s="23" t="s">
        <v>100</v>
      </c>
      <c r="D14" s="10">
        <v>18.88250732421875</v>
      </c>
      <c r="F14" s="3" t="s">
        <v>40</v>
      </c>
      <c r="G14" s="22" t="s">
        <v>54</v>
      </c>
      <c r="H14" s="3">
        <f t="shared" si="0"/>
        <v>22.820309956868488</v>
      </c>
      <c r="I14" s="3">
        <f t="shared" si="1"/>
        <v>19.126302719116211</v>
      </c>
      <c r="J14" s="3">
        <f t="array" ref="J14">STDEV(IF($A$2:$A$103=$F14,IF($C$2:$C$103="Kcnq2",$D$2:$D$103,"NA"),"NA"))</f>
        <v>2.2849095213172282E-2</v>
      </c>
      <c r="K14" s="3">
        <f t="array" ref="K14">STDEV(IF($A$2:$A$103=$F14,IF($C$2:$C$103="Gapdh",$D$2:$D$103,"NA"),"NA"))</f>
        <v>2.0401171542319869E-2</v>
      </c>
    </row>
    <row r="15" spans="1:15" x14ac:dyDescent="0.25">
      <c r="A15" s="3" t="s">
        <v>30</v>
      </c>
      <c r="B15" s="8">
        <v>2</v>
      </c>
      <c r="C15" s="23" t="s">
        <v>101</v>
      </c>
      <c r="D15" s="10">
        <v>22.621681213378906</v>
      </c>
      <c r="F15" s="3" t="s">
        <v>41</v>
      </c>
      <c r="G15" s="22" t="s">
        <v>54</v>
      </c>
      <c r="H15" s="3">
        <f t="shared" si="0"/>
        <v>22.92657979329427</v>
      </c>
      <c r="I15" s="3">
        <f t="shared" si="1"/>
        <v>18.984034220377605</v>
      </c>
      <c r="J15" s="3">
        <f t="array" ref="J15">STDEV(IF($A$2:$A$103=$F15,IF($C$2:$C$103="Kcnq2",$D$2:$D$103,"NA"),"NA"))</f>
        <v>2.2303367077677935E-2</v>
      </c>
      <c r="K15" s="3">
        <f t="array" ref="K15">STDEV(IF($A$2:$A$103=$F15,IF($C$2:$C$103="Gapdh",$D$2:$D$103,"NA"),"NA"))</f>
        <v>1.7798960314715315E-2</v>
      </c>
    </row>
    <row r="16" spans="1:15" x14ac:dyDescent="0.25">
      <c r="A16" s="3" t="s">
        <v>30</v>
      </c>
      <c r="B16" s="8">
        <v>3</v>
      </c>
      <c r="C16" s="23" t="s">
        <v>100</v>
      </c>
      <c r="D16" s="10">
        <v>19.061052322387695</v>
      </c>
      <c r="F16" s="3" t="s">
        <v>42</v>
      </c>
      <c r="G16" s="22" t="s">
        <v>54</v>
      </c>
      <c r="H16" s="3">
        <f t="shared" si="0"/>
        <v>22.873175303141277</v>
      </c>
      <c r="I16" s="3">
        <f t="shared" si="1"/>
        <v>19.077919642130535</v>
      </c>
      <c r="J16" s="3">
        <f t="array" ref="J16">STDEV(IF($A$2:$A$103=$F16,IF($C$2:$C$103="Kcnq2",$D$2:$D$103,"NA"),"NA"))</f>
        <v>2.7398346655782011E-3</v>
      </c>
      <c r="K16" s="3">
        <f t="array" ref="K16">STDEV(IF($A$2:$A$103=$F16,IF($C$2:$C$103="Gapdh",$D$2:$D$103,"NA"),"NA"))</f>
        <v>1.3055188397064736E-2</v>
      </c>
    </row>
    <row r="17" spans="1:11" x14ac:dyDescent="0.25">
      <c r="A17" s="3" t="s">
        <v>30</v>
      </c>
      <c r="B17" s="8">
        <v>1</v>
      </c>
      <c r="C17" s="23" t="s">
        <v>101</v>
      </c>
      <c r="D17" s="10">
        <v>22.830083847045898</v>
      </c>
      <c r="F17" s="22" t="s">
        <v>43</v>
      </c>
      <c r="G17" s="22" t="s">
        <v>54</v>
      </c>
      <c r="H17" s="22">
        <f t="shared" si="0"/>
        <v>22.940746307373047</v>
      </c>
      <c r="I17" s="22">
        <f t="shared" si="1"/>
        <v>19.220190048217773</v>
      </c>
      <c r="J17" s="22">
        <f t="array" ref="J17">STDEV(IF($A$2:$A$103=$F17,IF($C$2:$C$103="Kcnq2",$D$2:$D$103,"NA"),"NA"))</f>
        <v>2.5119601692940752E-2</v>
      </c>
      <c r="K17" s="22">
        <f t="array" ref="K17">STDEV(IF($A$2:$A$103=$F17,IF($C$2:$C$103="Gapdh",$D$2:$D$103,"NA"),"NA"))</f>
        <v>3.1863913426034937E-2</v>
      </c>
    </row>
    <row r="18" spans="1:11" x14ac:dyDescent="0.25">
      <c r="A18" s="3" t="s">
        <v>30</v>
      </c>
      <c r="B18" s="8">
        <v>2</v>
      </c>
      <c r="C18" s="23" t="s">
        <v>100</v>
      </c>
      <c r="D18" s="10">
        <v>18.975381851196289</v>
      </c>
      <c r="F18" s="3" t="s">
        <v>44</v>
      </c>
      <c r="G18" s="22" t="s">
        <v>54</v>
      </c>
      <c r="H18" s="3">
        <f t="shared" si="0"/>
        <v>23.033418655395508</v>
      </c>
      <c r="I18" s="3">
        <f t="shared" si="1"/>
        <v>19.303741455078125</v>
      </c>
      <c r="J18" s="3">
        <f t="array" ref="J18">STDEV(IF($A$2:$A$103=$F18,IF($C$2:$C$103="Kcnq2",$D$2:$D$103,"NA"),"NA"))</f>
        <v>5.6095854933765545E-2</v>
      </c>
      <c r="K18" s="3">
        <f t="array" ref="K18">STDEV(IF($A$2:$A$103=$F18,IF($C$2:$C$103="Gapdh",$D$2:$D$103,"NA"),"NA"))</f>
        <v>3.7970626442451E-2</v>
      </c>
    </row>
    <row r="19" spans="1:11" x14ac:dyDescent="0.25">
      <c r="A19" s="3" t="s">
        <v>30</v>
      </c>
      <c r="B19" s="8">
        <v>3</v>
      </c>
      <c r="C19" s="23" t="s">
        <v>101</v>
      </c>
      <c r="D19" s="10">
        <v>22.686090469360352</v>
      </c>
    </row>
    <row r="20" spans="1:11" x14ac:dyDescent="0.25">
      <c r="A20" s="3" t="s">
        <v>31</v>
      </c>
      <c r="B20" s="8">
        <v>1</v>
      </c>
      <c r="C20" s="23" t="s">
        <v>100</v>
      </c>
      <c r="D20" s="10">
        <v>18.918874740600586</v>
      </c>
    </row>
    <row r="21" spans="1:11" x14ac:dyDescent="0.25">
      <c r="A21" s="3" t="s">
        <v>31</v>
      </c>
      <c r="B21" s="8">
        <v>2</v>
      </c>
      <c r="C21" s="23" t="s">
        <v>101</v>
      </c>
      <c r="D21" s="10">
        <v>22.743442535400391</v>
      </c>
    </row>
    <row r="22" spans="1:11" x14ac:dyDescent="0.25">
      <c r="A22" s="3" t="s">
        <v>31</v>
      </c>
      <c r="B22" s="8">
        <v>3</v>
      </c>
      <c r="C22" s="23" t="s">
        <v>100</v>
      </c>
      <c r="D22" s="10">
        <v>19.046354293823242</v>
      </c>
    </row>
    <row r="23" spans="1:11" x14ac:dyDescent="0.25">
      <c r="A23" s="3" t="s">
        <v>31</v>
      </c>
      <c r="B23" s="8">
        <v>1</v>
      </c>
      <c r="C23" s="23" t="s">
        <v>101</v>
      </c>
      <c r="D23" s="10">
        <v>22.787319183349609</v>
      </c>
    </row>
    <row r="24" spans="1:11" x14ac:dyDescent="0.25">
      <c r="A24" s="3" t="s">
        <v>31</v>
      </c>
      <c r="B24" s="8">
        <v>2</v>
      </c>
      <c r="C24" s="23" t="s">
        <v>100</v>
      </c>
      <c r="D24" s="10">
        <v>19.062232971191406</v>
      </c>
    </row>
    <row r="25" spans="1:11" x14ac:dyDescent="0.25">
      <c r="A25" s="3" t="s">
        <v>31</v>
      </c>
      <c r="B25" s="8">
        <v>3</v>
      </c>
      <c r="C25" s="23" t="s">
        <v>101</v>
      </c>
      <c r="D25" s="10">
        <v>22.835250854492188</v>
      </c>
    </row>
    <row r="26" spans="1:11" x14ac:dyDescent="0.25">
      <c r="A26" s="3" t="s">
        <v>32</v>
      </c>
      <c r="B26" s="8">
        <v>1</v>
      </c>
      <c r="C26" s="23" t="s">
        <v>100</v>
      </c>
      <c r="D26" s="10">
        <v>19.321514129638672</v>
      </c>
    </row>
    <row r="27" spans="1:11" x14ac:dyDescent="0.25">
      <c r="A27" s="3" t="s">
        <v>32</v>
      </c>
      <c r="B27" s="8">
        <v>2</v>
      </c>
      <c r="C27" s="23" t="s">
        <v>101</v>
      </c>
      <c r="D27" s="10">
        <v>23.02787971496582</v>
      </c>
      <c r="J27" s="7"/>
    </row>
    <row r="28" spans="1:11" x14ac:dyDescent="0.25">
      <c r="A28" s="3" t="s">
        <v>32</v>
      </c>
      <c r="B28" s="8">
        <v>3</v>
      </c>
      <c r="C28" s="23" t="s">
        <v>100</v>
      </c>
      <c r="D28" s="10">
        <v>19.327848434448242</v>
      </c>
      <c r="J28" s="7"/>
    </row>
    <row r="29" spans="1:11" x14ac:dyDescent="0.25">
      <c r="A29" s="3" t="s">
        <v>32</v>
      </c>
      <c r="B29" s="8">
        <v>1</v>
      </c>
      <c r="C29" s="23" t="s">
        <v>101</v>
      </c>
      <c r="D29" s="10">
        <v>23.024391174316406</v>
      </c>
      <c r="J29" s="7"/>
    </row>
    <row r="30" spans="1:11" x14ac:dyDescent="0.25">
      <c r="A30" s="3" t="s">
        <v>32</v>
      </c>
      <c r="B30" s="8">
        <v>2</v>
      </c>
      <c r="C30" s="23" t="s">
        <v>100</v>
      </c>
      <c r="D30" s="10">
        <v>19.273427963256836</v>
      </c>
      <c r="I30" s="7"/>
      <c r="J30" s="7"/>
    </row>
    <row r="31" spans="1:11" x14ac:dyDescent="0.25">
      <c r="A31" s="3" t="s">
        <v>32</v>
      </c>
      <c r="B31" s="8">
        <v>3</v>
      </c>
      <c r="C31" s="23" t="s">
        <v>101</v>
      </c>
      <c r="D31" s="10">
        <v>23.025674819946289</v>
      </c>
      <c r="I31" s="7"/>
      <c r="J31" s="7"/>
    </row>
    <row r="32" spans="1:11" x14ac:dyDescent="0.25">
      <c r="A32" s="3" t="s">
        <v>33</v>
      </c>
      <c r="B32" s="8">
        <v>1</v>
      </c>
      <c r="C32" s="23" t="s">
        <v>100</v>
      </c>
      <c r="D32" s="10">
        <v>19.30915641784668</v>
      </c>
      <c r="I32" s="7"/>
      <c r="J32" s="7"/>
    </row>
    <row r="33" spans="1:10" x14ac:dyDescent="0.25">
      <c r="A33" s="3" t="s">
        <v>33</v>
      </c>
      <c r="B33" s="8">
        <v>2</v>
      </c>
      <c r="C33" s="23" t="s">
        <v>101</v>
      </c>
      <c r="D33" s="10">
        <v>22.983013153076172</v>
      </c>
      <c r="I33" s="7"/>
      <c r="J33" s="7"/>
    </row>
    <row r="34" spans="1:10" x14ac:dyDescent="0.25">
      <c r="A34" s="3" t="s">
        <v>33</v>
      </c>
      <c r="B34" s="8">
        <v>3</v>
      </c>
      <c r="C34" s="23" t="s">
        <v>100</v>
      </c>
      <c r="D34" s="10">
        <v>19.430131912231445</v>
      </c>
      <c r="I34" s="7"/>
      <c r="J34" s="7"/>
    </row>
    <row r="35" spans="1:10" x14ac:dyDescent="0.25">
      <c r="A35" s="3" t="s">
        <v>33</v>
      </c>
      <c r="B35" s="8">
        <v>1</v>
      </c>
      <c r="C35" s="23" t="s">
        <v>101</v>
      </c>
      <c r="D35" s="10">
        <v>23.086418151855469</v>
      </c>
      <c r="I35" s="7"/>
      <c r="J35" s="7"/>
    </row>
    <row r="36" spans="1:10" x14ac:dyDescent="0.25">
      <c r="A36" s="3" t="s">
        <v>33</v>
      </c>
      <c r="B36" s="8">
        <v>2</v>
      </c>
      <c r="C36" s="23" t="s">
        <v>100</v>
      </c>
      <c r="D36" s="10">
        <v>19.250244140625</v>
      </c>
      <c r="I36" s="7"/>
      <c r="J36" s="7"/>
    </row>
    <row r="37" spans="1:10" x14ac:dyDescent="0.25">
      <c r="A37" s="3" t="s">
        <v>33</v>
      </c>
      <c r="B37" s="8">
        <v>3</v>
      </c>
      <c r="C37" s="23" t="s">
        <v>101</v>
      </c>
      <c r="D37" s="10">
        <v>22.96441650390625</v>
      </c>
      <c r="I37" s="7"/>
      <c r="J37" s="7"/>
    </row>
    <row r="38" spans="1:10" x14ac:dyDescent="0.25">
      <c r="A38" s="3" t="s">
        <v>34</v>
      </c>
      <c r="B38" s="8">
        <v>1</v>
      </c>
      <c r="C38" s="23" t="s">
        <v>100</v>
      </c>
      <c r="D38" s="10">
        <v>19.289623260498047</v>
      </c>
      <c r="I38" s="7"/>
      <c r="J38" s="7"/>
    </row>
    <row r="39" spans="1:10" x14ac:dyDescent="0.25">
      <c r="A39" s="3" t="s">
        <v>34</v>
      </c>
      <c r="B39" s="8">
        <v>2</v>
      </c>
      <c r="C39" s="23" t="s">
        <v>101</v>
      </c>
      <c r="D39" s="10">
        <v>23.616451263427734</v>
      </c>
      <c r="I39" s="7"/>
      <c r="J39" s="7"/>
    </row>
    <row r="40" spans="1:10" x14ac:dyDescent="0.25">
      <c r="A40" s="3" t="s">
        <v>34</v>
      </c>
      <c r="B40" s="8">
        <v>3</v>
      </c>
      <c r="C40" s="23" t="s">
        <v>100</v>
      </c>
      <c r="D40" s="10">
        <v>18.924270629882813</v>
      </c>
      <c r="I40" s="7"/>
      <c r="J40" s="7"/>
    </row>
    <row r="41" spans="1:10" x14ac:dyDescent="0.25">
      <c r="A41" s="3" t="s">
        <v>34</v>
      </c>
      <c r="B41" s="8">
        <v>1</v>
      </c>
      <c r="C41" s="23" t="s">
        <v>101</v>
      </c>
      <c r="D41" s="10">
        <v>23.238609313964844</v>
      </c>
      <c r="I41" s="7"/>
      <c r="J41" s="7"/>
    </row>
    <row r="42" spans="1:10" x14ac:dyDescent="0.25">
      <c r="A42" s="3" t="s">
        <v>34</v>
      </c>
      <c r="B42" s="8">
        <v>2</v>
      </c>
      <c r="C42" s="23" t="s">
        <v>100</v>
      </c>
      <c r="D42" s="10">
        <v>19.156492233276367</v>
      </c>
      <c r="I42" s="7"/>
      <c r="J42" s="7"/>
    </row>
    <row r="43" spans="1:10" x14ac:dyDescent="0.25">
      <c r="A43" s="3" t="s">
        <v>34</v>
      </c>
      <c r="B43" s="8">
        <v>3</v>
      </c>
      <c r="C43" s="23" t="s">
        <v>101</v>
      </c>
      <c r="D43" s="10">
        <v>23.510904312133789</v>
      </c>
      <c r="I43" s="7"/>
      <c r="J43" s="7"/>
    </row>
    <row r="44" spans="1:10" x14ac:dyDescent="0.25">
      <c r="A44" s="3" t="s">
        <v>35</v>
      </c>
      <c r="B44" s="8">
        <v>1</v>
      </c>
      <c r="C44" s="23" t="s">
        <v>100</v>
      </c>
      <c r="D44" s="10">
        <v>19.319162368774414</v>
      </c>
      <c r="I44" s="7"/>
      <c r="J44" s="7"/>
    </row>
    <row r="45" spans="1:10" x14ac:dyDescent="0.25">
      <c r="A45" s="3" t="s">
        <v>35</v>
      </c>
      <c r="B45" s="8">
        <v>2</v>
      </c>
      <c r="C45" s="23" t="s">
        <v>101</v>
      </c>
      <c r="D45" s="10">
        <v>23.691062927246094</v>
      </c>
      <c r="I45" s="7"/>
      <c r="J45" s="7"/>
    </row>
    <row r="46" spans="1:10" x14ac:dyDescent="0.25">
      <c r="A46" s="3" t="s">
        <v>35</v>
      </c>
      <c r="B46" s="8">
        <v>3</v>
      </c>
      <c r="C46" s="23" t="s">
        <v>100</v>
      </c>
      <c r="D46" s="10">
        <v>19.345340728759766</v>
      </c>
      <c r="I46" s="7"/>
      <c r="J46" s="7"/>
    </row>
    <row r="47" spans="1:10" x14ac:dyDescent="0.25">
      <c r="A47" s="3" t="s">
        <v>35</v>
      </c>
      <c r="B47" s="8">
        <v>1</v>
      </c>
      <c r="C47" s="23" t="s">
        <v>101</v>
      </c>
      <c r="D47" s="10">
        <v>23.660406112670898</v>
      </c>
      <c r="I47" s="7"/>
      <c r="J47" s="7"/>
    </row>
    <row r="48" spans="1:10" x14ac:dyDescent="0.25">
      <c r="A48" s="3" t="s">
        <v>35</v>
      </c>
      <c r="B48" s="8">
        <v>2</v>
      </c>
      <c r="C48" s="23" t="s">
        <v>100</v>
      </c>
      <c r="D48" s="10">
        <v>19.241279602050781</v>
      </c>
      <c r="I48" s="7"/>
      <c r="J48" s="7"/>
    </row>
    <row r="49" spans="1:10" x14ac:dyDescent="0.25">
      <c r="A49" s="3" t="s">
        <v>35</v>
      </c>
      <c r="B49" s="8">
        <v>3</v>
      </c>
      <c r="C49" s="23" t="s">
        <v>101</v>
      </c>
      <c r="D49" s="10">
        <v>23.541744232177734</v>
      </c>
      <c r="I49" s="7"/>
      <c r="J49" s="7"/>
    </row>
    <row r="50" spans="1:10" x14ac:dyDescent="0.25">
      <c r="A50" s="3" t="s">
        <v>36</v>
      </c>
      <c r="B50" s="8">
        <v>1</v>
      </c>
      <c r="C50" s="23" t="s">
        <v>100</v>
      </c>
      <c r="D50" s="10">
        <v>19.199859619140625</v>
      </c>
      <c r="I50" s="7"/>
      <c r="J50" s="7"/>
    </row>
    <row r="51" spans="1:10" x14ac:dyDescent="0.25">
      <c r="A51" s="3" t="s">
        <v>36</v>
      </c>
      <c r="B51" s="8">
        <v>2</v>
      </c>
      <c r="C51" s="23" t="s">
        <v>101</v>
      </c>
      <c r="D51" s="10">
        <v>23.451211929321289</v>
      </c>
      <c r="I51" s="7"/>
      <c r="J51" s="7"/>
    </row>
    <row r="52" spans="1:10" x14ac:dyDescent="0.25">
      <c r="A52" s="3" t="s">
        <v>36</v>
      </c>
      <c r="B52" s="8">
        <v>3</v>
      </c>
      <c r="C52" s="23" t="s">
        <v>100</v>
      </c>
      <c r="D52" s="10">
        <v>19.157772064208984</v>
      </c>
      <c r="I52" s="7"/>
      <c r="J52" s="7"/>
    </row>
    <row r="53" spans="1:10" x14ac:dyDescent="0.25">
      <c r="A53" s="3" t="s">
        <v>36</v>
      </c>
      <c r="B53" s="8">
        <v>1</v>
      </c>
      <c r="C53" s="23" t="s">
        <v>101</v>
      </c>
      <c r="D53" s="10">
        <v>23.472892761230469</v>
      </c>
      <c r="I53" s="7"/>
      <c r="J53" s="7"/>
    </row>
    <row r="54" spans="1:10" x14ac:dyDescent="0.25">
      <c r="A54" s="3" t="s">
        <v>36</v>
      </c>
      <c r="B54" s="8">
        <v>2</v>
      </c>
      <c r="C54" s="23" t="s">
        <v>100</v>
      </c>
      <c r="D54" s="10">
        <v>19.1903076171875</v>
      </c>
      <c r="I54" s="7"/>
      <c r="J54" s="7"/>
    </row>
    <row r="55" spans="1:10" x14ac:dyDescent="0.25">
      <c r="A55" s="3" t="s">
        <v>36</v>
      </c>
      <c r="B55" s="8">
        <v>3</v>
      </c>
      <c r="C55" s="23" t="s">
        <v>101</v>
      </c>
      <c r="D55" s="10">
        <v>23.479179382324219</v>
      </c>
      <c r="I55" s="7"/>
      <c r="J55" s="7"/>
    </row>
    <row r="56" spans="1:10" x14ac:dyDescent="0.25">
      <c r="A56" s="3" t="s">
        <v>37</v>
      </c>
      <c r="B56" s="8">
        <v>1</v>
      </c>
      <c r="C56" s="23" t="s">
        <v>100</v>
      </c>
      <c r="D56" s="10">
        <v>18.983970642089844</v>
      </c>
      <c r="I56" s="7"/>
      <c r="J56" s="7"/>
    </row>
    <row r="57" spans="1:10" x14ac:dyDescent="0.25">
      <c r="A57" s="3" t="s">
        <v>37</v>
      </c>
      <c r="B57" s="8">
        <v>2</v>
      </c>
      <c r="C57" s="23" t="s">
        <v>101</v>
      </c>
      <c r="D57" s="10">
        <v>23.36920166015625</v>
      </c>
      <c r="I57" s="7"/>
      <c r="J57" s="7"/>
    </row>
    <row r="58" spans="1:10" x14ac:dyDescent="0.25">
      <c r="A58" s="3" t="s">
        <v>37</v>
      </c>
      <c r="B58" s="8">
        <v>3</v>
      </c>
      <c r="C58" s="23" t="s">
        <v>100</v>
      </c>
      <c r="D58" s="10">
        <v>18.973716735839844</v>
      </c>
      <c r="I58" s="7"/>
      <c r="J58" s="7"/>
    </row>
    <row r="59" spans="1:10" x14ac:dyDescent="0.25">
      <c r="A59" s="3" t="s">
        <v>37</v>
      </c>
      <c r="B59" s="8">
        <v>1</v>
      </c>
      <c r="C59" s="23" t="s">
        <v>101</v>
      </c>
      <c r="D59" s="10">
        <v>23.323455810546875</v>
      </c>
      <c r="I59" s="7"/>
      <c r="J59" s="7"/>
    </row>
    <row r="60" spans="1:10" x14ac:dyDescent="0.25">
      <c r="A60" s="3" t="s">
        <v>37</v>
      </c>
      <c r="B60" s="8">
        <v>2</v>
      </c>
      <c r="C60" s="23" t="s">
        <v>100</v>
      </c>
      <c r="D60" s="10">
        <v>19.024185180664063</v>
      </c>
      <c r="I60" s="7"/>
      <c r="J60" s="7"/>
    </row>
    <row r="61" spans="1:10" x14ac:dyDescent="0.25">
      <c r="A61" s="3" t="s">
        <v>37</v>
      </c>
      <c r="B61" s="8">
        <v>3</v>
      </c>
      <c r="C61" s="23" t="s">
        <v>101</v>
      </c>
      <c r="D61" s="10">
        <v>23.410932540893555</v>
      </c>
      <c r="I61" s="7"/>
      <c r="J61" s="7"/>
    </row>
    <row r="62" spans="1:10" x14ac:dyDescent="0.25">
      <c r="A62" s="3" t="s">
        <v>38</v>
      </c>
      <c r="B62" s="8">
        <v>1</v>
      </c>
      <c r="C62" s="23" t="s">
        <v>100</v>
      </c>
      <c r="D62" s="10">
        <v>19.273380279541016</v>
      </c>
      <c r="I62" s="7"/>
      <c r="J62" s="7"/>
    </row>
    <row r="63" spans="1:10" x14ac:dyDescent="0.25">
      <c r="A63" s="3" t="s">
        <v>38</v>
      </c>
      <c r="B63" s="8">
        <v>2</v>
      </c>
      <c r="C63" s="23" t="s">
        <v>101</v>
      </c>
      <c r="D63" s="10">
        <v>23.497650146484375</v>
      </c>
      <c r="I63" s="7"/>
      <c r="J63" s="7"/>
    </row>
    <row r="64" spans="1:10" x14ac:dyDescent="0.25">
      <c r="A64" s="3" t="s">
        <v>38</v>
      </c>
      <c r="B64" s="8">
        <v>3</v>
      </c>
      <c r="C64" s="23" t="s">
        <v>100</v>
      </c>
      <c r="D64" s="10">
        <v>19.249544143676758</v>
      </c>
      <c r="I64" s="7"/>
      <c r="J64" s="7"/>
    </row>
    <row r="65" spans="1:10" x14ac:dyDescent="0.25">
      <c r="A65" s="3" t="s">
        <v>38</v>
      </c>
      <c r="B65" s="8">
        <v>1</v>
      </c>
      <c r="C65" s="23" t="s">
        <v>101</v>
      </c>
      <c r="D65" s="10">
        <v>23.481330871582031</v>
      </c>
      <c r="I65" s="7"/>
      <c r="J65" s="7"/>
    </row>
    <row r="66" spans="1:10" x14ac:dyDescent="0.25">
      <c r="A66" s="3" t="s">
        <v>38</v>
      </c>
      <c r="B66" s="8">
        <v>2</v>
      </c>
      <c r="C66" s="23" t="s">
        <v>100</v>
      </c>
      <c r="D66" s="10">
        <v>19.219974517822266</v>
      </c>
      <c r="I66" s="7"/>
      <c r="J66" s="7"/>
    </row>
    <row r="67" spans="1:10" x14ac:dyDescent="0.25">
      <c r="A67" s="3" t="s">
        <v>38</v>
      </c>
      <c r="B67" s="8">
        <v>3</v>
      </c>
      <c r="C67" s="23" t="s">
        <v>101</v>
      </c>
      <c r="D67" s="10">
        <v>23.515201568603516</v>
      </c>
      <c r="I67" s="7"/>
      <c r="J67" s="7"/>
    </row>
    <row r="68" spans="1:10" x14ac:dyDescent="0.25">
      <c r="A68" s="3" t="s">
        <v>39</v>
      </c>
      <c r="B68" s="8">
        <v>1</v>
      </c>
      <c r="C68" s="23" t="s">
        <v>100</v>
      </c>
      <c r="D68" s="10">
        <v>19.278083801269531</v>
      </c>
      <c r="I68" s="7"/>
      <c r="J68" s="7"/>
    </row>
    <row r="69" spans="1:10" x14ac:dyDescent="0.25">
      <c r="A69" s="3" t="s">
        <v>39</v>
      </c>
      <c r="B69" s="8">
        <v>2</v>
      </c>
      <c r="C69" s="23" t="s">
        <v>101</v>
      </c>
      <c r="D69" s="10">
        <v>23.297883987426758</v>
      </c>
      <c r="I69" s="7"/>
      <c r="J69" s="7"/>
    </row>
    <row r="70" spans="1:10" x14ac:dyDescent="0.25">
      <c r="A70" s="3" t="s">
        <v>39</v>
      </c>
      <c r="B70" s="8">
        <v>3</v>
      </c>
      <c r="C70" s="23" t="s">
        <v>100</v>
      </c>
      <c r="D70" s="10">
        <v>19.338762283325195</v>
      </c>
      <c r="I70" s="7"/>
      <c r="J70" s="7"/>
    </row>
    <row r="71" spans="1:10" x14ac:dyDescent="0.25">
      <c r="A71" s="3" t="s">
        <v>39</v>
      </c>
      <c r="B71" s="8">
        <v>1</v>
      </c>
      <c r="C71" s="23" t="s">
        <v>101</v>
      </c>
      <c r="D71" s="10">
        <v>23.277973175048828</v>
      </c>
      <c r="I71" s="7"/>
      <c r="J71" s="7"/>
    </row>
    <row r="72" spans="1:10" x14ac:dyDescent="0.25">
      <c r="A72" s="3" t="s">
        <v>39</v>
      </c>
      <c r="B72" s="8">
        <v>2</v>
      </c>
      <c r="C72" s="23" t="s">
        <v>100</v>
      </c>
      <c r="D72" s="10">
        <v>19.307737350463867</v>
      </c>
      <c r="I72" s="7"/>
      <c r="J72" s="7"/>
    </row>
    <row r="73" spans="1:10" x14ac:dyDescent="0.25">
      <c r="A73" s="3" t="s">
        <v>39</v>
      </c>
      <c r="B73" s="8">
        <v>3</v>
      </c>
      <c r="C73" s="23" t="s">
        <v>101</v>
      </c>
      <c r="D73" s="10">
        <v>23.267875671386719</v>
      </c>
      <c r="I73" s="7"/>
      <c r="J73" s="7"/>
    </row>
    <row r="74" spans="1:10" x14ac:dyDescent="0.25">
      <c r="A74" s="3" t="s">
        <v>40</v>
      </c>
      <c r="B74" s="8">
        <v>1</v>
      </c>
      <c r="C74" s="23" t="s">
        <v>100</v>
      </c>
      <c r="D74" s="10">
        <v>19.132743835449219</v>
      </c>
      <c r="I74" s="7"/>
      <c r="J74" s="7"/>
    </row>
    <row r="75" spans="1:10" x14ac:dyDescent="0.25">
      <c r="A75" s="3" t="s">
        <v>40</v>
      </c>
      <c r="B75" s="8">
        <v>2</v>
      </c>
      <c r="C75" s="23" t="s">
        <v>101</v>
      </c>
      <c r="D75" s="10">
        <v>22.834115982055664</v>
      </c>
      <c r="I75" s="7"/>
      <c r="J75" s="7"/>
    </row>
    <row r="76" spans="1:10" x14ac:dyDescent="0.25">
      <c r="A76" s="3" t="s">
        <v>40</v>
      </c>
      <c r="B76" s="8">
        <v>3</v>
      </c>
      <c r="C76" s="23" t="s">
        <v>100</v>
      </c>
      <c r="D76" s="10">
        <v>19.142705917358398</v>
      </c>
      <c r="I76" s="7"/>
      <c r="J76" s="7"/>
    </row>
    <row r="77" spans="1:10" x14ac:dyDescent="0.25">
      <c r="A77" s="3" t="s">
        <v>40</v>
      </c>
      <c r="B77" s="8">
        <v>1</v>
      </c>
      <c r="C77" s="23" t="s">
        <v>101</v>
      </c>
      <c r="D77" s="10">
        <v>22.832878112792969</v>
      </c>
      <c r="I77" s="7"/>
      <c r="J77" s="7"/>
    </row>
    <row r="78" spans="1:10" x14ac:dyDescent="0.25">
      <c r="A78" s="3" t="s">
        <v>40</v>
      </c>
      <c r="B78" s="8">
        <v>2</v>
      </c>
      <c r="C78" s="23" t="s">
        <v>100</v>
      </c>
      <c r="D78" s="10">
        <v>19.103458404541016</v>
      </c>
      <c r="I78" s="7"/>
      <c r="J78" s="7"/>
    </row>
    <row r="79" spans="1:10" x14ac:dyDescent="0.25">
      <c r="A79" s="3" t="s">
        <v>40</v>
      </c>
      <c r="B79" s="8">
        <v>3</v>
      </c>
      <c r="C79" s="23" t="s">
        <v>101</v>
      </c>
      <c r="D79" s="10">
        <v>22.793935775756836</v>
      </c>
      <c r="I79" s="7"/>
      <c r="J79" s="7"/>
    </row>
    <row r="80" spans="1:10" x14ac:dyDescent="0.25">
      <c r="A80" s="3" t="s">
        <v>41</v>
      </c>
      <c r="B80" s="8">
        <v>1</v>
      </c>
      <c r="C80" s="23" t="s">
        <v>100</v>
      </c>
      <c r="D80" s="10">
        <v>18.984193801879883</v>
      </c>
      <c r="I80" s="7"/>
      <c r="J80" s="7"/>
    </row>
    <row r="81" spans="1:10" x14ac:dyDescent="0.25">
      <c r="A81" s="3" t="s">
        <v>41</v>
      </c>
      <c r="B81" s="8">
        <v>2</v>
      </c>
      <c r="C81" s="23" t="s">
        <v>101</v>
      </c>
      <c r="D81" s="10">
        <v>22.900896072387695</v>
      </c>
      <c r="I81" s="7"/>
      <c r="J81" s="7"/>
    </row>
    <row r="82" spans="1:10" x14ac:dyDescent="0.25">
      <c r="A82" s="3" t="s">
        <v>41</v>
      </c>
      <c r="B82" s="8">
        <v>3</v>
      </c>
      <c r="C82" s="23" t="s">
        <v>100</v>
      </c>
      <c r="D82" s="10">
        <v>18.966156005859375</v>
      </c>
      <c r="I82" s="7"/>
      <c r="J82" s="7"/>
    </row>
    <row r="83" spans="1:10" x14ac:dyDescent="0.25">
      <c r="A83" s="3" t="s">
        <v>41</v>
      </c>
      <c r="B83" s="8">
        <v>1</v>
      </c>
      <c r="C83" s="23" t="s">
        <v>101</v>
      </c>
      <c r="D83" s="10">
        <v>22.937778472900391</v>
      </c>
      <c r="I83" s="7"/>
      <c r="J83" s="7"/>
    </row>
    <row r="84" spans="1:10" x14ac:dyDescent="0.25">
      <c r="A84" s="3" t="s">
        <v>41</v>
      </c>
      <c r="B84" s="8">
        <v>2</v>
      </c>
      <c r="C84" s="23" t="s">
        <v>100</v>
      </c>
      <c r="D84" s="10">
        <v>19.001752853393555</v>
      </c>
      <c r="I84" s="7"/>
      <c r="J84" s="7"/>
    </row>
    <row r="85" spans="1:10" x14ac:dyDescent="0.25">
      <c r="A85" s="3" t="s">
        <v>41</v>
      </c>
      <c r="B85" s="8">
        <v>3</v>
      </c>
      <c r="C85" s="23" t="s">
        <v>101</v>
      </c>
      <c r="D85" s="10">
        <v>22.941064834594727</v>
      </c>
      <c r="I85" s="7"/>
      <c r="J85" s="7"/>
    </row>
    <row r="86" spans="1:10" x14ac:dyDescent="0.25">
      <c r="A86" s="3" t="s">
        <v>42</v>
      </c>
      <c r="B86" s="8">
        <v>1</v>
      </c>
      <c r="C86" s="23" t="s">
        <v>100</v>
      </c>
      <c r="D86" s="10">
        <v>19.070737838745117</v>
      </c>
      <c r="I86" s="7"/>
      <c r="J86" s="7"/>
    </row>
    <row r="87" spans="1:10" x14ac:dyDescent="0.25">
      <c r="A87" s="3" t="s">
        <v>42</v>
      </c>
      <c r="B87" s="8">
        <v>2</v>
      </c>
      <c r="C87" s="23" t="s">
        <v>101</v>
      </c>
      <c r="D87" s="10">
        <v>22.872636795043945</v>
      </c>
      <c r="I87" s="7"/>
      <c r="J87" s="7"/>
    </row>
    <row r="88" spans="1:10" x14ac:dyDescent="0.25">
      <c r="A88" s="3" t="s">
        <v>42</v>
      </c>
      <c r="B88" s="8">
        <v>3</v>
      </c>
      <c r="C88" s="23" t="s">
        <v>100</v>
      </c>
      <c r="D88" s="10">
        <v>19.092988967895508</v>
      </c>
      <c r="I88" s="7"/>
      <c r="J88" s="7"/>
    </row>
    <row r="89" spans="1:10" x14ac:dyDescent="0.25">
      <c r="A89" s="3" t="s">
        <v>42</v>
      </c>
      <c r="B89" s="8">
        <v>1</v>
      </c>
      <c r="C89" s="23" t="s">
        <v>101</v>
      </c>
      <c r="D89" s="10">
        <v>22.870744705200195</v>
      </c>
      <c r="I89" s="7"/>
      <c r="J89" s="7"/>
    </row>
    <row r="90" spans="1:10" x14ac:dyDescent="0.25">
      <c r="A90" s="3" t="s">
        <v>42</v>
      </c>
      <c r="B90" s="8">
        <v>2</v>
      </c>
      <c r="C90" s="23" t="s">
        <v>100</v>
      </c>
      <c r="D90" s="10">
        <v>19.070032119750977</v>
      </c>
      <c r="I90" s="7"/>
      <c r="J90" s="7"/>
    </row>
    <row r="91" spans="1:10" x14ac:dyDescent="0.25">
      <c r="A91" s="3" t="s">
        <v>42</v>
      </c>
      <c r="B91" s="8">
        <v>3</v>
      </c>
      <c r="C91" s="23" t="s">
        <v>101</v>
      </c>
      <c r="D91" s="10">
        <v>22.876144409179688</v>
      </c>
      <c r="I91" s="7"/>
      <c r="J91" s="7"/>
    </row>
    <row r="92" spans="1:10" x14ac:dyDescent="0.25">
      <c r="A92" s="3" t="s">
        <v>43</v>
      </c>
      <c r="B92" s="8">
        <v>1</v>
      </c>
      <c r="C92" s="23" t="s">
        <v>100</v>
      </c>
      <c r="D92" s="10">
        <v>19.244752883911133</v>
      </c>
      <c r="I92" s="7"/>
      <c r="J92" s="7"/>
    </row>
    <row r="93" spans="1:10" x14ac:dyDescent="0.25">
      <c r="A93" s="3" t="s">
        <v>43</v>
      </c>
      <c r="B93" s="8">
        <v>2</v>
      </c>
      <c r="C93" s="23" t="s">
        <v>101</v>
      </c>
      <c r="D93" s="10">
        <v>22.94957160949707</v>
      </c>
      <c r="I93" s="7"/>
      <c r="J93" s="7"/>
    </row>
    <row r="94" spans="1:10" x14ac:dyDescent="0.25">
      <c r="A94" s="3" t="s">
        <v>43</v>
      </c>
      <c r="B94" s="8">
        <v>3</v>
      </c>
      <c r="C94" s="23" t="s">
        <v>100</v>
      </c>
      <c r="D94" s="10">
        <v>19.231632232666016</v>
      </c>
      <c r="I94" s="7"/>
      <c r="J94" s="7"/>
    </row>
    <row r="95" spans="1:10" x14ac:dyDescent="0.25">
      <c r="A95" s="3" t="s">
        <v>43</v>
      </c>
      <c r="B95" s="8">
        <v>1</v>
      </c>
      <c r="C95" s="23" t="s">
        <v>101</v>
      </c>
      <c r="D95" s="10">
        <v>22.960262298583984</v>
      </c>
      <c r="I95" s="7"/>
      <c r="J95" s="7"/>
    </row>
    <row r="96" spans="1:10" x14ac:dyDescent="0.25">
      <c r="A96" s="3" t="s">
        <v>43</v>
      </c>
      <c r="B96" s="8">
        <v>2</v>
      </c>
      <c r="C96" s="23" t="s">
        <v>100</v>
      </c>
      <c r="D96" s="10">
        <v>19.184185028076172</v>
      </c>
      <c r="I96" s="7"/>
      <c r="J96" s="7"/>
    </row>
    <row r="97" spans="1:10" x14ac:dyDescent="0.25">
      <c r="A97" s="3" t="s">
        <v>43</v>
      </c>
      <c r="B97" s="8">
        <v>3</v>
      </c>
      <c r="C97" s="23" t="s">
        <v>101</v>
      </c>
      <c r="D97" s="10">
        <v>22.912405014038086</v>
      </c>
      <c r="I97" s="7"/>
      <c r="J97" s="7"/>
    </row>
    <row r="98" spans="1:10" x14ac:dyDescent="0.25">
      <c r="A98" s="3" t="s">
        <v>44</v>
      </c>
      <c r="B98" s="8">
        <v>1</v>
      </c>
      <c r="C98" s="23" t="s">
        <v>100</v>
      </c>
      <c r="D98" s="10">
        <v>19.289226531982422</v>
      </c>
      <c r="I98" s="7"/>
      <c r="J98" s="7"/>
    </row>
    <row r="99" spans="1:10" x14ac:dyDescent="0.25">
      <c r="A99" s="3" t="s">
        <v>44</v>
      </c>
      <c r="B99" s="8">
        <v>2</v>
      </c>
      <c r="C99" s="23" t="s">
        <v>101</v>
      </c>
      <c r="D99" s="10">
        <v>23.006732940673828</v>
      </c>
      <c r="I99" s="7"/>
      <c r="J99" s="7"/>
    </row>
    <row r="100" spans="1:10" x14ac:dyDescent="0.25">
      <c r="A100" s="3" t="s">
        <v>44</v>
      </c>
      <c r="B100" s="8">
        <v>3</v>
      </c>
      <c r="C100" s="23" t="s">
        <v>100</v>
      </c>
      <c r="D100" s="10">
        <v>19.275169372558594</v>
      </c>
      <c r="I100" s="7"/>
      <c r="J100" s="7"/>
    </row>
    <row r="101" spans="1:10" x14ac:dyDescent="0.25">
      <c r="A101" s="3" t="s">
        <v>44</v>
      </c>
      <c r="B101" s="8">
        <v>1</v>
      </c>
      <c r="C101" s="23" t="s">
        <v>101</v>
      </c>
      <c r="D101" s="10">
        <v>22.995647430419922</v>
      </c>
      <c r="I101" s="7"/>
      <c r="J101" s="7"/>
    </row>
    <row r="102" spans="1:10" x14ac:dyDescent="0.25">
      <c r="A102" s="3" t="s">
        <v>44</v>
      </c>
      <c r="B102" s="8">
        <v>2</v>
      </c>
      <c r="C102" s="23" t="s">
        <v>100</v>
      </c>
      <c r="D102" s="10">
        <v>19.346828460693359</v>
      </c>
      <c r="I102" s="7"/>
      <c r="J102" s="7"/>
    </row>
    <row r="103" spans="1:10" x14ac:dyDescent="0.25">
      <c r="A103" s="3" t="s">
        <v>44</v>
      </c>
      <c r="B103" s="8">
        <v>3</v>
      </c>
      <c r="C103" s="23" t="s">
        <v>101</v>
      </c>
      <c r="D103" s="10">
        <v>23.097875595092773</v>
      </c>
      <c r="I103" s="7"/>
      <c r="J103" s="7"/>
    </row>
    <row r="104" spans="1:10" x14ac:dyDescent="0.25">
      <c r="I104" s="7"/>
    </row>
    <row r="105" spans="1:10" x14ac:dyDescent="0.25">
      <c r="I105" s="7"/>
    </row>
    <row r="106" spans="1:10" x14ac:dyDescent="0.25">
      <c r="I106" s="7"/>
    </row>
    <row r="107" spans="1:10" x14ac:dyDescent="0.25">
      <c r="I107" s="7"/>
    </row>
    <row r="108" spans="1:10" x14ac:dyDescent="0.25">
      <c r="I108" s="7"/>
    </row>
    <row r="109" spans="1:10" x14ac:dyDescent="0.25">
      <c r="I109" s="7"/>
    </row>
    <row r="110" spans="1:10" x14ac:dyDescent="0.25">
      <c r="I110" s="7"/>
    </row>
    <row r="111" spans="1:10" x14ac:dyDescent="0.25">
      <c r="I111" s="7"/>
    </row>
    <row r="112" spans="1:10" x14ac:dyDescent="0.25">
      <c r="I112" s="7"/>
    </row>
    <row r="113" spans="9:9" x14ac:dyDescent="0.25">
      <c r="I113" s="7"/>
    </row>
    <row r="114" spans="9:9" x14ac:dyDescent="0.25">
      <c r="I114" s="7"/>
    </row>
    <row r="115" spans="9:9" x14ac:dyDescent="0.25">
      <c r="I115" s="7"/>
    </row>
    <row r="116" spans="9:9" x14ac:dyDescent="0.25">
      <c r="I116" s="7"/>
    </row>
    <row r="117" spans="9:9" x14ac:dyDescent="0.25">
      <c r="I117" s="7"/>
    </row>
    <row r="118" spans="9:9" x14ac:dyDescent="0.25">
      <c r="I118" s="7"/>
    </row>
    <row r="119" spans="9:9" x14ac:dyDescent="0.25">
      <c r="I119" s="7"/>
    </row>
    <row r="120" spans="9:9" x14ac:dyDescent="0.25">
      <c r="I120" s="7"/>
    </row>
    <row r="121" spans="9:9" x14ac:dyDescent="0.25">
      <c r="I121" s="7"/>
    </row>
    <row r="122" spans="9:9" x14ac:dyDescent="0.25">
      <c r="I122" s="7"/>
    </row>
    <row r="123" spans="9:9" x14ac:dyDescent="0.25">
      <c r="I123" s="7"/>
    </row>
    <row r="124" spans="9:9" x14ac:dyDescent="0.25">
      <c r="I124" s="7"/>
    </row>
    <row r="125" spans="9:9" x14ac:dyDescent="0.25">
      <c r="I125" s="7"/>
    </row>
    <row r="126" spans="9:9" x14ac:dyDescent="0.25">
      <c r="I126" s="7"/>
    </row>
    <row r="127" spans="9:9" x14ac:dyDescent="0.25">
      <c r="I127" s="7"/>
    </row>
    <row r="128" spans="9:9" x14ac:dyDescent="0.25">
      <c r="I128" s="7"/>
    </row>
    <row r="129" spans="9:9" x14ac:dyDescent="0.25">
      <c r="I129" s="7"/>
    </row>
    <row r="130" spans="9:9" x14ac:dyDescent="0.25">
      <c r="I130" s="7"/>
    </row>
    <row r="131" spans="9:9" x14ac:dyDescent="0.25">
      <c r="I131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8"/>
  <sheetViews>
    <sheetView zoomScaleNormal="100" workbookViewId="0">
      <selection activeCell="K4" sqref="K4"/>
    </sheetView>
  </sheetViews>
  <sheetFormatPr defaultRowHeight="15" x14ac:dyDescent="0.25"/>
  <cols>
    <col min="1" max="1" width="9" bestFit="1" customWidth="1"/>
    <col min="2" max="2" width="19.7109375" bestFit="1" customWidth="1"/>
    <col min="3" max="3" width="3.5703125" bestFit="1" customWidth="1"/>
    <col min="4" max="4" width="11" bestFit="1" customWidth="1"/>
    <col min="5" max="5" width="9.42578125" bestFit="1" customWidth="1"/>
    <col min="6" max="6" width="8.7109375" bestFit="1" customWidth="1"/>
    <col min="7" max="7" width="10.7109375" bestFit="1" customWidth="1"/>
    <col min="8" max="8" width="24.7109375" bestFit="1" customWidth="1"/>
    <col min="9" max="9" width="14.5703125" bestFit="1" customWidth="1"/>
    <col min="10" max="10" width="17.28515625" bestFit="1" customWidth="1"/>
  </cols>
  <sheetData>
    <row r="1" spans="1:11" x14ac:dyDescent="0.25">
      <c r="A1" s="1" t="s">
        <v>0</v>
      </c>
      <c r="B1" s="1" t="s">
        <v>1</v>
      </c>
      <c r="C1" s="2" t="s">
        <v>2</v>
      </c>
      <c r="D1" s="2" t="s">
        <v>27</v>
      </c>
      <c r="E1" s="1" t="s">
        <v>3</v>
      </c>
      <c r="F1" s="1" t="s">
        <v>4</v>
      </c>
      <c r="G1" s="1" t="s">
        <v>50</v>
      </c>
      <c r="H1" s="1" t="s">
        <v>67</v>
      </c>
    </row>
    <row r="2" spans="1:11" x14ac:dyDescent="0.25">
      <c r="A2" s="3" t="s">
        <v>9</v>
      </c>
      <c r="B2" s="4" t="s">
        <v>55</v>
      </c>
      <c r="C2" s="3" t="s">
        <v>6</v>
      </c>
      <c r="D2" s="1" t="s">
        <v>28</v>
      </c>
      <c r="E2" s="3">
        <v>21</v>
      </c>
      <c r="F2" s="3" t="s">
        <v>10</v>
      </c>
      <c r="G2" s="3">
        <v>1.0887350447145892</v>
      </c>
      <c r="H2" s="3"/>
      <c r="I2" s="8" t="s">
        <v>4</v>
      </c>
      <c r="J2" s="8" t="s">
        <v>52</v>
      </c>
      <c r="K2" s="3" t="s">
        <v>53</v>
      </c>
    </row>
    <row r="3" spans="1:11" x14ac:dyDescent="0.25">
      <c r="A3" s="3" t="s">
        <v>11</v>
      </c>
      <c r="B3" s="4" t="s">
        <v>55</v>
      </c>
      <c r="C3" s="3" t="s">
        <v>6</v>
      </c>
      <c r="D3" s="1" t="s">
        <v>29</v>
      </c>
      <c r="E3" s="3">
        <v>21</v>
      </c>
      <c r="F3" s="3" t="s">
        <v>10</v>
      </c>
      <c r="G3" s="3">
        <v>0.94559016793031148</v>
      </c>
      <c r="H3" s="3"/>
      <c r="I3" s="8" t="s">
        <v>10</v>
      </c>
      <c r="J3" s="9">
        <f>AVERAGEIF($F2:$F$18,"WT",$G$2:$G$18)</f>
        <v>1.0044292881369645</v>
      </c>
      <c r="K3" s="3">
        <f t="array" ref="K3">STDEV(IF($F$2:$F$18="WT",$G$2:$G$18,"NA"))/SQRT(6)</f>
        <v>4.2933667771943615E-2</v>
      </c>
    </row>
    <row r="4" spans="1:11" x14ac:dyDescent="0.25">
      <c r="A4" s="3" t="s">
        <v>12</v>
      </c>
      <c r="B4" s="4" t="s">
        <v>55</v>
      </c>
      <c r="C4" s="3" t="s">
        <v>6</v>
      </c>
      <c r="D4" s="1" t="s">
        <v>30</v>
      </c>
      <c r="E4" s="3">
        <v>21</v>
      </c>
      <c r="F4" s="3" t="s">
        <v>10</v>
      </c>
      <c r="G4" s="3">
        <v>1.1716114683922274</v>
      </c>
      <c r="H4" s="3"/>
      <c r="I4" s="8" t="s">
        <v>90</v>
      </c>
      <c r="J4" s="9">
        <f>AVERAGE(G8:G13)</f>
        <v>0.78595678480227094</v>
      </c>
      <c r="K4" s="3">
        <f>STDEV(G8:G13)/SQRT(5)</f>
        <v>1.6190931429947753E-2</v>
      </c>
    </row>
    <row r="5" spans="1:11" x14ac:dyDescent="0.25">
      <c r="A5" s="3" t="s">
        <v>13</v>
      </c>
      <c r="B5" s="4" t="s">
        <v>55</v>
      </c>
      <c r="C5" s="3" t="s">
        <v>8</v>
      </c>
      <c r="D5" s="1" t="s">
        <v>31</v>
      </c>
      <c r="E5" s="3">
        <v>21</v>
      </c>
      <c r="F5" s="3" t="s">
        <v>10</v>
      </c>
      <c r="G5" s="3">
        <v>0.89189624674962731</v>
      </c>
      <c r="H5" s="3"/>
      <c r="I5" s="8" t="s">
        <v>54</v>
      </c>
      <c r="J5" s="9">
        <f>AVERAGE(G14:G16,G18)</f>
        <v>1.0932352524205022</v>
      </c>
      <c r="K5" s="3">
        <f>STDEV(G14:G16,G18)/SQRT(4)</f>
        <v>6.0569860336674566E-2</v>
      </c>
    </row>
    <row r="6" spans="1:11" x14ac:dyDescent="0.25">
      <c r="A6" s="3" t="s">
        <v>14</v>
      </c>
      <c r="B6" s="4" t="s">
        <v>55</v>
      </c>
      <c r="C6" s="3" t="s">
        <v>8</v>
      </c>
      <c r="D6" s="1" t="s">
        <v>32</v>
      </c>
      <c r="E6" s="3">
        <v>21</v>
      </c>
      <c r="F6" s="3" t="s">
        <v>10</v>
      </c>
      <c r="G6" s="3">
        <v>0.94307989197680742</v>
      </c>
      <c r="H6" s="3"/>
    </row>
    <row r="7" spans="1:11" x14ac:dyDescent="0.25">
      <c r="A7" s="3" t="s">
        <v>15</v>
      </c>
      <c r="B7" s="4" t="s">
        <v>55</v>
      </c>
      <c r="C7" s="3" t="s">
        <v>8</v>
      </c>
      <c r="D7" s="1" t="s">
        <v>33</v>
      </c>
      <c r="E7" s="3">
        <v>21</v>
      </c>
      <c r="F7" s="3" t="s">
        <v>10</v>
      </c>
      <c r="G7" s="3">
        <v>0.98566290905822462</v>
      </c>
      <c r="H7" s="3"/>
    </row>
    <row r="8" spans="1:11" ht="15.75" x14ac:dyDescent="0.25">
      <c r="A8" s="3" t="s">
        <v>16</v>
      </c>
      <c r="B8" s="4" t="s">
        <v>90</v>
      </c>
      <c r="C8" s="5" t="s">
        <v>6</v>
      </c>
      <c r="D8" s="2" t="s">
        <v>34</v>
      </c>
      <c r="E8" s="3">
        <v>21</v>
      </c>
      <c r="F8" s="6" t="s">
        <v>7</v>
      </c>
      <c r="G8" s="3">
        <v>0.7898958251280489</v>
      </c>
      <c r="H8" s="3"/>
    </row>
    <row r="9" spans="1:11" ht="15.75" x14ac:dyDescent="0.25">
      <c r="A9" s="3" t="s">
        <v>17</v>
      </c>
      <c r="B9" s="4" t="s">
        <v>90</v>
      </c>
      <c r="C9" s="5" t="s">
        <v>6</v>
      </c>
      <c r="D9" s="2" t="s">
        <v>35</v>
      </c>
      <c r="E9" s="3">
        <v>21</v>
      </c>
      <c r="F9" s="6" t="s">
        <v>7</v>
      </c>
      <c r="G9" s="3">
        <v>0.71856142767991571</v>
      </c>
      <c r="H9" s="3"/>
    </row>
    <row r="10" spans="1:11" ht="15.75" x14ac:dyDescent="0.25">
      <c r="A10" s="3" t="s">
        <v>18</v>
      </c>
      <c r="B10" s="4" t="s">
        <v>90</v>
      </c>
      <c r="C10" s="5" t="s">
        <v>6</v>
      </c>
      <c r="D10" s="2" t="s">
        <v>36</v>
      </c>
      <c r="E10" s="3">
        <v>22</v>
      </c>
      <c r="F10" s="6" t="s">
        <v>7</v>
      </c>
      <c r="G10">
        <v>0.79855217395324407</v>
      </c>
      <c r="H10" s="3"/>
    </row>
    <row r="11" spans="1:11" ht="15.75" x14ac:dyDescent="0.25">
      <c r="A11" s="3" t="s">
        <v>19</v>
      </c>
      <c r="B11" s="4" t="s">
        <v>90</v>
      </c>
      <c r="C11" s="5" t="s">
        <v>8</v>
      </c>
      <c r="D11" s="2" t="s">
        <v>37</v>
      </c>
      <c r="E11" s="3">
        <v>21</v>
      </c>
      <c r="F11" s="6" t="s">
        <v>7</v>
      </c>
      <c r="G11" s="3">
        <v>0.82402857924149642</v>
      </c>
      <c r="H11" s="3"/>
    </row>
    <row r="12" spans="1:11" ht="15.75" x14ac:dyDescent="0.25">
      <c r="A12" s="3" t="s">
        <v>20</v>
      </c>
      <c r="B12" s="4" t="s">
        <v>90</v>
      </c>
      <c r="C12" s="5" t="s">
        <v>8</v>
      </c>
      <c r="D12" s="2" t="s">
        <v>38</v>
      </c>
      <c r="E12" s="3">
        <v>22</v>
      </c>
      <c r="F12" s="6" t="s">
        <v>7</v>
      </c>
      <c r="G12" s="3">
        <v>0.80472309320121205</v>
      </c>
      <c r="H12" s="3"/>
    </row>
    <row r="13" spans="1:11" ht="15.75" x14ac:dyDescent="0.25">
      <c r="A13" s="3" t="s">
        <v>21</v>
      </c>
      <c r="B13" s="4" t="s">
        <v>90</v>
      </c>
      <c r="C13" s="5" t="s">
        <v>8</v>
      </c>
      <c r="D13" s="2" t="s">
        <v>39</v>
      </c>
      <c r="E13" s="3">
        <v>20</v>
      </c>
      <c r="F13" s="6" t="s">
        <v>7</v>
      </c>
      <c r="G13" s="3">
        <v>0.77997960960970825</v>
      </c>
      <c r="H13" s="3"/>
    </row>
    <row r="14" spans="1:11" ht="15.75" x14ac:dyDescent="0.25">
      <c r="A14" s="3" t="s">
        <v>24</v>
      </c>
      <c r="B14" s="4" t="s">
        <v>55</v>
      </c>
      <c r="C14" s="3" t="s">
        <v>6</v>
      </c>
      <c r="D14" s="1" t="s">
        <v>40</v>
      </c>
      <c r="E14" s="3">
        <v>21</v>
      </c>
      <c r="F14" s="6" t="s">
        <v>7</v>
      </c>
      <c r="G14" s="3">
        <v>1.172860592557204</v>
      </c>
      <c r="H14" s="3"/>
    </row>
    <row r="15" spans="1:11" ht="15.75" x14ac:dyDescent="0.25">
      <c r="A15" s="3" t="s">
        <v>25</v>
      </c>
      <c r="B15" s="4" t="s">
        <v>55</v>
      </c>
      <c r="C15" s="3" t="s">
        <v>6</v>
      </c>
      <c r="D15" s="1" t="s">
        <v>41</v>
      </c>
      <c r="E15" s="3">
        <v>21</v>
      </c>
      <c r="F15" s="6" t="s">
        <v>7</v>
      </c>
      <c r="G15" s="3">
        <v>0.97096410081551132</v>
      </c>
      <c r="H15" s="3"/>
    </row>
    <row r="16" spans="1:11" ht="15.75" x14ac:dyDescent="0.25">
      <c r="A16" s="3" t="s">
        <v>26</v>
      </c>
      <c r="B16" s="4" t="s">
        <v>55</v>
      </c>
      <c r="C16" s="3" t="s">
        <v>6</v>
      </c>
      <c r="D16" s="1" t="s">
        <v>42</v>
      </c>
      <c r="E16" s="3">
        <v>21</v>
      </c>
      <c r="F16" s="6" t="s">
        <v>7</v>
      </c>
      <c r="G16" s="3">
        <v>1.0100958830265876</v>
      </c>
      <c r="H16" s="3"/>
    </row>
    <row r="17" spans="1:8" ht="15.75" x14ac:dyDescent="0.25">
      <c r="A17" s="13" t="s">
        <v>22</v>
      </c>
      <c r="B17" s="14" t="s">
        <v>55</v>
      </c>
      <c r="C17" s="13" t="s">
        <v>8</v>
      </c>
      <c r="D17" s="16" t="s">
        <v>43</v>
      </c>
      <c r="E17" s="13">
        <v>21</v>
      </c>
      <c r="F17" s="15" t="s">
        <v>7</v>
      </c>
      <c r="G17" s="13">
        <v>2.409885068624587</v>
      </c>
      <c r="H17" s="13" t="s">
        <v>68</v>
      </c>
    </row>
    <row r="18" spans="1:8" ht="15.75" x14ac:dyDescent="0.25">
      <c r="A18" s="3" t="s">
        <v>23</v>
      </c>
      <c r="B18" s="4" t="s">
        <v>55</v>
      </c>
      <c r="C18" s="3" t="s">
        <v>8</v>
      </c>
      <c r="D18" s="1" t="s">
        <v>44</v>
      </c>
      <c r="E18" s="3">
        <v>21</v>
      </c>
      <c r="F18" s="6" t="s">
        <v>7</v>
      </c>
      <c r="G18" s="3">
        <v>1.2190204332827057</v>
      </c>
      <c r="H18" s="3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3"/>
  <sheetViews>
    <sheetView workbookViewId="0">
      <selection activeCell="E16" sqref="E16"/>
    </sheetView>
  </sheetViews>
  <sheetFormatPr defaultRowHeight="15" x14ac:dyDescent="0.25"/>
  <cols>
    <col min="1" max="1" width="24.5703125" bestFit="1" customWidth="1"/>
    <col min="3" max="3" width="16.5703125" bestFit="1" customWidth="1"/>
    <col min="5" max="5" width="35.42578125" bestFit="1" customWidth="1"/>
  </cols>
  <sheetData>
    <row r="1" spans="1:5" x14ac:dyDescent="0.25">
      <c r="A1" s="1" t="s">
        <v>69</v>
      </c>
      <c r="C1" s="1" t="s">
        <v>70</v>
      </c>
      <c r="D1" s="3">
        <f>MAX(A2:A6)</f>
        <v>2.409885068624587</v>
      </c>
      <c r="E1" s="20" t="s">
        <v>81</v>
      </c>
    </row>
    <row r="2" spans="1:5" x14ac:dyDescent="0.25">
      <c r="A2" s="3">
        <v>1.172860592557204</v>
      </c>
      <c r="C2" s="1" t="s">
        <v>71</v>
      </c>
      <c r="D2" s="3">
        <f>AVERAGE(A2:A6)</f>
        <v>1.356565215661319</v>
      </c>
      <c r="E2" s="21" t="s">
        <v>82</v>
      </c>
    </row>
    <row r="3" spans="1:5" x14ac:dyDescent="0.25">
      <c r="A3" s="3">
        <v>0.97096410081551132</v>
      </c>
      <c r="C3" s="1" t="s">
        <v>72</v>
      </c>
      <c r="D3" s="3">
        <f>STDEV(A2:A6)</f>
        <v>0.59809654040603077</v>
      </c>
      <c r="E3" s="21" t="s">
        <v>83</v>
      </c>
    </row>
    <row r="4" spans="1:5" x14ac:dyDescent="0.25">
      <c r="A4" s="3">
        <v>1.0100958830265876</v>
      </c>
      <c r="C4" s="1" t="s">
        <v>73</v>
      </c>
      <c r="D4" s="3">
        <f>(D1-D2)/D3</f>
        <v>1.7611201232633764</v>
      </c>
      <c r="E4" s="21" t="s">
        <v>84</v>
      </c>
    </row>
    <row r="5" spans="1:5" x14ac:dyDescent="0.25">
      <c r="A5" s="3">
        <v>2.409885068624587</v>
      </c>
    </row>
    <row r="6" spans="1:5" x14ac:dyDescent="0.25">
      <c r="A6" s="3">
        <v>1.2190204332827057</v>
      </c>
      <c r="C6" s="1" t="s">
        <v>74</v>
      </c>
      <c r="D6" s="3">
        <v>0.05</v>
      </c>
      <c r="E6" s="3"/>
    </row>
    <row r="7" spans="1:5" x14ac:dyDescent="0.25">
      <c r="C7" s="1" t="s">
        <v>75</v>
      </c>
      <c r="D7" s="3">
        <v>5</v>
      </c>
      <c r="E7" s="3"/>
    </row>
    <row r="8" spans="1:5" x14ac:dyDescent="0.25">
      <c r="C8" s="1" t="s">
        <v>76</v>
      </c>
      <c r="D8" s="3">
        <f>D6/D7</f>
        <v>0.01</v>
      </c>
      <c r="E8" s="21" t="s">
        <v>85</v>
      </c>
    </row>
    <row r="9" spans="1:5" x14ac:dyDescent="0.25">
      <c r="C9" s="1" t="s">
        <v>77</v>
      </c>
      <c r="D9" s="3">
        <f>D7-2</f>
        <v>3</v>
      </c>
      <c r="E9" s="21" t="s">
        <v>86</v>
      </c>
    </row>
    <row r="10" spans="1:5" x14ac:dyDescent="0.25">
      <c r="C10" s="1" t="s">
        <v>78</v>
      </c>
      <c r="D10" s="3">
        <f>_xlfn.T.INV(1-D8,D9)</f>
        <v>4.5407028585681317</v>
      </c>
      <c r="E10" s="21" t="s">
        <v>87</v>
      </c>
    </row>
    <row r="11" spans="1:5" x14ac:dyDescent="0.25">
      <c r="C11" s="1" t="s">
        <v>79</v>
      </c>
      <c r="D11" s="3">
        <f>(D7-1)*(D10/SQRT(D7*(D9*(D9+D10^2))))</f>
        <v>0.96497496619678991</v>
      </c>
      <c r="E11" s="21" t="s">
        <v>88</v>
      </c>
    </row>
    <row r="13" spans="1:5" ht="75" x14ac:dyDescent="0.25">
      <c r="C13" s="19" t="s">
        <v>80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workbookViewId="0">
      <selection activeCell="A13" sqref="A13"/>
    </sheetView>
  </sheetViews>
  <sheetFormatPr defaultRowHeight="15" x14ac:dyDescent="0.25"/>
  <cols>
    <col min="1" max="1" width="23" bestFit="1" customWidth="1"/>
    <col min="3" max="3" width="21.85546875" bestFit="1" customWidth="1"/>
    <col min="4" max="4" width="11.7109375" bestFit="1" customWidth="1"/>
  </cols>
  <sheetData>
    <row r="1" spans="1:4" x14ac:dyDescent="0.25">
      <c r="A1" s="1" t="s">
        <v>89</v>
      </c>
      <c r="C1" s="3" t="s">
        <v>59</v>
      </c>
      <c r="D1" s="3">
        <v>6</v>
      </c>
    </row>
    <row r="2" spans="1:4" x14ac:dyDescent="0.25">
      <c r="A2" s="3">
        <v>0.7898958251280489</v>
      </c>
      <c r="C2" s="3" t="s">
        <v>60</v>
      </c>
      <c r="D2" s="3">
        <f>AVERAGE(A2:A7)</f>
        <v>0.78595678480227094</v>
      </c>
    </row>
    <row r="3" spans="1:4" x14ac:dyDescent="0.25">
      <c r="A3" s="3">
        <v>0.71856142767991571</v>
      </c>
      <c r="C3" s="3" t="s">
        <v>61</v>
      </c>
      <c r="D3" s="3">
        <f>STDEV(A2:A7)</f>
        <v>3.6204023296401051E-2</v>
      </c>
    </row>
    <row r="4" spans="1:4" x14ac:dyDescent="0.25">
      <c r="A4">
        <v>0.79855217395324407</v>
      </c>
      <c r="C4" s="3" t="s">
        <v>62</v>
      </c>
      <c r="D4" s="3">
        <f>D3/D1</f>
        <v>6.0340038827335083E-3</v>
      </c>
    </row>
    <row r="5" spans="1:4" x14ac:dyDescent="0.25">
      <c r="A5" s="3">
        <v>0.82402857924149642</v>
      </c>
      <c r="C5" s="3" t="s">
        <v>66</v>
      </c>
      <c r="D5" s="3">
        <f>D1-1</f>
        <v>5</v>
      </c>
    </row>
    <row r="6" spans="1:4" x14ac:dyDescent="0.25">
      <c r="A6" s="3">
        <v>0.80472309320121205</v>
      </c>
      <c r="C6" s="3" t="s">
        <v>63</v>
      </c>
      <c r="D6" s="3">
        <v>0.5</v>
      </c>
    </row>
    <row r="7" spans="1:4" x14ac:dyDescent="0.25">
      <c r="A7" s="3">
        <v>0.77997960960970825</v>
      </c>
      <c r="C7" s="3" t="s">
        <v>64</v>
      </c>
      <c r="D7" s="3">
        <f>(D2-D6)/(D4)</f>
        <v>47.39088511701911</v>
      </c>
    </row>
    <row r="8" spans="1:4" x14ac:dyDescent="0.25">
      <c r="C8" s="3" t="s">
        <v>65</v>
      </c>
      <c r="D8" s="3">
        <f>_xlfn.T.DIST.2T(ABS(D7),D5)</f>
        <v>7.9024206404204162E-8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116"/>
  <sheetViews>
    <sheetView workbookViewId="0">
      <selection activeCell="D17" sqref="D17"/>
    </sheetView>
  </sheetViews>
  <sheetFormatPr defaultRowHeight="15" x14ac:dyDescent="0.25"/>
  <cols>
    <col min="1" max="1" width="13.42578125" bestFit="1" customWidth="1"/>
    <col min="2" max="2" width="4.140625" bestFit="1" customWidth="1"/>
    <col min="3" max="3" width="8" bestFit="1" customWidth="1"/>
    <col min="5" max="5" width="13.42578125" bestFit="1" customWidth="1"/>
    <col min="6" max="6" width="4.140625" bestFit="1" customWidth="1"/>
    <col min="7" max="7" width="7.5703125" bestFit="1" customWidth="1"/>
    <col min="8" max="8" width="15.42578125" bestFit="1" customWidth="1"/>
    <col min="9" max="9" width="12.5703125" bestFit="1" customWidth="1"/>
    <col min="10" max="10" width="11.85546875" bestFit="1" customWidth="1"/>
  </cols>
  <sheetData>
    <row r="1" spans="1:10" x14ac:dyDescent="0.25">
      <c r="A1" s="3" t="s">
        <v>57</v>
      </c>
      <c r="B1" s="3" t="s">
        <v>2</v>
      </c>
      <c r="C1" s="3" t="s">
        <v>45</v>
      </c>
      <c r="E1" s="3" t="s">
        <v>57</v>
      </c>
      <c r="F1" s="3" t="s">
        <v>2</v>
      </c>
      <c r="G1" s="3" t="s">
        <v>47</v>
      </c>
      <c r="H1" s="3" t="s">
        <v>56</v>
      </c>
      <c r="I1" s="3" t="s">
        <v>48</v>
      </c>
      <c r="J1" s="3" t="s">
        <v>50</v>
      </c>
    </row>
    <row r="2" spans="1:10" x14ac:dyDescent="0.25">
      <c r="A2" s="3" t="s">
        <v>28</v>
      </c>
      <c r="B2" s="3" t="s">
        <v>6</v>
      </c>
      <c r="C2" s="10">
        <v>4.1005687713623047</v>
      </c>
      <c r="E2" s="3" t="s">
        <v>28</v>
      </c>
      <c r="F2" s="3" t="s">
        <v>6</v>
      </c>
      <c r="G2" s="10">
        <f t="shared" ref="G2:G9" si="0">AVERAGEIF($A$2:$A$52,E2,$C$2:$C$52)</f>
        <v>4.0528354644775391</v>
      </c>
      <c r="H2" s="10" cm="1">
        <f t="array" ref="H2">STDEV(IF($A$2:$A$52=$E2,$C$2:$C$52))</f>
        <v>4.1573204668210843E-2</v>
      </c>
      <c r="I2" s="10">
        <f>(G2-AVERAGE($G$2:$G$7))</f>
        <v>-0.12265290154351138</v>
      </c>
      <c r="J2" s="11">
        <f>2^-(I2)</f>
        <v>1.0887350447145892</v>
      </c>
    </row>
    <row r="3" spans="1:10" x14ac:dyDescent="0.25">
      <c r="A3" s="3" t="s">
        <v>28</v>
      </c>
      <c r="B3" s="3" t="s">
        <v>6</v>
      </c>
      <c r="C3" s="10">
        <v>4.0245552062988281</v>
      </c>
      <c r="E3" s="3" t="s">
        <v>29</v>
      </c>
      <c r="F3" s="3" t="s">
        <v>6</v>
      </c>
      <c r="G3" s="10">
        <f t="shared" si="0"/>
        <v>4.2562014261881513</v>
      </c>
      <c r="H3" s="10" cm="1">
        <f t="array" ref="H3">STDEV(IF($A$2:$A$52=$E3,$C$2:$C$52))</f>
        <v>2.5754138356494E-2</v>
      </c>
      <c r="I3" s="10">
        <f t="shared" ref="I3:I9" si="1">(G3-AVERAGE($G$2:$G$7))</f>
        <v>8.0713060167100892E-2</v>
      </c>
      <c r="J3" s="11">
        <f t="shared" ref="J3:J9" si="2">2^-(I3)</f>
        <v>0.94559016793031148</v>
      </c>
    </row>
    <row r="4" spans="1:10" x14ac:dyDescent="0.25">
      <c r="A4" s="3" t="s">
        <v>28</v>
      </c>
      <c r="B4" s="3" t="s">
        <v>6</v>
      </c>
      <c r="C4" s="10">
        <v>4.0333824157714844</v>
      </c>
      <c r="E4" s="3" t="s">
        <v>30</v>
      </c>
      <c r="F4" s="3" t="s">
        <v>6</v>
      </c>
      <c r="G4" s="10">
        <f t="shared" si="0"/>
        <v>3.9469941457112632</v>
      </c>
      <c r="H4" s="10" cm="1">
        <f t="array" ref="H4">STDEV(IF($A$2:$A$52=$E4,$C$2:$C$52))</f>
        <v>9.8149262761216913E-3</v>
      </c>
      <c r="I4" s="10">
        <f t="shared" si="1"/>
        <v>-0.22849422030978728</v>
      </c>
      <c r="J4" s="11">
        <f t="shared" si="2"/>
        <v>1.1716114683922274</v>
      </c>
    </row>
    <row r="5" spans="1:10" x14ac:dyDescent="0.25">
      <c r="A5" s="3" t="s">
        <v>29</v>
      </c>
      <c r="B5" s="3" t="s">
        <v>6</v>
      </c>
      <c r="C5" s="10">
        <v>4.2716579437255859</v>
      </c>
      <c r="E5" s="3" t="s">
        <v>31</v>
      </c>
      <c r="F5" s="3" t="s">
        <v>8</v>
      </c>
      <c r="G5" s="10">
        <f t="shared" si="0"/>
        <v>4.3405405680338545</v>
      </c>
      <c r="H5" s="10" cm="1">
        <f t="array" ref="H5">STDEV(IF($A$2:$A$52=$E5,$C$2:$C$52))</f>
        <v>5.8879619184369715E-2</v>
      </c>
      <c r="I5" s="10">
        <f t="shared" si="1"/>
        <v>0.16505220201280402</v>
      </c>
      <c r="J5" s="11">
        <f t="shared" si="2"/>
        <v>0.89189624674962731</v>
      </c>
    </row>
    <row r="6" spans="1:10" x14ac:dyDescent="0.25">
      <c r="A6" s="3" t="s">
        <v>29</v>
      </c>
      <c r="B6" s="3" t="s">
        <v>6</v>
      </c>
      <c r="C6" s="10">
        <v>4.226470947265625</v>
      </c>
      <c r="E6" s="3" t="s">
        <v>32</v>
      </c>
      <c r="F6" s="3" t="s">
        <v>8</v>
      </c>
      <c r="G6" s="10">
        <f t="shared" si="0"/>
        <v>4.2600364685058594</v>
      </c>
      <c r="H6" s="10" cm="1">
        <f t="array" ref="H6">STDEV(IF($A$2:$A$52=$E6,$C$2:$C$52))</f>
        <v>1.34823529540413E-2</v>
      </c>
      <c r="I6" s="10">
        <f t="shared" si="1"/>
        <v>8.4548102484808929E-2</v>
      </c>
      <c r="J6" s="11">
        <f t="shared" si="2"/>
        <v>0.94307989197680742</v>
      </c>
    </row>
    <row r="7" spans="1:10" x14ac:dyDescent="0.25">
      <c r="A7" s="3" t="s">
        <v>29</v>
      </c>
      <c r="B7" s="3" t="s">
        <v>6</v>
      </c>
      <c r="C7" s="10">
        <v>4.2704753875732422</v>
      </c>
      <c r="E7" s="3" t="s">
        <v>33</v>
      </c>
      <c r="F7" s="3" t="s">
        <v>8</v>
      </c>
      <c r="G7" s="10">
        <f t="shared" si="0"/>
        <v>4.1963221232096357</v>
      </c>
      <c r="H7" s="10" cm="1">
        <f t="array" ref="H7">STDEV(IF($A$2:$A$52=$E7,$C$2:$C$52))</f>
        <v>1.8879604013064256E-2</v>
      </c>
      <c r="I7" s="10">
        <f t="shared" si="1"/>
        <v>2.0833757188585267E-2</v>
      </c>
      <c r="J7" s="11">
        <f t="shared" si="2"/>
        <v>0.98566290905822462</v>
      </c>
    </row>
    <row r="8" spans="1:10" x14ac:dyDescent="0.25">
      <c r="A8" s="3" t="s">
        <v>30</v>
      </c>
      <c r="B8" s="3" t="s">
        <v>6</v>
      </c>
      <c r="C8" s="10">
        <v>3.9359607696533203</v>
      </c>
      <c r="E8" s="3" t="s">
        <v>34</v>
      </c>
      <c r="F8" s="3" t="s">
        <v>6</v>
      </c>
      <c r="G8" s="10">
        <f t="shared" si="0"/>
        <v>4.5157540639241533</v>
      </c>
      <c r="H8" s="10" cm="1">
        <f t="array" ref="H8">STDEV(IF($A$2:$A$52=$E8,$C$2:$C$52))</f>
        <v>1.3983696854257356E-2</v>
      </c>
      <c r="I8" s="10">
        <f t="shared" si="1"/>
        <v>0.3402656979031029</v>
      </c>
      <c r="J8" s="11">
        <f t="shared" si="2"/>
        <v>0.7898958251280489</v>
      </c>
    </row>
    <row r="9" spans="1:10" x14ac:dyDescent="0.25">
      <c r="A9" s="3" t="s">
        <v>30</v>
      </c>
      <c r="B9" s="3" t="s">
        <v>6</v>
      </c>
      <c r="C9" s="10">
        <v>3.9502677917480469</v>
      </c>
      <c r="E9" s="3" t="s">
        <v>35</v>
      </c>
      <c r="F9" s="3" t="s">
        <v>6</v>
      </c>
      <c r="G9" s="10">
        <f t="shared" si="0"/>
        <v>4.6523049672444658</v>
      </c>
      <c r="H9" s="10" cm="1">
        <f t="array" ref="H9">STDEV(IF($A$2:$A$52=$E9,$C$2:$C$52))</f>
        <v>9.879067516572422E-3</v>
      </c>
      <c r="I9" s="10">
        <f t="shared" si="1"/>
        <v>0.4768166012234154</v>
      </c>
      <c r="J9" s="11">
        <f t="shared" si="2"/>
        <v>0.71856142767991571</v>
      </c>
    </row>
    <row r="10" spans="1:10" x14ac:dyDescent="0.25">
      <c r="A10" s="3" t="s">
        <v>30</v>
      </c>
      <c r="B10" s="3" t="s">
        <v>6</v>
      </c>
      <c r="C10" s="10">
        <v>3.9547538757324219</v>
      </c>
      <c r="E10" s="3" t="s">
        <v>36</v>
      </c>
      <c r="F10" s="3" t="s">
        <v>6</v>
      </c>
      <c r="G10" s="10">
        <f t="shared" ref="G10:G18" si="3">AVERAGEIF($A$2:$A$52,E10,$C$2:$C$52)</f>
        <v>4.5000297907238638</v>
      </c>
      <c r="H10" s="10" cm="1">
        <f t="array" ref="H10">STDEV(IF($A$2:$A$52=$E10,$C$2:$C$52))</f>
        <v>1.6663241091938102E-2</v>
      </c>
      <c r="I10" s="10">
        <f t="shared" ref="I10" si="4">(G10-AVERAGE($G$2:$G$7))</f>
        <v>0.32454142470281333</v>
      </c>
      <c r="J10" s="11">
        <f t="shared" ref="J10" si="5">2^-(I10)</f>
        <v>0.79855217395324407</v>
      </c>
    </row>
    <row r="11" spans="1:10" x14ac:dyDescent="0.25">
      <c r="A11" s="3" t="s">
        <v>31</v>
      </c>
      <c r="B11" s="3" t="s">
        <v>8</v>
      </c>
      <c r="C11" s="10">
        <v>4.3945331573486328</v>
      </c>
      <c r="E11" s="3" t="s">
        <v>37</v>
      </c>
      <c r="F11" s="3" t="s">
        <v>8</v>
      </c>
      <c r="G11" s="10">
        <f t="shared" si="3"/>
        <v>4.454722086588542</v>
      </c>
      <c r="H11" s="10" cm="1">
        <f t="array" ref="H11">STDEV(IF($A$2:$A$52=$E11,$C$2:$C$52))</f>
        <v>5.162999901459963E-2</v>
      </c>
      <c r="I11" s="10">
        <f t="shared" ref="I11:I18" si="6">(G11-AVERAGE($G$2:$G$7))</f>
        <v>0.27923372056749152</v>
      </c>
      <c r="J11" s="11">
        <f t="shared" ref="J11:J18" si="7">2^-(I11)</f>
        <v>0.82402857924149642</v>
      </c>
    </row>
    <row r="12" spans="1:10" x14ac:dyDescent="0.25">
      <c r="A12" s="3" t="s">
        <v>31</v>
      </c>
      <c r="B12" s="3" t="s">
        <v>8</v>
      </c>
      <c r="C12" s="10">
        <v>4.2777614593505859</v>
      </c>
      <c r="E12" s="3" t="s">
        <v>38</v>
      </c>
      <c r="F12" s="3" t="s">
        <v>8</v>
      </c>
      <c r="G12" s="10">
        <f t="shared" si="3"/>
        <v>4.4889240264892578</v>
      </c>
      <c r="H12" s="10" cm="1">
        <f t="array" ref="H12">STDEV(IF($A$2:$A$52=$E12,$C$2:$C$52))</f>
        <v>8.4594098604164232E-3</v>
      </c>
      <c r="I12" s="10">
        <f t="shared" si="6"/>
        <v>0.31343566046820737</v>
      </c>
      <c r="J12" s="11">
        <f t="shared" si="7"/>
        <v>0.80472309320121205</v>
      </c>
    </row>
    <row r="13" spans="1:10" x14ac:dyDescent="0.25">
      <c r="A13" s="3" t="s">
        <v>31</v>
      </c>
      <c r="B13" s="3" t="s">
        <v>8</v>
      </c>
      <c r="C13" s="10">
        <v>4.3493270874023438</v>
      </c>
      <c r="E13" s="3" t="s">
        <v>39</v>
      </c>
      <c r="F13" s="3" t="s">
        <v>8</v>
      </c>
      <c r="G13" s="10">
        <f t="shared" si="3"/>
        <v>4.5339800516764326</v>
      </c>
      <c r="H13" s="10" cm="1">
        <f t="array" ref="H13">STDEV(IF($A$2:$A$52=$E13,$C$2:$C$52))</f>
        <v>3.2525921462441848E-2</v>
      </c>
      <c r="I13" s="10">
        <f t="shared" si="6"/>
        <v>0.35849168565538214</v>
      </c>
      <c r="J13" s="11">
        <f t="shared" si="7"/>
        <v>0.77997960960970825</v>
      </c>
    </row>
    <row r="14" spans="1:10" x14ac:dyDescent="0.25">
      <c r="A14" s="3" t="s">
        <v>32</v>
      </c>
      <c r="B14" s="3" t="s">
        <v>8</v>
      </c>
      <c r="C14" s="10">
        <v>4.2574253082275391</v>
      </c>
      <c r="E14" s="3" t="s">
        <v>40</v>
      </c>
      <c r="F14" s="3" t="s">
        <v>6</v>
      </c>
      <c r="G14" s="10">
        <f t="shared" si="3"/>
        <v>3.9454568227132163</v>
      </c>
      <c r="H14" s="10" cm="1">
        <f t="array" ref="H14">STDEV(IF($A$2:$A$52=$E14,$C$2:$C$52))</f>
        <v>5.6343702770401309E-3</v>
      </c>
      <c r="I14" s="10">
        <f t="shared" si="6"/>
        <v>-0.23003154330783415</v>
      </c>
      <c r="J14" s="11">
        <f t="shared" si="7"/>
        <v>1.172860592557204</v>
      </c>
    </row>
    <row r="15" spans="1:10" x14ac:dyDescent="0.25">
      <c r="A15" s="3" t="s">
        <v>32</v>
      </c>
      <c r="B15" s="3" t="s">
        <v>8</v>
      </c>
      <c r="C15" s="10">
        <v>4.2480506896972656</v>
      </c>
      <c r="E15" s="3" t="s">
        <v>41</v>
      </c>
      <c r="F15" s="3" t="s">
        <v>6</v>
      </c>
      <c r="G15" s="10">
        <f t="shared" si="3"/>
        <v>4.2179985046386719</v>
      </c>
      <c r="H15" s="10" cm="1">
        <f t="array" ref="H15">STDEV(IF($A$2:$A$52=$E15,$C$2:$C$52))</f>
        <v>1.3390861760327144E-2</v>
      </c>
      <c r="I15" s="10">
        <f t="shared" si="6"/>
        <v>4.2510138617621429E-2</v>
      </c>
      <c r="J15" s="11">
        <f t="shared" si="7"/>
        <v>0.97096410081551132</v>
      </c>
    </row>
    <row r="16" spans="1:10" x14ac:dyDescent="0.25">
      <c r="A16" s="3" t="s">
        <v>32</v>
      </c>
      <c r="B16" s="3" t="s">
        <v>8</v>
      </c>
      <c r="C16" s="10">
        <v>4.2746334075927734</v>
      </c>
      <c r="E16" s="3" t="s">
        <v>42</v>
      </c>
      <c r="F16" s="3" t="s">
        <v>6</v>
      </c>
      <c r="G16" s="10">
        <f t="shared" si="3"/>
        <v>4.1609961191813154</v>
      </c>
      <c r="H16" s="10" cm="1">
        <f t="array" ref="H16">STDEV(IF($A$2:$A$52=$E16,$C$2:$C$52))</f>
        <v>8.2377661722208388E-3</v>
      </c>
      <c r="I16" s="10">
        <f t="shared" si="6"/>
        <v>-1.4492246839735046E-2</v>
      </c>
      <c r="J16" s="11">
        <f t="shared" si="7"/>
        <v>1.0100958830265876</v>
      </c>
    </row>
    <row r="17" spans="1:10" x14ac:dyDescent="0.25">
      <c r="A17" s="3" t="s">
        <v>33</v>
      </c>
      <c r="B17" s="3" t="s">
        <v>8</v>
      </c>
      <c r="C17" s="10">
        <v>4.18359375</v>
      </c>
      <c r="E17" s="13" t="s">
        <v>43</v>
      </c>
      <c r="F17" s="13" t="s">
        <v>8</v>
      </c>
      <c r="G17" s="17">
        <f t="shared" si="3"/>
        <v>2.9065240224202475</v>
      </c>
      <c r="H17" s="17" cm="1">
        <f t="array" ref="H17">STDEV(IF($A$2:$A$52=$E17,$C$2:$C$52))</f>
        <v>8.1209478298540916E-2</v>
      </c>
      <c r="I17" s="17">
        <f t="shared" si="6"/>
        <v>-1.2689643436008029</v>
      </c>
      <c r="J17" s="18">
        <f t="shared" si="7"/>
        <v>2.409885068624587</v>
      </c>
    </row>
    <row r="18" spans="1:10" x14ac:dyDescent="0.25">
      <c r="A18" s="3" t="s">
        <v>33</v>
      </c>
      <c r="B18" s="3" t="s">
        <v>8</v>
      </c>
      <c r="C18" s="10">
        <v>4.1873588562011719</v>
      </c>
      <c r="E18" s="3" t="s">
        <v>44</v>
      </c>
      <c r="F18" s="3" t="s">
        <v>8</v>
      </c>
      <c r="G18" s="10">
        <f t="shared" si="3"/>
        <v>3.8897660573323569</v>
      </c>
      <c r="H18" s="10" cm="1">
        <f t="array" ref="H18">STDEV(IF($A$2:$A$52=$E18,$C$2:$C$52))</f>
        <v>1.6861240498296848E-2</v>
      </c>
      <c r="I18" s="10">
        <f t="shared" si="6"/>
        <v>-0.28572230868869353</v>
      </c>
      <c r="J18" s="11">
        <f t="shared" si="7"/>
        <v>1.2190204332827057</v>
      </c>
    </row>
    <row r="19" spans="1:10" x14ac:dyDescent="0.25">
      <c r="A19" s="3" t="s">
        <v>33</v>
      </c>
      <c r="B19" s="3" t="s">
        <v>8</v>
      </c>
      <c r="C19" s="10">
        <v>4.2180137634277344</v>
      </c>
    </row>
    <row r="20" spans="1:10" x14ac:dyDescent="0.25">
      <c r="A20" s="3" t="s">
        <v>34</v>
      </c>
      <c r="B20" s="3" t="s">
        <v>8</v>
      </c>
      <c r="C20" s="10">
        <v>4.5314788818359375</v>
      </c>
    </row>
    <row r="21" spans="1:10" x14ac:dyDescent="0.25">
      <c r="A21" s="3" t="s">
        <v>34</v>
      </c>
      <c r="B21" s="3" t="s">
        <v>6</v>
      </c>
      <c r="C21" s="10">
        <v>4.5047149658203125</v>
      </c>
    </row>
    <row r="22" spans="1:10" x14ac:dyDescent="0.25">
      <c r="A22" s="3" t="s">
        <v>34</v>
      </c>
      <c r="B22" s="3" t="s">
        <v>6</v>
      </c>
      <c r="C22" s="10">
        <v>4.5110683441162109</v>
      </c>
    </row>
    <row r="23" spans="1:10" x14ac:dyDescent="0.25">
      <c r="A23" s="3" t="s">
        <v>35</v>
      </c>
      <c r="B23" s="3" t="s">
        <v>6</v>
      </c>
      <c r="C23" s="10">
        <v>4.6631450653076172</v>
      </c>
    </row>
    <row r="24" spans="1:10" x14ac:dyDescent="0.25">
      <c r="A24" s="3" t="s">
        <v>35</v>
      </c>
      <c r="B24" s="3" t="s">
        <v>6</v>
      </c>
      <c r="C24" s="10">
        <v>4.6438083648681641</v>
      </c>
    </row>
    <row r="25" spans="1:10" x14ac:dyDescent="0.25">
      <c r="A25" s="3" t="s">
        <v>35</v>
      </c>
      <c r="B25" s="3" t="s">
        <v>6</v>
      </c>
      <c r="C25" s="10">
        <v>4.6499614715576172</v>
      </c>
    </row>
    <row r="26" spans="1:10" x14ac:dyDescent="0.25">
      <c r="A26" s="3" t="s">
        <v>36</v>
      </c>
      <c r="B26" s="3" t="s">
        <v>6</v>
      </c>
      <c r="C26" s="10">
        <v>4.4807959501010002</v>
      </c>
    </row>
    <row r="27" spans="1:10" x14ac:dyDescent="0.25">
      <c r="A27" s="3" t="s">
        <v>36</v>
      </c>
      <c r="B27" s="3" t="s">
        <v>6</v>
      </c>
      <c r="C27" s="10">
        <v>4.5091904930405002</v>
      </c>
    </row>
    <row r="28" spans="1:10" x14ac:dyDescent="0.25">
      <c r="A28" s="3" t="s">
        <v>36</v>
      </c>
      <c r="B28" s="3" t="s">
        <v>6</v>
      </c>
      <c r="C28" s="10">
        <v>4.51010292903009</v>
      </c>
    </row>
    <row r="29" spans="1:10" x14ac:dyDescent="0.25">
      <c r="A29" s="3" t="s">
        <v>37</v>
      </c>
      <c r="B29" s="3" t="s">
        <v>6</v>
      </c>
      <c r="C29" s="10">
        <v>4.3955268859863281</v>
      </c>
    </row>
    <row r="30" spans="1:10" x14ac:dyDescent="0.25">
      <c r="A30" s="3" t="s">
        <v>37</v>
      </c>
      <c r="B30" s="3" t="s">
        <v>8</v>
      </c>
      <c r="C30" s="10">
        <v>4.4781875610351563</v>
      </c>
    </row>
    <row r="31" spans="1:10" x14ac:dyDescent="0.25">
      <c r="A31" s="3" t="s">
        <v>37</v>
      </c>
      <c r="B31" s="3" t="s">
        <v>8</v>
      </c>
      <c r="C31" s="10">
        <v>4.4904518127441406</v>
      </c>
    </row>
    <row r="32" spans="1:10" x14ac:dyDescent="0.25">
      <c r="A32" s="3" t="s">
        <v>38</v>
      </c>
      <c r="B32" s="3" t="s">
        <v>8</v>
      </c>
      <c r="C32" s="10">
        <v>4.4791908264160156</v>
      </c>
    </row>
    <row r="33" spans="1:3" x14ac:dyDescent="0.25">
      <c r="A33" s="3" t="s">
        <v>38</v>
      </c>
      <c r="B33" s="3" t="s">
        <v>8</v>
      </c>
      <c r="C33" s="10">
        <v>4.4945049285888672</v>
      </c>
    </row>
    <row r="34" spans="1:3" x14ac:dyDescent="0.25">
      <c r="A34" s="3" t="s">
        <v>38</v>
      </c>
      <c r="B34" s="3" t="s">
        <v>8</v>
      </c>
      <c r="C34" s="10">
        <v>4.4930763244628906</v>
      </c>
    </row>
    <row r="35" spans="1:3" x14ac:dyDescent="0.25">
      <c r="A35" s="3" t="s">
        <v>39</v>
      </c>
      <c r="B35" s="3" t="s">
        <v>8</v>
      </c>
      <c r="C35" s="10">
        <v>4.5589122772216797</v>
      </c>
    </row>
    <row r="36" spans="1:3" x14ac:dyDescent="0.25">
      <c r="A36" s="3" t="s">
        <v>39</v>
      </c>
      <c r="B36" s="3" t="s">
        <v>8</v>
      </c>
      <c r="C36" s="10">
        <v>4.5458393096923828</v>
      </c>
    </row>
    <row r="37" spans="1:3" x14ac:dyDescent="0.25">
      <c r="A37" s="3" t="s">
        <v>39</v>
      </c>
      <c r="B37" s="3" t="s">
        <v>8</v>
      </c>
      <c r="C37" s="10">
        <v>4.4971885681152344</v>
      </c>
    </row>
    <row r="38" spans="1:3" x14ac:dyDescent="0.25">
      <c r="A38" s="3" t="s">
        <v>40</v>
      </c>
      <c r="B38" s="3" t="s">
        <v>8</v>
      </c>
      <c r="C38" s="10">
        <v>3.9517307281494141</v>
      </c>
    </row>
    <row r="39" spans="1:3" x14ac:dyDescent="0.25">
      <c r="A39" s="3" t="s">
        <v>40</v>
      </c>
      <c r="B39" s="3" t="s">
        <v>8</v>
      </c>
      <c r="C39" s="10">
        <v>3.9408283233642578</v>
      </c>
    </row>
    <row r="40" spans="1:3" x14ac:dyDescent="0.25">
      <c r="A40" s="3" t="s">
        <v>40</v>
      </c>
      <c r="B40" s="3" t="s">
        <v>6</v>
      </c>
      <c r="C40" s="10">
        <v>3.9438114166259766</v>
      </c>
    </row>
    <row r="41" spans="1:3" x14ac:dyDescent="0.25">
      <c r="A41" s="3" t="s">
        <v>41</v>
      </c>
      <c r="B41" s="3" t="s">
        <v>6</v>
      </c>
      <c r="C41" s="10">
        <v>4.2174053192138672</v>
      </c>
    </row>
    <row r="42" spans="1:3" x14ac:dyDescent="0.25">
      <c r="A42" s="3" t="s">
        <v>41</v>
      </c>
      <c r="B42" s="3" t="s">
        <v>6</v>
      </c>
      <c r="C42" s="10">
        <v>4.2316761016845703</v>
      </c>
    </row>
    <row r="43" spans="1:3" x14ac:dyDescent="0.25">
      <c r="A43" s="3" t="s">
        <v>41</v>
      </c>
      <c r="B43" s="3" t="s">
        <v>6</v>
      </c>
      <c r="C43" s="10">
        <v>4.2049140930175781</v>
      </c>
    </row>
    <row r="44" spans="1:3" x14ac:dyDescent="0.25">
      <c r="A44" s="3" t="s">
        <v>42</v>
      </c>
      <c r="B44" s="3" t="s">
        <v>6</v>
      </c>
      <c r="C44" s="10">
        <v>4.1660690307617188</v>
      </c>
    </row>
    <row r="45" spans="1:3" x14ac:dyDescent="0.25">
      <c r="A45" s="3" t="s">
        <v>42</v>
      </c>
      <c r="B45" s="3" t="s">
        <v>6</v>
      </c>
      <c r="C45" s="10">
        <v>4.1514911651611328</v>
      </c>
    </row>
    <row r="46" spans="1:3" x14ac:dyDescent="0.25">
      <c r="A46" s="3" t="s">
        <v>42</v>
      </c>
      <c r="B46" s="3" t="s">
        <v>6</v>
      </c>
      <c r="C46" s="10">
        <v>4.1654281616210938</v>
      </c>
    </row>
    <row r="47" spans="1:3" x14ac:dyDescent="0.25">
      <c r="A47" s="3" t="s">
        <v>43</v>
      </c>
      <c r="B47" s="3" t="s">
        <v>8</v>
      </c>
      <c r="C47" s="10">
        <v>2.8762969970703125</v>
      </c>
    </row>
    <row r="48" spans="1:3" x14ac:dyDescent="0.25">
      <c r="A48" s="3" t="s">
        <v>43</v>
      </c>
      <c r="B48" s="3" t="s">
        <v>8</v>
      </c>
      <c r="C48" s="10">
        <v>2.8447628021240234</v>
      </c>
    </row>
    <row r="49" spans="1:3" x14ac:dyDescent="0.25">
      <c r="A49" s="3" t="s">
        <v>43</v>
      </c>
      <c r="B49" s="3" t="s">
        <v>8</v>
      </c>
      <c r="C49" s="10">
        <v>2.9985122680664063</v>
      </c>
    </row>
    <row r="50" spans="1:3" x14ac:dyDescent="0.25">
      <c r="A50" s="3" t="s">
        <v>44</v>
      </c>
      <c r="B50" s="3" t="s">
        <v>8</v>
      </c>
      <c r="C50" s="10">
        <v>3.8739280700683594</v>
      </c>
    </row>
    <row r="51" spans="1:3" x14ac:dyDescent="0.25">
      <c r="A51" s="3" t="s">
        <v>44</v>
      </c>
      <c r="B51" s="3" t="s">
        <v>8</v>
      </c>
      <c r="C51" s="10">
        <v>3.88787841796875</v>
      </c>
    </row>
    <row r="52" spans="1:3" x14ac:dyDescent="0.25">
      <c r="A52" s="3" t="s">
        <v>44</v>
      </c>
      <c r="B52" s="3" t="s">
        <v>8</v>
      </c>
      <c r="C52" s="10">
        <v>3.9074916839599609</v>
      </c>
    </row>
    <row r="67" spans="12:12" x14ac:dyDescent="0.25">
      <c r="L67" t="s">
        <v>58</v>
      </c>
    </row>
    <row r="68" spans="12:12" x14ac:dyDescent="0.25">
      <c r="L68" s="7"/>
    </row>
    <row r="70" spans="12:12" x14ac:dyDescent="0.25">
      <c r="L70" s="7"/>
    </row>
    <row r="72" spans="12:12" x14ac:dyDescent="0.25">
      <c r="L72" s="7"/>
    </row>
    <row r="74" spans="12:12" x14ac:dyDescent="0.25">
      <c r="L74" s="7"/>
    </row>
    <row r="76" spans="12:12" x14ac:dyDescent="0.25">
      <c r="L76" s="7"/>
    </row>
    <row r="78" spans="12:12" x14ac:dyDescent="0.25">
      <c r="L78" s="7"/>
    </row>
    <row r="80" spans="12:12" x14ac:dyDescent="0.25">
      <c r="L80" s="7"/>
    </row>
    <row r="82" spans="12:12" x14ac:dyDescent="0.25">
      <c r="L82" s="7"/>
    </row>
    <row r="84" spans="12:12" x14ac:dyDescent="0.25">
      <c r="L84" s="7"/>
    </row>
    <row r="86" spans="12:12" x14ac:dyDescent="0.25">
      <c r="L86" s="7"/>
    </row>
    <row r="88" spans="12:12" x14ac:dyDescent="0.25">
      <c r="L88" s="7"/>
    </row>
    <row r="90" spans="12:12" x14ac:dyDescent="0.25">
      <c r="L90" s="7"/>
    </row>
    <row r="92" spans="12:12" x14ac:dyDescent="0.25">
      <c r="L92" s="7"/>
    </row>
    <row r="94" spans="12:12" x14ac:dyDescent="0.25">
      <c r="L94" s="7"/>
    </row>
    <row r="96" spans="12:12" x14ac:dyDescent="0.25">
      <c r="L96" s="7"/>
    </row>
    <row r="98" spans="12:12" x14ac:dyDescent="0.25">
      <c r="L98" s="7"/>
    </row>
    <row r="100" spans="12:12" x14ac:dyDescent="0.25">
      <c r="L100" s="7"/>
    </row>
    <row r="102" spans="12:12" x14ac:dyDescent="0.25">
      <c r="L102" s="7"/>
    </row>
    <row r="104" spans="12:12" x14ac:dyDescent="0.25">
      <c r="L104" s="7"/>
    </row>
    <row r="106" spans="12:12" x14ac:dyDescent="0.25">
      <c r="L106" s="7"/>
    </row>
    <row r="108" spans="12:12" x14ac:dyDescent="0.25">
      <c r="L108" s="7"/>
    </row>
    <row r="110" spans="12:12" x14ac:dyDescent="0.25">
      <c r="L110" s="7"/>
    </row>
    <row r="112" spans="12:12" x14ac:dyDescent="0.25">
      <c r="L112" s="7"/>
    </row>
    <row r="114" spans="12:12" x14ac:dyDescent="0.25">
      <c r="L114" s="7"/>
    </row>
    <row r="116" spans="12:12" x14ac:dyDescent="0.25">
      <c r="L116" s="7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Metadata</vt:lpstr>
      <vt:lpstr>Hip Kcnq2</vt:lpstr>
      <vt:lpstr>One sample ttest hip Q2</vt:lpstr>
      <vt:lpstr>DeltaDelta CT Hip Kcnq2</vt:lpstr>
      <vt:lpstr>Hip Kcnq2 CT QC</vt:lpstr>
      <vt:lpstr>CTX Kcnq2</vt:lpstr>
      <vt:lpstr>CTX Kcnq2 G256W Grubbs test</vt:lpstr>
      <vt:lpstr>One sample ttest CTX Q2</vt:lpstr>
      <vt:lpstr>DeltaDelta CT CTX Kcnq2</vt:lpstr>
      <vt:lpstr>Cortex Kcnq2 CT QC</vt:lpstr>
      <vt:lpstr>Hip Kcnq3</vt:lpstr>
      <vt:lpstr>DeltaDeltaCT Hip Kcnq3</vt:lpstr>
      <vt:lpstr>Hip Kcnq3 CT QC</vt:lpstr>
      <vt:lpstr>CTX Kcnq3</vt:lpstr>
      <vt:lpstr>DeltaDeltaCT CTX Kcnq3</vt:lpstr>
      <vt:lpstr>CTX Kcnq3 CT QC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Abreo</dc:creator>
  <cp:lastModifiedBy>Abreo, Timothy</cp:lastModifiedBy>
  <cp:lastPrinted>2022-03-31T14:45:40Z</cp:lastPrinted>
  <dcterms:created xsi:type="dcterms:W3CDTF">2021-10-19T13:28:41Z</dcterms:created>
  <dcterms:modified xsi:type="dcterms:W3CDTF">2024-06-06T15:48:23Z</dcterms:modified>
</cp:coreProperties>
</file>