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rebeccacook/Downloads/"/>
    </mc:Choice>
  </mc:AlternateContent>
  <xr:revisionPtr revIDLastSave="0" documentId="13_ncr:1_{1D44D9E8-9066-6F4D-BA4A-47FE5130B649}" xr6:coauthVersionLast="47" xr6:coauthVersionMax="47" xr10:uidLastSave="{00000000-0000-0000-0000-000000000000}"/>
  <bookViews>
    <workbookView xWindow="0" yWindow="500" windowWidth="18900" windowHeight="8660" firstSheet="2" activeTab="7" xr2:uid="{00000000-000D-0000-FFFF-FFFF00000000}"/>
  </bookViews>
  <sheets>
    <sheet name="Figure3A" sheetId="1" r:id="rId1"/>
    <sheet name="Figure3B" sheetId="2" r:id="rId2"/>
    <sheet name="Figure3C" sheetId="3" r:id="rId3"/>
    <sheet name="Figure3D" sheetId="4" r:id="rId4"/>
    <sheet name="Figure3E" sheetId="5" r:id="rId5"/>
    <sheet name="Figure3F" sheetId="6" r:id="rId6"/>
    <sheet name="Figure3G" sheetId="7" r:id="rId7"/>
    <sheet name="Figure3H" sheetId="8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C14" i="4"/>
  <c r="D13" i="4"/>
  <c r="C13" i="4"/>
  <c r="L66" i="2"/>
  <c r="L63" i="2"/>
  <c r="L61" i="2"/>
  <c r="C61" i="2"/>
  <c r="L58" i="2"/>
  <c r="C58" i="2"/>
  <c r="C56" i="2"/>
  <c r="L55" i="2"/>
  <c r="C53" i="2"/>
  <c r="L51" i="2"/>
  <c r="C50" i="2"/>
  <c r="L48" i="2"/>
  <c r="L46" i="2"/>
  <c r="C46" i="2"/>
  <c r="L43" i="2"/>
  <c r="C43" i="2"/>
  <c r="C41" i="2"/>
  <c r="L40" i="2"/>
  <c r="C38" i="2"/>
  <c r="L37" i="2"/>
  <c r="C34" i="2"/>
  <c r="L33" i="2"/>
  <c r="L32" i="2"/>
  <c r="C32" i="2"/>
  <c r="C28" i="2"/>
  <c r="L27" i="2"/>
  <c r="Q25" i="2"/>
  <c r="P25" i="2"/>
  <c r="O25" i="2"/>
  <c r="C25" i="2"/>
  <c r="Q24" i="2"/>
  <c r="P24" i="2"/>
  <c r="O24" i="2"/>
  <c r="L24" i="2"/>
  <c r="Q23" i="2"/>
  <c r="P23" i="2"/>
  <c r="O23" i="2"/>
  <c r="H23" i="2"/>
  <c r="G23" i="2"/>
  <c r="F23" i="2"/>
  <c r="C23" i="2"/>
  <c r="Q22" i="2"/>
  <c r="P22" i="2"/>
  <c r="O22" i="2"/>
  <c r="H22" i="2"/>
  <c r="G22" i="2"/>
  <c r="F22" i="2"/>
  <c r="Q21" i="2"/>
  <c r="P21" i="2"/>
  <c r="O21" i="2"/>
  <c r="L21" i="2"/>
  <c r="H21" i="2"/>
  <c r="G21" i="2"/>
  <c r="F21" i="2"/>
  <c r="Q20" i="2"/>
  <c r="P20" i="2"/>
  <c r="O20" i="2"/>
  <c r="H20" i="2"/>
  <c r="G20" i="2"/>
  <c r="F20" i="2"/>
  <c r="Q19" i="2"/>
  <c r="P19" i="2"/>
  <c r="O19" i="2"/>
  <c r="L19" i="2"/>
  <c r="H19" i="2"/>
  <c r="G19" i="2"/>
  <c r="F19" i="2"/>
  <c r="C19" i="2"/>
  <c r="Q18" i="2"/>
  <c r="P18" i="2"/>
  <c r="O18" i="2"/>
  <c r="H18" i="2"/>
  <c r="G18" i="2"/>
  <c r="F18" i="2"/>
  <c r="Q17" i="2"/>
  <c r="P17" i="2"/>
  <c r="O17" i="2"/>
  <c r="H17" i="2"/>
  <c r="G17" i="2"/>
  <c r="F17" i="2"/>
  <c r="C17" i="2"/>
  <c r="Q16" i="2"/>
  <c r="P16" i="2"/>
  <c r="O16" i="2"/>
  <c r="L16" i="2"/>
  <c r="H16" i="2"/>
  <c r="G16" i="2"/>
  <c r="F16" i="2"/>
  <c r="Q15" i="2"/>
  <c r="P15" i="2"/>
  <c r="O15" i="2"/>
  <c r="H15" i="2"/>
  <c r="G15" i="2"/>
  <c r="F15" i="2"/>
  <c r="Q14" i="2"/>
  <c r="P14" i="2"/>
  <c r="O14" i="2"/>
  <c r="H14" i="2"/>
  <c r="G14" i="2"/>
  <c r="F14" i="2"/>
  <c r="Q13" i="2"/>
  <c r="P13" i="2"/>
  <c r="O13" i="2"/>
  <c r="L13" i="2"/>
  <c r="H13" i="2"/>
  <c r="G13" i="2"/>
  <c r="F13" i="2"/>
  <c r="C13" i="2"/>
  <c r="Q12" i="2"/>
  <c r="P12" i="2"/>
  <c r="O12" i="2"/>
  <c r="H12" i="2"/>
  <c r="G12" i="2"/>
  <c r="F12" i="2"/>
  <c r="Q11" i="2"/>
  <c r="P11" i="2"/>
  <c r="O11" i="2"/>
  <c r="H11" i="2"/>
  <c r="G11" i="2"/>
  <c r="F11" i="2"/>
  <c r="C11" i="2"/>
  <c r="Q10" i="2"/>
  <c r="P10" i="2"/>
  <c r="O10" i="2"/>
  <c r="H10" i="2"/>
  <c r="G10" i="2"/>
  <c r="F10" i="2"/>
  <c r="Q9" i="2"/>
  <c r="P9" i="2"/>
  <c r="O9" i="2"/>
  <c r="L9" i="2"/>
  <c r="H9" i="2"/>
  <c r="G9" i="2"/>
  <c r="F9" i="2"/>
  <c r="Q8" i="2"/>
  <c r="P8" i="2"/>
  <c r="O8" i="2"/>
  <c r="H8" i="2"/>
  <c r="G8" i="2"/>
  <c r="F8" i="2"/>
  <c r="Q7" i="2"/>
  <c r="P7" i="2"/>
  <c r="O7" i="2"/>
  <c r="H7" i="2"/>
  <c r="G7" i="2"/>
  <c r="F7" i="2"/>
  <c r="C7" i="2"/>
  <c r="Q6" i="2"/>
  <c r="P6" i="2"/>
  <c r="O6" i="2"/>
  <c r="L6" i="2"/>
  <c r="H6" i="2"/>
  <c r="G6" i="2"/>
  <c r="F6" i="2"/>
  <c r="Q5" i="2"/>
  <c r="P5" i="2"/>
  <c r="O5" i="2"/>
  <c r="H5" i="2"/>
  <c r="G5" i="2"/>
  <c r="F5" i="2"/>
  <c r="C5" i="2"/>
  <c r="Q4" i="2"/>
  <c r="P4" i="2"/>
  <c r="O4" i="2"/>
  <c r="L4" i="2"/>
  <c r="H4" i="2"/>
  <c r="G4" i="2"/>
  <c r="F4" i="2"/>
</calcChain>
</file>

<file path=xl/sharedStrings.xml><?xml version="1.0" encoding="utf-8"?>
<sst xmlns="http://schemas.openxmlformats.org/spreadsheetml/2006/main" count="346" uniqueCount="141">
  <si>
    <t>Sample ID</t>
  </si>
  <si>
    <t>Chao1</t>
  </si>
  <si>
    <t>Villin-cre1</t>
  </si>
  <si>
    <t>Villin-cre2</t>
  </si>
  <si>
    <t>Villin-cre3</t>
  </si>
  <si>
    <t>Villin-cre4</t>
  </si>
  <si>
    <t>Villin-cre5</t>
  </si>
  <si>
    <t>Villin-cre6</t>
  </si>
  <si>
    <t>Villin-cre7</t>
  </si>
  <si>
    <t>Villin-cre8</t>
  </si>
  <si>
    <t>Villin-cre9</t>
  </si>
  <si>
    <t>Villin-cre10</t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</si>
  <si>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1</t>
    </r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</si>
  <si>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2</t>
    </r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</si>
  <si>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3</t>
    </r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</si>
  <si>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4</t>
    </r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</si>
  <si>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5</t>
    </r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</si>
  <si>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6</t>
    </r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</si>
  <si>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7</t>
    </r>
  </si>
  <si>
    <t>Raw data</t>
  </si>
  <si>
    <t>Sort out data</t>
  </si>
  <si>
    <t>（feces）</t>
  </si>
  <si>
    <t>Sample Name</t>
  </si>
  <si>
    <t>CT</t>
  </si>
  <si>
    <t>CT mean</t>
  </si>
  <si>
    <t>（gut contents）</t>
  </si>
  <si>
    <t>CT mean(red)</t>
  </si>
  <si>
    <t>sample</t>
  </si>
  <si>
    <t>pg/µL(from standard curve)</t>
  </si>
  <si>
    <t>pg</t>
  </si>
  <si>
    <t>pg/mg feces</t>
  </si>
  <si>
    <t>Villin-cre1 ileum contens</t>
  </si>
  <si>
    <t>Sample</t>
  </si>
  <si>
    <t>pg/ul</t>
  </si>
  <si>
    <t>pg/mg</t>
  </si>
  <si>
    <t xml:space="preserve">Villin-cre1 </t>
  </si>
  <si>
    <t>ileum contents</t>
  </si>
  <si>
    <t xml:space="preserve">Villin-cre2 </t>
  </si>
  <si>
    <t xml:space="preserve">Villin-cre3 </t>
  </si>
  <si>
    <t>Villin-cre2 ileum contens</t>
  </si>
  <si>
    <t xml:space="preserve">Villin-cre4 </t>
  </si>
  <si>
    <t xml:space="preserve">Villin-cre5 </t>
  </si>
  <si>
    <t xml:space="preserve">Villin-cre6 </t>
  </si>
  <si>
    <t>Villin-cre3 ileum contens</t>
  </si>
  <si>
    <t xml:space="preserve">Villin-cre7 </t>
  </si>
  <si>
    <t xml:space="preserve">Villin-cre8 </t>
  </si>
  <si>
    <t xml:space="preserve">Villin-cre9 </t>
  </si>
  <si>
    <t>Villin-cre4 ileum contens</t>
  </si>
  <si>
    <t xml:space="preserve">Villin-cre10 </t>
  </si>
  <si>
    <t>Villin-cre5 ileum contens</t>
  </si>
  <si>
    <t>colon contents</t>
  </si>
  <si>
    <t>Villin-cre6 ileum contens</t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</si>
  <si>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8</t>
    </r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</si>
  <si>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1 ileum contents</t>
    </r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</si>
  <si>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9</t>
    </r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</si>
  <si>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10</t>
    </r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</si>
  <si>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2 ileum contents</t>
    </r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</si>
  <si>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3 ileum contents</t>
    </r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</si>
  <si>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4 ileum contents</t>
    </r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</si>
  <si>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5 ileum contents</t>
    </r>
  </si>
  <si>
    <t>Villin-cre1 colon contens</t>
  </si>
  <si>
    <t>Villin-cre2 colon contens</t>
  </si>
  <si>
    <t>Villin-cre3 colon contens</t>
  </si>
  <si>
    <t>Villin-cre4 colon contens</t>
  </si>
  <si>
    <t>Villin-cre5 colon contens</t>
  </si>
  <si>
    <t>Villin-cre6 colon contens</t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</si>
  <si>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1 colon contents</t>
    </r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</si>
  <si>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2 colon contents</t>
    </r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</si>
  <si>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3 colon contents</t>
    </r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</si>
  <si>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4 colon contents</t>
    </r>
  </si>
  <si>
    <t>H2O</t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</si>
  <si>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5 colon contents</t>
    </r>
  </si>
  <si>
    <t>h20</t>
  </si>
  <si>
    <t>group</t>
  </si>
  <si>
    <t>PC1</t>
  </si>
  <si>
    <t>PC2</t>
  </si>
  <si>
    <t>PC3</t>
  </si>
  <si>
    <t>PC4</t>
  </si>
  <si>
    <t>PC5</t>
  </si>
  <si>
    <t>PC6</t>
  </si>
  <si>
    <t>PC7</t>
  </si>
  <si>
    <t>PC8</t>
  </si>
  <si>
    <t>PC9</t>
  </si>
  <si>
    <t>PC10</t>
  </si>
  <si>
    <t>PC11</t>
  </si>
  <si>
    <t>PC12</t>
  </si>
  <si>
    <t>PC13</t>
  </si>
  <si>
    <t>PC14</t>
  </si>
  <si>
    <t>PC15</t>
  </si>
  <si>
    <t>PC16</t>
  </si>
  <si>
    <t>PC17</t>
  </si>
  <si>
    <t>PC18</t>
  </si>
  <si>
    <t>PC19</t>
  </si>
  <si>
    <t>PC20</t>
  </si>
  <si>
    <t>KO</t>
  </si>
  <si>
    <t>Villin-cre 1</t>
  </si>
  <si>
    <t>WT</t>
  </si>
  <si>
    <t>Villin-cre 10</t>
  </si>
  <si>
    <t>Villin-cre 2</t>
  </si>
  <si>
    <t>Villin-cre 3</t>
  </si>
  <si>
    <t>Villin-cre 4</t>
  </si>
  <si>
    <t>Villin-cre 5</t>
  </si>
  <si>
    <t>Villin-cre 6</t>
  </si>
  <si>
    <t>Villin-cre 7</t>
  </si>
  <si>
    <t>Villin-cre 8</t>
  </si>
  <si>
    <t>Villin-cre 9</t>
  </si>
  <si>
    <t>Proportion of explained(%)</t>
  </si>
  <si>
    <t>G+</t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</si>
  <si>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</si>
  <si>
    <t>Villin-cre</t>
  </si>
  <si>
    <t>Other</t>
  </si>
  <si>
    <t>Firmicutes</t>
  </si>
  <si>
    <t>G-</t>
  </si>
  <si>
    <t>Bacteroidetes</t>
  </si>
  <si>
    <t>Deferribacteres</t>
  </si>
  <si>
    <t>Proteobacteria</t>
  </si>
  <si>
    <t>TM7</t>
  </si>
  <si>
    <t>Gram_Positive</t>
  </si>
  <si>
    <t>Gram_Negative</t>
  </si>
  <si>
    <t>LTA flurorsence intensity(field of view)</t>
  </si>
  <si>
    <t>Firmicutes flurorsence intensity(field of view)</t>
  </si>
  <si>
    <t>this_column</t>
  </si>
  <si>
    <t xml:space="preserve"> f__Lachnospiraceae</t>
  </si>
  <si>
    <t xml:space="preserve"> f__Ruminococcaceae</t>
  </si>
  <si>
    <t>Adlercreutzia</t>
  </si>
  <si>
    <t>Allobaculum</t>
  </si>
  <si>
    <t>Lactobacillus</t>
  </si>
  <si>
    <t>Oscillospira</t>
  </si>
  <si>
    <t>Ruminococcus</t>
  </si>
  <si>
    <t>Turicibacter</t>
  </si>
  <si>
    <t>[Ruminococcus]</t>
  </si>
  <si>
    <t>Villen-cre</t>
  </si>
  <si>
    <t>WT（n=3）</t>
  </si>
  <si>
    <t>Chil1-/-(n=3)</t>
  </si>
  <si>
    <t>Type1-Mean(%)</t>
  </si>
  <si>
    <t>Type1-Sd(%)</t>
  </si>
  <si>
    <t>Type2-Mean(%)</t>
  </si>
  <si>
    <t>Type2-Sd(%)</t>
  </si>
  <si>
    <t>Romboutsia</t>
  </si>
  <si>
    <t>Streptococcus</t>
  </si>
  <si>
    <t>Staphylococcus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</si>
</sst>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8" formatCode="#,##0.000"/>
  </numFmts>
  <fonts count="6" x14ac:knownFonts="1">
    <font>
      <sz val="11"/>
      <color theme="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charset val="134"/>
      <scheme val="minor"/>
    </font>
    <font>
      <vertAlign val="superscript"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1454817346722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1" xfId="0" applyFont="1" applyBorder="1" applyAlignme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168" fontId="0" fillId="0" borderId="0" xfId="0" applyNumberFormat="1" applyAlignment="1">
      <alignment horizontal="left"/>
    </xf>
    <xf numFmtId="168" fontId="0" fillId="0" borderId="1" xfId="0" applyNumberFormat="1" applyBorder="1" applyAlignment="1">
      <alignment horizontal="left"/>
    </xf>
    <xf numFmtId="168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8" fontId="2" fillId="0" borderId="0" xfId="0" applyNumberFormat="1" applyFont="1" applyAlignment="1">
      <alignment horizontal="left"/>
    </xf>
    <xf numFmtId="0" fontId="2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r>
              <a:rPr lang="en-US">
                <a:ln>
                  <a:noFill/>
                </a:ln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rPr>
              <a:t>Relative Abundance</a:t>
            </a:r>
          </a:p>
        </c:rich>
      </c:tx>
      <c:layout>
        <c:manualLayout>
          <c:xMode val="edge"/>
          <c:yMode val="edge"/>
          <c:x val="0.34520691461498199"/>
          <c:y val="8.2087447108603703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692296532714301"/>
          <c:y val="0.235822571588995"/>
          <c:w val="0.82872479326853299"/>
          <c:h val="0.511061201572150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'[1]VvsVKO.phylum.Gram_Positive_rel'!$B$13</c:f>
              <c:strCache>
                <c:ptCount val="1"/>
                <c:pt idx="0">
                  <c:v>Gram_Positive</c:v>
                </c:pt>
              </c:strCache>
            </c:strRef>
          </c:tx>
          <c:spPr>
            <a:solidFill>
              <a:srgbClr val="F94040"/>
            </a:solidFill>
            <a:ln>
              <a:noFill/>
            </a:ln>
            <a:effectLst/>
          </c:spPr>
          <c:invertIfNegative val="0"/>
          <c:cat>
            <c:strRef>
              <c:f>'[1]VvsVKO.phylum.Gram_Positive_rel'!$C$12:$D$12</c:f>
              <c:strCache>
                <c:ptCount val="2"/>
                <c:pt idx="0">
                  <c:v>IECΔChil1</c:v>
                </c:pt>
                <c:pt idx="1">
                  <c:v>Villin-cre</c:v>
                </c:pt>
              </c:strCache>
            </c:strRef>
          </c:cat>
          <c:val>
            <c:numRef>
              <c:f>'[1]VvsVKO.phylum.Gram_Positive_rel'!$C$13:$D$13</c:f>
              <c:numCache>
                <c:formatCode>General</c:formatCode>
                <c:ptCount val="2"/>
                <c:pt idx="0">
                  <c:v>0.412796702920187</c:v>
                </c:pt>
                <c:pt idx="1">
                  <c:v>0.52067229237725099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65-6740-9E57-36F7DD2F052D}"/>
            </c:ext>
          </c:extLst>
        </c:ser>
        <c:ser>
          <c:idx val="1"/>
          <c:order val="1"/>
          <c:tx>
            <c:strRef>
              <c:f>'[1]VvsVKO.phylum.Gram_Positive_rel'!$B$14</c:f>
              <c:strCache>
                <c:ptCount val="1"/>
                <c:pt idx="0">
                  <c:v>Gram_Negative</c:v>
                </c:pt>
              </c:strCache>
            </c:strRef>
          </c:tx>
          <c:spPr>
            <a:solidFill>
              <a:srgbClr val="55A0FB"/>
            </a:solidFill>
            <a:ln>
              <a:noFill/>
            </a:ln>
            <a:effectLst/>
          </c:spPr>
          <c:invertIfNegative val="0"/>
          <c:cat>
            <c:strRef>
              <c:f>'[1]VvsVKO.phylum.Gram_Positive_rel'!$C$12:$D$12</c:f>
              <c:strCache>
                <c:ptCount val="2"/>
                <c:pt idx="0">
                  <c:v>IECΔChil1</c:v>
                </c:pt>
                <c:pt idx="1">
                  <c:v>Villin-cre</c:v>
                </c:pt>
              </c:strCache>
            </c:strRef>
          </c:cat>
          <c:val>
            <c:numRef>
              <c:f>'[1]VvsVKO.phylum.Gram_Positive_rel'!$C$14:$D$14</c:f>
              <c:numCache>
                <c:formatCode>General</c:formatCode>
                <c:ptCount val="2"/>
                <c:pt idx="0">
                  <c:v>0.587203297079813</c:v>
                </c:pt>
                <c:pt idx="1">
                  <c:v>0.47932770762274901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65-6740-9E57-36F7DD2F0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8692002"/>
        <c:axId val="646525169"/>
      </c:barChart>
      <c:catAx>
        <c:axId val="69869200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endParaRPr lang="en-US"/>
          </a:p>
        </c:txPr>
        <c:crossAx val="646525169"/>
        <c:crosses val="autoZero"/>
        <c:auto val="1"/>
        <c:lblAlgn val="ctr"/>
        <c:lblOffset val="100"/>
        <c:noMultiLvlLbl val="0"/>
      </c:catAx>
      <c:valAx>
        <c:axId val="64652516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endParaRPr lang="en-US"/>
          </a:p>
        </c:txPr>
        <c:crossAx val="69869200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cap="none" spc="0" normalizeH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endParaRPr lang="en-US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cap="none" spc="0" normalizeH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23792253010300299"/>
          <c:y val="0.85457608085345305"/>
          <c:w val="0.49920208907587399"/>
          <c:h val="0.10780460415496899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cap="none" spc="0" normalizeH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>
          <a:ln>
            <a:noFill/>
          </a:ln>
          <a:latin typeface="Arial" panose="020B0604020202020204" pitchFamily="7" charset="0"/>
          <a:ea typeface="Arial" panose="020B0604020202020204" pitchFamily="7" charset="0"/>
          <a:cs typeface="Arial" panose="020B0604020202020204" pitchFamily="7" charset="0"/>
          <a:sym typeface="Arial" panose="020B0604020202020204" pitchFamily="7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219075</xdr:colOff>
      <xdr:row>39</xdr:row>
      <xdr:rowOff>1270</xdr:rowOff>
    </xdr:from>
    <xdr:to>
      <xdr:col>16</xdr:col>
      <xdr:colOff>299085</xdr:colOff>
      <xdr:row>39</xdr:row>
      <xdr:rowOff>1270</xdr:rowOff>
    </xdr:to>
    <xdr:cxnSp macro="">
      <xdr:nvCxnSpPr>
        <xdr:cNvPr id="2" name="直接连接符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12863195" y="7421245"/>
          <a:ext cx="996950" cy="0"/>
        </a:xfrm>
        <a:prstGeom prst="lin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215900</xdr:colOff>
          <xdr:row>24</xdr:row>
          <xdr:rowOff>88900</xdr:rowOff>
        </xdr:from>
        <xdr:to>
          <xdr:col>18</xdr:col>
          <xdr:colOff>266700</xdr:colOff>
          <xdr:row>40</xdr:row>
          <xdr:rowOff>190500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153035</xdr:colOff>
      <xdr:row>7</xdr:row>
      <xdr:rowOff>82550</xdr:rowOff>
    </xdr:from>
    <xdr:to>
      <xdr:col>9</xdr:col>
      <xdr:colOff>869315</xdr:colOff>
      <xdr:row>20</xdr:row>
      <xdr:rowOff>92075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152400</xdr:rowOff>
        </xdr:from>
        <xdr:to>
          <xdr:col>4</xdr:col>
          <xdr:colOff>596900</xdr:colOff>
          <xdr:row>21</xdr:row>
          <xdr:rowOff>12700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</xdr:row>
          <xdr:rowOff>0</xdr:rowOff>
        </xdr:from>
        <xdr:to>
          <xdr:col>5</xdr:col>
          <xdr:colOff>292100</xdr:colOff>
          <xdr:row>20</xdr:row>
          <xdr:rowOff>25400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254000</xdr:colOff>
          <xdr:row>0</xdr:row>
          <xdr:rowOff>63500</xdr:rowOff>
        </xdr:from>
        <xdr:to>
          <xdr:col>12</xdr:col>
          <xdr:colOff>203200</xdr:colOff>
          <xdr:row>20</xdr:row>
          <xdr:rowOff>38100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7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ocuments/Desktop/&#23454;&#39564;&#23460;&#36164;&#26009;/CHI3L1-&#32928;&#36947;&#33740;%20&#35838;&#39064;/&#23457;&#31295;&#24847;&#35265;/Chi3l1-bacteria%20&#21407;&#22987;&#25968;&#25454;-CY/Figure3/D.comparing%20of%20Gram-positive%20and%20Gram-negative%20bacteria(phylum)%20of%20Villin-cre%20and%20IEC&#916;Chil1%20feces/used%20data/&#25968;&#25454;&#25972;&#29702;&#8212;&#8212;Villin-crevsIEC&#916;Chil1.phylum.Gram_Positive_relabundance.xlsx?18033CCA" TargetMode="External"/><Relationship Id="rId1" Type="http://schemas.openxmlformats.org/officeDocument/2006/relationships/externalLinkPath" Target="file:///18033CCA/&#25968;&#25454;&#25972;&#29702;&#8212;&#8212;Villin-crevsIEC&#916;Chil1.phylum.Gram_Positive_relabund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vsVKO.phylum.Gram_Positive_rel"/>
    </sheetNames>
    <sheetDataSet>
      <sheetData sheetId="0">
        <row r="12">
          <cell r="C12" t="str">
            <v>IECΔChil1</v>
          </cell>
          <cell r="D12" t="str">
            <v>Villin-cre</v>
          </cell>
        </row>
        <row r="13">
          <cell r="B13" t="str">
            <v>Gram_Positive</v>
          </cell>
          <cell r="C13">
            <v>0.412796702920187</v>
          </cell>
          <cell r="D13">
            <v>0.52067229237725099</v>
          </cell>
        </row>
        <row r="14">
          <cell r="B14" t="str">
            <v>Gram_Negative</v>
          </cell>
          <cell r="C14">
            <v>0.587203297079813</v>
          </cell>
          <cell r="D14">
            <v>0.47932770762274901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4" Type="http://schemas.openxmlformats.org/officeDocument/2006/relationships/image" Target="../media/image3.e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Relationship Id="rId4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workbookViewId="0">
      <selection activeCell="A12" sqref="A12"/>
    </sheetView>
  </sheetViews>
  <sheetFormatPr baseColWidth="10" defaultColWidth="9" defaultRowHeight="15" x14ac:dyDescent="0.2"/>
  <cols>
    <col min="1" max="1" width="13.83203125" customWidth="1"/>
    <col min="2" max="2" width="9.5"/>
    <col min="5" max="5" width="9.5"/>
  </cols>
  <sheetData>
    <row r="1" spans="1:2" x14ac:dyDescent="0.2">
      <c r="A1" t="s">
        <v>0</v>
      </c>
      <c r="B1" t="s">
        <v>1</v>
      </c>
    </row>
    <row r="2" spans="1:2" x14ac:dyDescent="0.2">
      <c r="A2" t="s">
        <v>2</v>
      </c>
      <c r="B2">
        <v>484.15789999999998</v>
      </c>
    </row>
    <row r="3" spans="1:2" x14ac:dyDescent="0.2">
      <c r="A3" t="s">
        <v>3</v>
      </c>
      <c r="B3">
        <v>481.67739999999998</v>
      </c>
    </row>
    <row r="4" spans="1:2" x14ac:dyDescent="0.2">
      <c r="A4" t="s">
        <v>4</v>
      </c>
      <c r="B4">
        <v>464.33330000000001</v>
      </c>
    </row>
    <row r="5" spans="1:2" x14ac:dyDescent="0.2">
      <c r="A5" t="s">
        <v>5</v>
      </c>
      <c r="B5">
        <v>461.48840000000001</v>
      </c>
    </row>
    <row r="6" spans="1:2" x14ac:dyDescent="0.2">
      <c r="A6" t="s">
        <v>6</v>
      </c>
      <c r="B6">
        <v>488.2432</v>
      </c>
    </row>
    <row r="7" spans="1:2" x14ac:dyDescent="0.2">
      <c r="A7" t="s">
        <v>7</v>
      </c>
      <c r="B7">
        <v>465.25</v>
      </c>
    </row>
    <row r="8" spans="1:2" x14ac:dyDescent="0.2">
      <c r="A8" t="s">
        <v>8</v>
      </c>
      <c r="B8">
        <v>491.07690000000002</v>
      </c>
    </row>
    <row r="9" spans="1:2" x14ac:dyDescent="0.2">
      <c r="A9" t="s">
        <v>9</v>
      </c>
      <c r="B9">
        <v>480.11630000000002</v>
      </c>
    </row>
    <row r="10" spans="1:2" x14ac:dyDescent="0.2">
      <c r="A10" t="s">
        <v>10</v>
      </c>
      <c r="B10">
        <v>511.42860000000002</v>
      </c>
    </row>
    <row r="11" spans="1:2" x14ac:dyDescent="0.2">
      <c r="A11" t="s">
        <v>11</v>
      </c>
      <c r="B11">
        <v>473.89659999999998</v>
      </c>
    </row>
    <row r="12" spans="1:2" ht="17" x14ac:dyDescent="0.2">
      <c r="A12" t="s">
        <v>12</v>
      </c>
      <c r="B12">
        <v>473.75</v>
      </c>
    </row>
    <row r="13" spans="1:2" ht="17" x14ac:dyDescent="0.2">
      <c r="A13" t="s">
        <v>13</v>
      </c>
      <c r="B13">
        <v>432.0976</v>
      </c>
    </row>
    <row r="14" spans="1:2" ht="17" x14ac:dyDescent="0.2">
      <c r="A14" t="s">
        <v>14</v>
      </c>
      <c r="B14">
        <v>445.10340000000002</v>
      </c>
    </row>
    <row r="15" spans="1:2" ht="17" x14ac:dyDescent="0.2">
      <c r="A15" t="s">
        <v>15</v>
      </c>
      <c r="B15">
        <v>426.63639999999998</v>
      </c>
    </row>
    <row r="16" spans="1:2" ht="17" x14ac:dyDescent="0.2">
      <c r="A16" t="s">
        <v>16</v>
      </c>
      <c r="B16">
        <v>466.57139999999998</v>
      </c>
    </row>
    <row r="17" spans="1:2" ht="17" x14ac:dyDescent="0.2">
      <c r="A17" t="s">
        <v>17</v>
      </c>
      <c r="B17">
        <v>493.34379999999999</v>
      </c>
    </row>
    <row r="18" spans="1:2" ht="17" x14ac:dyDescent="0.2">
      <c r="A18" t="s">
        <v>18</v>
      </c>
      <c r="B18">
        <v>463.19349999999997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4"/>
  <sheetViews>
    <sheetView zoomScale="85" zoomScaleNormal="85" workbookViewId="0">
      <selection activeCell="C1" sqref="C1:H1"/>
    </sheetView>
  </sheetViews>
  <sheetFormatPr baseColWidth="10" defaultColWidth="9" defaultRowHeight="15" x14ac:dyDescent="0.2"/>
  <cols>
    <col min="1" max="1" width="12.6640625" customWidth="1"/>
    <col min="2" max="2" width="7.6640625" customWidth="1"/>
    <col min="3" max="3" width="12.6640625" style="1" customWidth="1"/>
    <col min="4" max="4" width="13" customWidth="1"/>
    <col min="8" max="8" width="14" style="2" customWidth="1"/>
    <col min="9" max="9" width="2.83203125" customWidth="1"/>
    <col min="10" max="10" width="26.5" style="1" customWidth="1"/>
    <col min="12" max="12" width="12.83203125" style="1"/>
    <col min="13" max="13" width="12.5" customWidth="1"/>
    <col min="14" max="17" width="12.83203125"/>
    <col min="18" max="18" width="9" style="2"/>
  </cols>
  <sheetData>
    <row r="1" spans="1:18" x14ac:dyDescent="0.2">
      <c r="A1" s="22" t="s">
        <v>19</v>
      </c>
      <c r="B1" s="23"/>
      <c r="C1" s="22" t="s">
        <v>20</v>
      </c>
      <c r="D1" s="23"/>
      <c r="E1" s="23"/>
      <c r="F1" s="23"/>
      <c r="G1" s="23"/>
      <c r="H1" s="24"/>
      <c r="I1" s="6"/>
      <c r="J1" s="25" t="s">
        <v>19</v>
      </c>
      <c r="K1" s="26"/>
      <c r="L1" s="27" t="s">
        <v>20</v>
      </c>
      <c r="M1" s="28"/>
      <c r="N1" s="28"/>
      <c r="O1" s="28"/>
      <c r="P1" s="28"/>
      <c r="Q1" s="28"/>
      <c r="R1" s="29"/>
    </row>
    <row r="2" spans="1:18" x14ac:dyDescent="0.15">
      <c r="A2" s="1"/>
      <c r="B2" s="7"/>
      <c r="C2" s="8"/>
      <c r="D2" s="30" t="s">
        <v>21</v>
      </c>
      <c r="E2" s="30"/>
      <c r="F2" s="30"/>
      <c r="G2" s="30"/>
      <c r="H2" s="31"/>
      <c r="J2" s="3" t="s">
        <v>22</v>
      </c>
      <c r="K2" s="18" t="s">
        <v>23</v>
      </c>
      <c r="L2" s="19" t="s">
        <v>24</v>
      </c>
      <c r="M2" s="30" t="s">
        <v>25</v>
      </c>
      <c r="N2" s="30"/>
      <c r="O2" s="30"/>
      <c r="P2" s="30"/>
      <c r="Q2" s="30"/>
      <c r="R2" s="31"/>
    </row>
    <row r="3" spans="1:18" x14ac:dyDescent="0.2">
      <c r="A3" s="9" t="s">
        <v>22</v>
      </c>
      <c r="B3" s="10" t="s">
        <v>23</v>
      </c>
      <c r="C3" s="11" t="s">
        <v>26</v>
      </c>
      <c r="D3" t="s">
        <v>27</v>
      </c>
      <c r="E3" t="s">
        <v>24</v>
      </c>
      <c r="F3" s="12" t="s">
        <v>28</v>
      </c>
      <c r="G3" s="13" t="s">
        <v>29</v>
      </c>
      <c r="H3" s="14" t="s">
        <v>30</v>
      </c>
      <c r="J3" s="9" t="s">
        <v>31</v>
      </c>
      <c r="K3" s="20">
        <v>6.1083631515502903</v>
      </c>
      <c r="L3" s="8"/>
      <c r="M3" s="21" t="s">
        <v>32</v>
      </c>
      <c r="N3" s="21" t="s">
        <v>24</v>
      </c>
      <c r="O3" t="s">
        <v>33</v>
      </c>
      <c r="P3" t="s">
        <v>29</v>
      </c>
      <c r="Q3" t="s">
        <v>34</v>
      </c>
    </row>
    <row r="4" spans="1:18" x14ac:dyDescent="0.2">
      <c r="A4" s="12" t="s">
        <v>35</v>
      </c>
      <c r="B4" s="15">
        <v>8.2837133407592791</v>
      </c>
      <c r="C4" s="16"/>
      <c r="D4" s="12" t="s">
        <v>35</v>
      </c>
      <c r="E4">
        <v>7.75288605690002</v>
      </c>
      <c r="F4">
        <f t="shared" ref="F4:F23" si="0">EXP((E4-13.581)/-1.53)</f>
        <v>45.115451782306003</v>
      </c>
      <c r="G4">
        <f t="shared" ref="G4:G23" si="1">F4*50</f>
        <v>2255.7725891153</v>
      </c>
      <c r="H4" s="2">
        <f>G4/90.04</f>
        <v>25.053005210076599</v>
      </c>
      <c r="J4" s="9" t="s">
        <v>31</v>
      </c>
      <c r="K4" s="20">
        <v>5.6861295700073198</v>
      </c>
      <c r="L4" s="8">
        <f>AVERAGE(K5,K4)</f>
        <v>5.6471531391143799</v>
      </c>
      <c r="M4" s="12" t="s">
        <v>35</v>
      </c>
      <c r="N4">
        <v>5.6471531391143799</v>
      </c>
      <c r="O4">
        <f t="shared" ref="O4:O25" si="2">EXP((N4-13.581)/-1.53)</f>
        <v>178.66647937149099</v>
      </c>
      <c r="P4">
        <f t="shared" ref="P4:P25" si="3">O4*50</f>
        <v>8933.3239685745393</v>
      </c>
      <c r="Q4">
        <f>P4/77.9</f>
        <v>114.676816027914</v>
      </c>
      <c r="R4" s="32" t="s">
        <v>36</v>
      </c>
    </row>
    <row r="5" spans="1:18" x14ac:dyDescent="0.2">
      <c r="A5" s="12" t="s">
        <v>35</v>
      </c>
      <c r="B5" s="17">
        <v>7.75325632095337</v>
      </c>
      <c r="C5" s="16">
        <f>(B5+B6)/2</f>
        <v>7.75288605690002</v>
      </c>
      <c r="D5" s="12" t="s">
        <v>37</v>
      </c>
      <c r="E5">
        <v>6.5899081230163601</v>
      </c>
      <c r="F5">
        <f t="shared" si="0"/>
        <v>96.480517432200998</v>
      </c>
      <c r="G5">
        <f t="shared" si="1"/>
        <v>4824.0258716100498</v>
      </c>
      <c r="H5" s="2">
        <f>G5/82.9</f>
        <v>58.190903155730403</v>
      </c>
      <c r="J5" s="9" t="s">
        <v>31</v>
      </c>
      <c r="K5" s="20">
        <v>5.60817670822144</v>
      </c>
      <c r="L5" s="8"/>
      <c r="M5" s="12" t="s">
        <v>37</v>
      </c>
      <c r="N5">
        <v>5.3925428390502903</v>
      </c>
      <c r="O5">
        <f t="shared" si="2"/>
        <v>211.01575204566799</v>
      </c>
      <c r="P5">
        <f t="shared" si="3"/>
        <v>10550.787602283401</v>
      </c>
      <c r="Q5">
        <f>P5/89.5</f>
        <v>117.88589499758</v>
      </c>
      <c r="R5" s="32"/>
    </row>
    <row r="6" spans="1:18" x14ac:dyDescent="0.2">
      <c r="A6" s="12" t="s">
        <v>35</v>
      </c>
      <c r="B6" s="17">
        <v>7.7525157928466797</v>
      </c>
      <c r="C6" s="16"/>
      <c r="D6" s="12" t="s">
        <v>38</v>
      </c>
      <c r="E6">
        <v>6.4662458896636998</v>
      </c>
      <c r="F6">
        <f t="shared" si="0"/>
        <v>104.602357036545</v>
      </c>
      <c r="G6">
        <f t="shared" si="1"/>
        <v>5230.11785182726</v>
      </c>
      <c r="H6" s="2">
        <f>G6/46.8</f>
        <v>111.754654953574</v>
      </c>
      <c r="J6" s="9" t="s">
        <v>39</v>
      </c>
      <c r="K6" s="20">
        <v>5.45760154724121</v>
      </c>
      <c r="L6" s="8">
        <f>AVERAGE(K6,K7)</f>
        <v>5.3925428390502903</v>
      </c>
      <c r="M6" s="12" t="s">
        <v>38</v>
      </c>
      <c r="N6">
        <v>10.2625088691711</v>
      </c>
      <c r="O6">
        <f t="shared" si="2"/>
        <v>8.7490791210471208</v>
      </c>
      <c r="P6">
        <f t="shared" si="3"/>
        <v>437.45395605235598</v>
      </c>
      <c r="Q6">
        <f>P6/45.2</f>
        <v>9.6781848684149505</v>
      </c>
      <c r="R6" s="32"/>
    </row>
    <row r="7" spans="1:18" x14ac:dyDescent="0.2">
      <c r="A7" s="12" t="s">
        <v>37</v>
      </c>
      <c r="B7" s="17">
        <v>6.5039229393005398</v>
      </c>
      <c r="C7" s="16">
        <f>(B7+B8)/2</f>
        <v>6.5899081230163601</v>
      </c>
      <c r="D7" s="12" t="s">
        <v>40</v>
      </c>
      <c r="E7">
        <v>6.6957049369812003</v>
      </c>
      <c r="F7">
        <f t="shared" si="0"/>
        <v>90.034492926541205</v>
      </c>
      <c r="G7">
        <f t="shared" si="1"/>
        <v>4501.7246463270603</v>
      </c>
      <c r="H7" s="2">
        <f>G7/105.8</f>
        <v>42.549382290425903</v>
      </c>
      <c r="J7" s="9" t="s">
        <v>39</v>
      </c>
      <c r="K7" s="20">
        <v>5.3274841308593697</v>
      </c>
      <c r="L7" s="8"/>
      <c r="M7" s="12" t="s">
        <v>40</v>
      </c>
      <c r="N7">
        <v>6.3571276664733896</v>
      </c>
      <c r="O7">
        <f t="shared" si="2"/>
        <v>112.33496707934199</v>
      </c>
      <c r="P7">
        <f t="shared" si="3"/>
        <v>5616.7483539671102</v>
      </c>
      <c r="Q7">
        <f>P7/27.5</f>
        <v>204.24539468971301</v>
      </c>
      <c r="R7" s="32"/>
    </row>
    <row r="8" spans="1:18" x14ac:dyDescent="0.2">
      <c r="A8" s="12" t="s">
        <v>37</v>
      </c>
      <c r="B8" s="17">
        <v>6.6758933067321804</v>
      </c>
      <c r="C8" s="16"/>
      <c r="D8" s="12" t="s">
        <v>41</v>
      </c>
      <c r="E8">
        <v>6.9644916057586697</v>
      </c>
      <c r="F8">
        <f t="shared" si="0"/>
        <v>75.528894402101002</v>
      </c>
      <c r="G8">
        <f t="shared" si="1"/>
        <v>3776.4447201050498</v>
      </c>
      <c r="H8" s="2">
        <f>G8/50.3</f>
        <v>75.078423858947303</v>
      </c>
      <c r="J8" s="9" t="s">
        <v>39</v>
      </c>
      <c r="K8" s="20">
        <v>5.8067312240600604</v>
      </c>
      <c r="L8" s="8"/>
      <c r="M8" s="12" t="s">
        <v>41</v>
      </c>
      <c r="N8">
        <v>6.3903820514678999</v>
      </c>
      <c r="O8">
        <f t="shared" si="2"/>
        <v>109.91972131844</v>
      </c>
      <c r="P8">
        <f t="shared" si="3"/>
        <v>5495.9860659220103</v>
      </c>
      <c r="Q8">
        <f>P8/53.1</f>
        <v>103.502562446742</v>
      </c>
      <c r="R8" s="32"/>
    </row>
    <row r="9" spans="1:18" x14ac:dyDescent="0.2">
      <c r="A9" s="12" t="s">
        <v>37</v>
      </c>
      <c r="B9" s="15">
        <v>6.2736759185790998</v>
      </c>
      <c r="C9" s="16"/>
      <c r="D9" s="12" t="s">
        <v>42</v>
      </c>
      <c r="E9">
        <v>8.3542971611022896</v>
      </c>
      <c r="F9">
        <f t="shared" si="0"/>
        <v>30.4518164631336</v>
      </c>
      <c r="G9">
        <f t="shared" si="1"/>
        <v>1522.59082315668</v>
      </c>
      <c r="H9" s="2">
        <f>G9/24.7</f>
        <v>61.643353164238</v>
      </c>
      <c r="J9" s="9" t="s">
        <v>43</v>
      </c>
      <c r="K9" s="20">
        <v>10.388145446777299</v>
      </c>
      <c r="L9" s="8">
        <f>AVERAGE(K9,K10)</f>
        <v>10.2625088691711</v>
      </c>
      <c r="M9" s="12" t="s">
        <v>42</v>
      </c>
      <c r="N9">
        <v>6.5324640274047896</v>
      </c>
      <c r="O9">
        <f t="shared" si="2"/>
        <v>100.17175439018899</v>
      </c>
      <c r="P9">
        <f t="shared" si="3"/>
        <v>5008.5877195094599</v>
      </c>
      <c r="Q9">
        <f>P9/45.2</f>
        <v>110.80946282100599</v>
      </c>
      <c r="R9" s="32"/>
    </row>
    <row r="10" spans="1:18" ht="17" x14ac:dyDescent="0.2">
      <c r="A10" s="12" t="s">
        <v>38</v>
      </c>
      <c r="B10" s="15">
        <v>6.2731819152831996</v>
      </c>
      <c r="C10" s="16"/>
      <c r="D10" s="12" t="s">
        <v>44</v>
      </c>
      <c r="E10">
        <v>8.5195746421814</v>
      </c>
      <c r="F10">
        <f t="shared" si="0"/>
        <v>27.333721204419302</v>
      </c>
      <c r="G10">
        <f t="shared" si="1"/>
        <v>1366.6860602209699</v>
      </c>
      <c r="H10" s="2">
        <f>G10/69.7</f>
        <v>19.6081213805017</v>
      </c>
      <c r="J10" s="9" t="s">
        <v>43</v>
      </c>
      <c r="K10" s="20">
        <v>10.136872291564901</v>
      </c>
      <c r="L10" s="8"/>
      <c r="M10" t="s">
        <v>12</v>
      </c>
      <c r="N10">
        <v>7.61975121498108</v>
      </c>
      <c r="O10">
        <f t="shared" si="2"/>
        <v>49.217095662572497</v>
      </c>
      <c r="P10">
        <f t="shared" si="3"/>
        <v>2460.8547831286201</v>
      </c>
      <c r="Q10">
        <f>P10/106.6</f>
        <v>23.0849416803811</v>
      </c>
      <c r="R10" s="32"/>
    </row>
    <row r="11" spans="1:18" ht="17" x14ac:dyDescent="0.2">
      <c r="A11" s="12" t="s">
        <v>38</v>
      </c>
      <c r="B11" s="17">
        <v>6.4495720863342303</v>
      </c>
      <c r="C11" s="16">
        <f>(B11+B12)/2</f>
        <v>6.4662458896636901</v>
      </c>
      <c r="D11" s="12" t="s">
        <v>45</v>
      </c>
      <c r="E11">
        <v>6.3671784400939897</v>
      </c>
      <c r="F11">
        <f t="shared" si="0"/>
        <v>111.59944225572301</v>
      </c>
      <c r="G11">
        <f t="shared" si="1"/>
        <v>5579.9721127861703</v>
      </c>
      <c r="H11" s="2">
        <f>G11/115.1</f>
        <v>48.479340684501899</v>
      </c>
      <c r="J11" s="9" t="s">
        <v>43</v>
      </c>
      <c r="K11" s="20">
        <v>10.670698165893601</v>
      </c>
      <c r="L11" s="8"/>
      <c r="M11" t="s">
        <v>13</v>
      </c>
      <c r="N11">
        <v>8.4872865676879901</v>
      </c>
      <c r="O11">
        <f t="shared" si="2"/>
        <v>27.916682956781699</v>
      </c>
      <c r="P11">
        <f t="shared" si="3"/>
        <v>1395.8341478390901</v>
      </c>
      <c r="Q11">
        <f>P11/104</f>
        <v>13.4214821907604</v>
      </c>
      <c r="R11" s="32"/>
    </row>
    <row r="12" spans="1:18" ht="17" x14ac:dyDescent="0.2">
      <c r="A12" s="12" t="s">
        <v>38</v>
      </c>
      <c r="B12" s="17">
        <v>6.4829196929931596</v>
      </c>
      <c r="C12" s="16"/>
      <c r="D12" s="12" t="s">
        <v>46</v>
      </c>
      <c r="E12">
        <v>7.1568810939788801</v>
      </c>
      <c r="F12">
        <f t="shared" si="0"/>
        <v>66.604392365873807</v>
      </c>
      <c r="G12">
        <f t="shared" si="1"/>
        <v>3330.21961829369</v>
      </c>
      <c r="H12" s="2">
        <f>G12/101.5</f>
        <v>32.810045500430398</v>
      </c>
      <c r="J12" s="9" t="s">
        <v>47</v>
      </c>
      <c r="K12" s="20">
        <v>6.6647157669067401</v>
      </c>
      <c r="L12" s="8"/>
      <c r="M12" t="s">
        <v>14</v>
      </c>
      <c r="N12">
        <v>8.9804339408874494</v>
      </c>
      <c r="O12">
        <f t="shared" si="2"/>
        <v>20.2247261157952</v>
      </c>
      <c r="P12">
        <f t="shared" si="3"/>
        <v>1011.23630578976</v>
      </c>
      <c r="Q12">
        <f>P12/56.6</f>
        <v>17.866365826674201</v>
      </c>
      <c r="R12" s="32"/>
    </row>
    <row r="13" spans="1:18" ht="17" x14ac:dyDescent="0.2">
      <c r="A13" s="12" t="s">
        <v>40</v>
      </c>
      <c r="B13" s="17">
        <v>6.6465702056884801</v>
      </c>
      <c r="C13" s="16">
        <f>(B13+B15)/2</f>
        <v>6.6957049369812003</v>
      </c>
      <c r="D13" s="12" t="s">
        <v>48</v>
      </c>
      <c r="E13">
        <v>7.9654662609100297</v>
      </c>
      <c r="F13">
        <f t="shared" si="0"/>
        <v>39.2630349448619</v>
      </c>
      <c r="G13">
        <f t="shared" si="1"/>
        <v>1963.1517472431001</v>
      </c>
      <c r="H13" s="2">
        <f>G13/43.4</f>
        <v>45.233911226799499</v>
      </c>
      <c r="J13" s="9" t="s">
        <v>47</v>
      </c>
      <c r="K13" s="20">
        <v>6.2954192161560103</v>
      </c>
      <c r="L13" s="8">
        <f>AVERAGE(K13,K14)</f>
        <v>6.3571276664733896</v>
      </c>
      <c r="M13" t="s">
        <v>15</v>
      </c>
      <c r="N13">
        <v>9.4229044914245605</v>
      </c>
      <c r="O13">
        <f t="shared" si="2"/>
        <v>15.1455912458344</v>
      </c>
      <c r="P13">
        <f t="shared" si="3"/>
        <v>757.27956229172105</v>
      </c>
      <c r="Q13">
        <f>P13/89.4</f>
        <v>8.4706886162384905</v>
      </c>
      <c r="R13" s="32"/>
    </row>
    <row r="14" spans="1:18" ht="17" x14ac:dyDescent="0.2">
      <c r="A14" s="12" t="s">
        <v>40</v>
      </c>
      <c r="B14" s="15">
        <v>6.41672611236572</v>
      </c>
      <c r="C14" s="16"/>
      <c r="D14" t="s">
        <v>12</v>
      </c>
      <c r="E14">
        <v>7.9695663452148402</v>
      </c>
      <c r="F14">
        <f t="shared" si="0"/>
        <v>39.157958966468101</v>
      </c>
      <c r="G14">
        <f t="shared" si="1"/>
        <v>1957.8979483234</v>
      </c>
      <c r="H14" s="2">
        <f>G14/79.5</f>
        <v>24.627647148722101</v>
      </c>
      <c r="J14" s="9" t="s">
        <v>47</v>
      </c>
      <c r="K14" s="20">
        <v>6.4188361167907697</v>
      </c>
      <c r="L14" s="8"/>
      <c r="M14" t="s">
        <v>16</v>
      </c>
      <c r="N14">
        <v>7.5720858573913601</v>
      </c>
      <c r="O14">
        <f t="shared" si="2"/>
        <v>50.7745306880134</v>
      </c>
      <c r="P14">
        <f t="shared" si="3"/>
        <v>2538.7265344006701</v>
      </c>
      <c r="Q14">
        <f>P14/62.9</f>
        <v>40.3613121526339</v>
      </c>
      <c r="R14" s="32"/>
    </row>
    <row r="15" spans="1:18" ht="17" x14ac:dyDescent="0.2">
      <c r="A15" s="12" t="s">
        <v>40</v>
      </c>
      <c r="B15" s="17">
        <v>6.7448396682739302</v>
      </c>
      <c r="C15" s="16"/>
      <c r="D15" t="s">
        <v>13</v>
      </c>
      <c r="E15">
        <v>8.5214285850524902</v>
      </c>
      <c r="F15">
        <f t="shared" si="0"/>
        <v>27.300620245120701</v>
      </c>
      <c r="G15">
        <f t="shared" si="1"/>
        <v>1365.03101225604</v>
      </c>
      <c r="H15" s="2">
        <f>G15/84.8</f>
        <v>16.097063823774</v>
      </c>
      <c r="J15" s="9" t="s">
        <v>49</v>
      </c>
      <c r="K15" s="20">
        <v>6.1878161430358896</v>
      </c>
      <c r="L15" s="8"/>
      <c r="M15" s="12" t="s">
        <v>35</v>
      </c>
      <c r="N15">
        <v>5.6589031219482404</v>
      </c>
      <c r="O15">
        <f t="shared" si="2"/>
        <v>177.29962477787001</v>
      </c>
      <c r="P15">
        <f t="shared" si="3"/>
        <v>8864.9812388935206</v>
      </c>
      <c r="Q15">
        <f>P15/56.3</f>
        <v>157.45970228940499</v>
      </c>
      <c r="R15" s="32" t="s">
        <v>50</v>
      </c>
    </row>
    <row r="16" spans="1:18" ht="17" x14ac:dyDescent="0.2">
      <c r="A16" s="12" t="s">
        <v>41</v>
      </c>
      <c r="B16" s="15">
        <v>6.7811689376831099</v>
      </c>
      <c r="C16" s="16"/>
      <c r="D16" t="s">
        <v>14</v>
      </c>
      <c r="E16">
        <v>8.2956652641296404</v>
      </c>
      <c r="F16">
        <f t="shared" si="0"/>
        <v>31.641423981643999</v>
      </c>
      <c r="G16">
        <f t="shared" si="1"/>
        <v>1582.0711990822001</v>
      </c>
      <c r="H16" s="2">
        <f>G16/86.1</f>
        <v>18.374810674590002</v>
      </c>
      <c r="J16" s="9" t="s">
        <v>49</v>
      </c>
      <c r="K16" s="20">
        <v>6.3591618537902797</v>
      </c>
      <c r="L16" s="8">
        <f t="shared" ref="L16:L21" si="4">AVERAGE(K16,K17)</f>
        <v>6.3903820514678902</v>
      </c>
      <c r="M16" s="12" t="s">
        <v>37</v>
      </c>
      <c r="N16">
        <v>5.7916445732116699</v>
      </c>
      <c r="O16">
        <f t="shared" si="2"/>
        <v>162.56565944657001</v>
      </c>
      <c r="P16">
        <f t="shared" si="3"/>
        <v>8128.2829723285004</v>
      </c>
      <c r="Q16">
        <f>P16/59.9</f>
        <v>135.69754544788799</v>
      </c>
      <c r="R16" s="32"/>
    </row>
    <row r="17" spans="1:18" ht="17" x14ac:dyDescent="0.2">
      <c r="A17" s="12" t="s">
        <v>41</v>
      </c>
      <c r="B17" s="17">
        <v>6.9572458267211896</v>
      </c>
      <c r="C17" s="16">
        <f>(B17+B18)/2</f>
        <v>6.9644916057586697</v>
      </c>
      <c r="D17" t="s">
        <v>15</v>
      </c>
      <c r="E17">
        <v>7.7789273262023899</v>
      </c>
      <c r="F17">
        <f t="shared" si="0"/>
        <v>44.354065005863703</v>
      </c>
      <c r="G17">
        <f t="shared" si="1"/>
        <v>2217.7032502931902</v>
      </c>
      <c r="H17" s="2">
        <f>G17/51.2</f>
        <v>43.314516607288802</v>
      </c>
      <c r="J17" s="9" t="s">
        <v>49</v>
      </c>
      <c r="K17" s="20">
        <v>6.4216022491455096</v>
      </c>
      <c r="L17" s="8"/>
      <c r="M17" s="12" t="s">
        <v>38</v>
      </c>
      <c r="N17">
        <v>5.7330017089843697</v>
      </c>
      <c r="O17">
        <f t="shared" si="2"/>
        <v>168.917536768562</v>
      </c>
      <c r="P17">
        <f t="shared" si="3"/>
        <v>8445.8768384280993</v>
      </c>
      <c r="Q17">
        <f>P17/58.9</f>
        <v>143.39349471015399</v>
      </c>
      <c r="R17" s="32"/>
    </row>
    <row r="18" spans="1:18" ht="17" x14ac:dyDescent="0.2">
      <c r="A18" s="12" t="s">
        <v>41</v>
      </c>
      <c r="B18" s="17">
        <v>6.9717373847961399</v>
      </c>
      <c r="C18" s="16"/>
      <c r="D18" t="s">
        <v>16</v>
      </c>
      <c r="E18">
        <v>8.2307405471801793</v>
      </c>
      <c r="F18">
        <f t="shared" si="0"/>
        <v>33.013005937835601</v>
      </c>
      <c r="G18">
        <f t="shared" si="1"/>
        <v>1650.65029689178</v>
      </c>
      <c r="H18" s="2">
        <f>G18/111.3</f>
        <v>14.830640583034899</v>
      </c>
      <c r="J18" s="9" t="s">
        <v>51</v>
      </c>
      <c r="K18" s="20">
        <v>6.7390551567077601</v>
      </c>
      <c r="L18" s="8"/>
      <c r="M18" s="12" t="s">
        <v>40</v>
      </c>
      <c r="N18">
        <v>4.5434157848358199</v>
      </c>
      <c r="O18">
        <f t="shared" si="2"/>
        <v>367.57147432031798</v>
      </c>
      <c r="P18">
        <f t="shared" si="3"/>
        <v>18378.573716015901</v>
      </c>
      <c r="Q18">
        <f>P18/82.4</f>
        <v>223.040943155533</v>
      </c>
      <c r="R18" s="32"/>
    </row>
    <row r="19" spans="1:18" ht="17" x14ac:dyDescent="0.2">
      <c r="A19" s="12" t="s">
        <v>42</v>
      </c>
      <c r="B19" s="17">
        <v>8.3429965972900408</v>
      </c>
      <c r="C19" s="16">
        <f>(B20+B19)/2</f>
        <v>8.3542971611022896</v>
      </c>
      <c r="D19" t="s">
        <v>17</v>
      </c>
      <c r="E19">
        <v>9.3867340087890607</v>
      </c>
      <c r="F19">
        <f t="shared" si="0"/>
        <v>15.5079116239472</v>
      </c>
      <c r="G19">
        <f t="shared" si="1"/>
        <v>775.39558119735796</v>
      </c>
      <c r="H19" s="2">
        <f>G19/72.1</f>
        <v>10.7544463411561</v>
      </c>
      <c r="J19" s="9" t="s">
        <v>51</v>
      </c>
      <c r="K19" s="20">
        <v>6.4733471870422399</v>
      </c>
      <c r="L19" s="8">
        <f t="shared" si="4"/>
        <v>6.5324640274047896</v>
      </c>
      <c r="M19" s="12" t="s">
        <v>41</v>
      </c>
      <c r="N19">
        <v>5.1846723556518599</v>
      </c>
      <c r="O19">
        <f t="shared" si="2"/>
        <v>241.723822707739</v>
      </c>
      <c r="P19">
        <f t="shared" si="3"/>
        <v>12086.191135387</v>
      </c>
      <c r="Q19">
        <f>P19/59.9</f>
        <v>201.77280693467401</v>
      </c>
      <c r="R19" s="32"/>
    </row>
    <row r="20" spans="1:18" ht="17" x14ac:dyDescent="0.2">
      <c r="A20" s="12" t="s">
        <v>42</v>
      </c>
      <c r="B20" s="17">
        <v>8.3655977249145508</v>
      </c>
      <c r="C20" s="16"/>
      <c r="D20" t="s">
        <v>18</v>
      </c>
      <c r="E20">
        <v>7.8442449569702104</v>
      </c>
      <c r="F20">
        <f t="shared" si="0"/>
        <v>42.500383525517201</v>
      </c>
      <c r="G20">
        <f t="shared" si="1"/>
        <v>2125.01917627586</v>
      </c>
      <c r="H20" s="2">
        <f>G20/141.4</f>
        <v>15.0284241603668</v>
      </c>
      <c r="J20" s="9" t="s">
        <v>51</v>
      </c>
      <c r="K20" s="20">
        <v>6.5915808677673304</v>
      </c>
      <c r="L20" s="8"/>
      <c r="M20" s="12" t="s">
        <v>42</v>
      </c>
      <c r="N20">
        <v>4.9388592243194598</v>
      </c>
      <c r="O20">
        <f t="shared" si="2"/>
        <v>283.85343281860401</v>
      </c>
      <c r="P20">
        <f t="shared" si="3"/>
        <v>14192.671640930201</v>
      </c>
      <c r="Q20">
        <f>P20/55.3</f>
        <v>256.64867343454199</v>
      </c>
      <c r="R20" s="32"/>
    </row>
    <row r="21" spans="1:18" ht="17" x14ac:dyDescent="0.2">
      <c r="A21" s="12" t="s">
        <v>42</v>
      </c>
      <c r="B21" s="15">
        <v>8.4140233993530291</v>
      </c>
      <c r="C21" s="16"/>
      <c r="D21" t="s">
        <v>52</v>
      </c>
      <c r="E21">
        <v>6.6589562892913801</v>
      </c>
      <c r="F21">
        <f t="shared" si="0"/>
        <v>92.2231861498001</v>
      </c>
      <c r="G21">
        <f t="shared" si="1"/>
        <v>4611.1593074900102</v>
      </c>
      <c r="H21" s="2">
        <f>G21/68.4</f>
        <v>67.414609758625801</v>
      </c>
      <c r="J21" s="1" t="s">
        <v>53</v>
      </c>
      <c r="K21" s="20">
        <v>7.6685853004455602</v>
      </c>
      <c r="L21" s="8">
        <f t="shared" si="4"/>
        <v>7.61975121498108</v>
      </c>
      <c r="M21" t="s">
        <v>12</v>
      </c>
      <c r="N21">
        <v>5.5766055583953902</v>
      </c>
      <c r="O21">
        <f t="shared" si="2"/>
        <v>187.09759030033899</v>
      </c>
      <c r="P21">
        <f t="shared" si="3"/>
        <v>9354.8795150169699</v>
      </c>
      <c r="Q21">
        <f>P21/36.8</f>
        <v>254.20868247328701</v>
      </c>
      <c r="R21" s="32"/>
    </row>
    <row r="22" spans="1:18" ht="17" x14ac:dyDescent="0.2">
      <c r="A22" s="12" t="s">
        <v>44</v>
      </c>
      <c r="B22" s="15">
        <v>8.3014183044433594</v>
      </c>
      <c r="C22" s="16"/>
      <c r="D22" t="s">
        <v>54</v>
      </c>
      <c r="E22">
        <v>8.2102532386779803</v>
      </c>
      <c r="F22">
        <f t="shared" si="0"/>
        <v>33.458036133153101</v>
      </c>
      <c r="G22">
        <f t="shared" si="1"/>
        <v>1672.90180665766</v>
      </c>
      <c r="H22" s="2">
        <f>G22/76.8</f>
        <v>21.782575607521601</v>
      </c>
      <c r="J22" s="1" t="s">
        <v>53</v>
      </c>
      <c r="K22" s="20">
        <v>7.5709171295165998</v>
      </c>
      <c r="L22" s="8"/>
      <c r="M22" t="s">
        <v>13</v>
      </c>
      <c r="N22">
        <v>6.1854274272918701</v>
      </c>
      <c r="O22">
        <f t="shared" si="2"/>
        <v>125.676049928887</v>
      </c>
      <c r="P22">
        <f t="shared" si="3"/>
        <v>6283.8024964443503</v>
      </c>
      <c r="Q22">
        <f>P22/80.9</f>
        <v>77.673702057408605</v>
      </c>
      <c r="R22" s="32"/>
    </row>
    <row r="23" spans="1:18" ht="17" x14ac:dyDescent="0.2">
      <c r="A23" s="12" t="s">
        <v>44</v>
      </c>
      <c r="B23" s="17">
        <v>8.4718704223632795</v>
      </c>
      <c r="C23" s="16">
        <f>(B23+B24)/2</f>
        <v>8.5195746421813894</v>
      </c>
      <c r="D23" t="s">
        <v>55</v>
      </c>
      <c r="E23">
        <v>8.7716412544250506</v>
      </c>
      <c r="F23">
        <f t="shared" si="0"/>
        <v>23.1818983162607</v>
      </c>
      <c r="G23">
        <f t="shared" si="1"/>
        <v>1159.09491581303</v>
      </c>
      <c r="H23" s="2">
        <f>G23/61.4</f>
        <v>18.877767358518501</v>
      </c>
      <c r="J23" s="1" t="s">
        <v>53</v>
      </c>
      <c r="K23" s="20">
        <v>7.7799139022827104</v>
      </c>
      <c r="L23" s="8"/>
      <c r="M23" t="s">
        <v>14</v>
      </c>
      <c r="N23">
        <v>5.19378590583801</v>
      </c>
      <c r="O23">
        <f t="shared" si="2"/>
        <v>240.288257904273</v>
      </c>
      <c r="P23">
        <f t="shared" si="3"/>
        <v>12014.4128952137</v>
      </c>
      <c r="Q23">
        <f>P23/56</f>
        <v>214.543087414529</v>
      </c>
      <c r="R23" s="32"/>
    </row>
    <row r="24" spans="1:18" ht="17" x14ac:dyDescent="0.2">
      <c r="A24" s="12" t="s">
        <v>44</v>
      </c>
      <c r="B24" s="17">
        <v>8.5672788619995099</v>
      </c>
      <c r="C24" s="16"/>
      <c r="J24" s="1" t="s">
        <v>56</v>
      </c>
      <c r="K24" s="20">
        <v>8.7308740615844709</v>
      </c>
      <c r="L24" s="8">
        <f>AVERAGE(K24,K26)</f>
        <v>8.4872865676879794</v>
      </c>
      <c r="M24" t="s">
        <v>15</v>
      </c>
      <c r="N24">
        <v>5.9457275867462203</v>
      </c>
      <c r="O24">
        <f t="shared" si="2"/>
        <v>146.99140656223599</v>
      </c>
      <c r="P24">
        <f t="shared" si="3"/>
        <v>7349.5703281118203</v>
      </c>
      <c r="Q24">
        <f>P24/57.4</f>
        <v>128.04129491483999</v>
      </c>
      <c r="R24" s="32"/>
    </row>
    <row r="25" spans="1:18" ht="17" x14ac:dyDescent="0.2">
      <c r="A25" s="12" t="s">
        <v>45</v>
      </c>
      <c r="B25" s="17">
        <v>6.3728566169738796</v>
      </c>
      <c r="C25" s="16">
        <f>(B25+B26)/2</f>
        <v>6.3671784400940004</v>
      </c>
      <c r="J25" s="1" t="s">
        <v>56</v>
      </c>
      <c r="K25" s="20">
        <v>9.6540079116821307</v>
      </c>
      <c r="L25" s="8"/>
      <c r="M25" t="s">
        <v>16</v>
      </c>
      <c r="N25">
        <v>5.5324339866638201</v>
      </c>
      <c r="O25">
        <f t="shared" si="2"/>
        <v>192.57788365354401</v>
      </c>
      <c r="P25">
        <f t="shared" si="3"/>
        <v>9628.8941826771807</v>
      </c>
      <c r="Q25">
        <f>P25/76.3</f>
        <v>126.19782677165399</v>
      </c>
      <c r="R25" s="32"/>
    </row>
    <row r="26" spans="1:18" ht="17" x14ac:dyDescent="0.2">
      <c r="A26" s="12" t="s">
        <v>45</v>
      </c>
      <c r="B26" s="17">
        <v>6.3615002632141104</v>
      </c>
      <c r="C26" s="16"/>
      <c r="J26" s="1" t="s">
        <v>56</v>
      </c>
      <c r="K26" s="20">
        <v>8.2436990737915004</v>
      </c>
      <c r="L26" s="8"/>
    </row>
    <row r="27" spans="1:18" ht="17" x14ac:dyDescent="0.2">
      <c r="A27" s="12" t="s">
        <v>45</v>
      </c>
      <c r="B27" s="15">
        <v>6.4480757713317898</v>
      </c>
      <c r="C27" s="16"/>
      <c r="J27" s="1" t="s">
        <v>57</v>
      </c>
      <c r="K27" s="20">
        <v>8.7740354537963903</v>
      </c>
      <c r="L27" s="8">
        <f>AVERAGE(K27,K28)</f>
        <v>8.9804339408874494</v>
      </c>
    </row>
    <row r="28" spans="1:18" ht="17" x14ac:dyDescent="0.2">
      <c r="A28" s="12" t="s">
        <v>46</v>
      </c>
      <c r="B28" s="17">
        <v>7.1325454711914098</v>
      </c>
      <c r="C28" s="16">
        <f>(B28+B30)/2</f>
        <v>7.1568810939788898</v>
      </c>
      <c r="J28" s="1" t="s">
        <v>57</v>
      </c>
      <c r="K28" s="20">
        <v>9.1868324279785192</v>
      </c>
      <c r="L28" s="8"/>
    </row>
    <row r="29" spans="1:18" ht="17" x14ac:dyDescent="0.2">
      <c r="A29" s="12" t="s">
        <v>46</v>
      </c>
      <c r="B29" s="15">
        <v>7.3284039497375497</v>
      </c>
      <c r="C29" s="16"/>
      <c r="J29" s="1" t="s">
        <v>57</v>
      </c>
      <c r="K29" s="20">
        <v>9.6648464202880895</v>
      </c>
      <c r="L29" s="8"/>
    </row>
    <row r="30" spans="1:18" ht="17" x14ac:dyDescent="0.2">
      <c r="A30" s="12" t="s">
        <v>46</v>
      </c>
      <c r="B30" s="17">
        <v>7.1812167167663601</v>
      </c>
      <c r="C30" s="16"/>
      <c r="J30" s="1" t="s">
        <v>58</v>
      </c>
      <c r="K30" s="20">
        <v>9.5739688873290998</v>
      </c>
      <c r="L30" s="8"/>
    </row>
    <row r="31" spans="1:18" ht="17" x14ac:dyDescent="0.2">
      <c r="A31" s="12" t="s">
        <v>48</v>
      </c>
      <c r="B31" s="15">
        <v>8.0785427093505895</v>
      </c>
      <c r="C31" s="16"/>
      <c r="J31" s="1" t="s">
        <v>58</v>
      </c>
      <c r="K31" s="20">
        <v>9.4502916336059606</v>
      </c>
      <c r="L31" s="8"/>
    </row>
    <row r="32" spans="1:18" ht="17" x14ac:dyDescent="0.2">
      <c r="A32" s="12" t="s">
        <v>48</v>
      </c>
      <c r="B32" s="17">
        <v>7.9879927635192898</v>
      </c>
      <c r="C32" s="16">
        <f>(B32+B33)/2</f>
        <v>7.9654662609100404</v>
      </c>
      <c r="J32" s="1" t="s">
        <v>58</v>
      </c>
      <c r="K32" s="20">
        <v>9.3955173492431605</v>
      </c>
      <c r="L32" s="8">
        <f>AVERAGE(K32,K31)</f>
        <v>9.4229044914245605</v>
      </c>
    </row>
    <row r="33" spans="1:12" ht="17" x14ac:dyDescent="0.2">
      <c r="A33" s="12" t="s">
        <v>48</v>
      </c>
      <c r="B33" s="17">
        <v>7.9429397583007804</v>
      </c>
      <c r="C33" s="16"/>
      <c r="J33" s="1" t="s">
        <v>59</v>
      </c>
      <c r="K33" s="20">
        <v>7.59891557693481</v>
      </c>
      <c r="L33" s="8">
        <f>AVERAGE(K33,K34)</f>
        <v>7.5720858573913601</v>
      </c>
    </row>
    <row r="34" spans="1:12" ht="17" x14ac:dyDescent="0.2">
      <c r="A34" t="s">
        <v>12</v>
      </c>
      <c r="B34" s="17">
        <v>7.9705991744995099</v>
      </c>
      <c r="C34" s="16">
        <f>(B34+B35)/2</f>
        <v>7.96956634521485</v>
      </c>
      <c r="J34" s="1" t="s">
        <v>59</v>
      </c>
      <c r="K34" s="20">
        <v>7.5452561378479004</v>
      </c>
      <c r="L34" s="8"/>
    </row>
    <row r="35" spans="1:12" ht="17" x14ac:dyDescent="0.2">
      <c r="A35" t="s">
        <v>12</v>
      </c>
      <c r="B35" s="17">
        <v>7.9685335159301802</v>
      </c>
      <c r="C35" s="16"/>
      <c r="J35" s="1" t="s">
        <v>59</v>
      </c>
      <c r="K35" s="20">
        <v>7.4794735908508301</v>
      </c>
      <c r="L35" s="8"/>
    </row>
    <row r="36" spans="1:12" ht="17" x14ac:dyDescent="0.2">
      <c r="A36" t="s">
        <v>12</v>
      </c>
      <c r="B36" s="15">
        <v>7.9329180717468297</v>
      </c>
      <c r="C36" s="16"/>
      <c r="J36" s="9" t="s">
        <v>60</v>
      </c>
      <c r="K36" s="20">
        <v>5.9487133026123002</v>
      </c>
      <c r="L36" s="8"/>
    </row>
    <row r="37" spans="1:12" ht="17" x14ac:dyDescent="0.2">
      <c r="A37" t="s">
        <v>13</v>
      </c>
      <c r="B37" s="15">
        <v>8.3766689300537092</v>
      </c>
      <c r="C37" s="16"/>
      <c r="J37" s="9" t="s">
        <v>60</v>
      </c>
      <c r="K37" s="20">
        <v>5.6399598121643102</v>
      </c>
      <c r="L37" s="8">
        <f>AVERAGE(K37,K38)</f>
        <v>5.6589031219482502</v>
      </c>
    </row>
    <row r="38" spans="1:12" ht="17" x14ac:dyDescent="0.2">
      <c r="A38" t="s">
        <v>13</v>
      </c>
      <c r="B38" s="17">
        <v>8.5281314849853498</v>
      </c>
      <c r="C38" s="16">
        <f t="shared" ref="C38:C43" si="5">(B38+B39)/2</f>
        <v>8.5214285850524902</v>
      </c>
      <c r="J38" s="9" t="s">
        <v>60</v>
      </c>
      <c r="K38" s="20">
        <v>5.6778464317321804</v>
      </c>
      <c r="L38" s="8"/>
    </row>
    <row r="39" spans="1:12" ht="17" x14ac:dyDescent="0.2">
      <c r="A39" t="s">
        <v>13</v>
      </c>
      <c r="B39" s="17">
        <v>8.5147256851196307</v>
      </c>
      <c r="C39" s="16"/>
      <c r="J39" s="9" t="s">
        <v>61</v>
      </c>
      <c r="K39" s="20">
        <v>5.2822246551513699</v>
      </c>
      <c r="L39" s="8"/>
    </row>
    <row r="40" spans="1:12" ht="17" x14ac:dyDescent="0.2">
      <c r="A40" t="s">
        <v>14</v>
      </c>
      <c r="B40" s="15">
        <v>8.1288576126098597</v>
      </c>
      <c r="C40" s="16"/>
      <c r="J40" s="9" t="s">
        <v>61</v>
      </c>
      <c r="K40" s="20">
        <v>5.8846697807312003</v>
      </c>
      <c r="L40" s="8">
        <f>AVERAGE(K40,K41)</f>
        <v>5.7916445732116699</v>
      </c>
    </row>
    <row r="41" spans="1:12" ht="17" x14ac:dyDescent="0.2">
      <c r="A41" t="s">
        <v>14</v>
      </c>
      <c r="B41" s="17">
        <v>8.2895374298095703</v>
      </c>
      <c r="C41" s="16">
        <f t="shared" si="5"/>
        <v>8.2956652641296404</v>
      </c>
      <c r="J41" s="9" t="s">
        <v>61</v>
      </c>
      <c r="K41" s="20">
        <v>5.6986193656921396</v>
      </c>
      <c r="L41" s="8"/>
    </row>
    <row r="42" spans="1:12" ht="17" x14ac:dyDescent="0.2">
      <c r="A42" t="s">
        <v>14</v>
      </c>
      <c r="B42" s="17">
        <v>8.3017930984497106</v>
      </c>
      <c r="C42" s="16"/>
      <c r="J42" s="9" t="s">
        <v>62</v>
      </c>
      <c r="K42" s="20">
        <v>4.7630772590637198</v>
      </c>
      <c r="L42" s="8"/>
    </row>
    <row r="43" spans="1:12" ht="17" x14ac:dyDescent="0.2">
      <c r="A43" t="s">
        <v>15</v>
      </c>
      <c r="B43" s="17">
        <v>7.7798838615417498</v>
      </c>
      <c r="C43" s="16">
        <f t="shared" si="5"/>
        <v>7.7789273262023899</v>
      </c>
      <c r="J43" s="9" t="s">
        <v>62</v>
      </c>
      <c r="K43" s="20">
        <v>5.8546161651611301</v>
      </c>
      <c r="L43" s="8">
        <f t="shared" ref="L43:L48" si="6">AVERAGE(K43,K44)</f>
        <v>5.7330017089843697</v>
      </c>
    </row>
    <row r="44" spans="1:12" ht="17" x14ac:dyDescent="0.2">
      <c r="A44" t="s">
        <v>15</v>
      </c>
      <c r="B44" s="17">
        <v>7.7779707908630398</v>
      </c>
      <c r="C44" s="16"/>
      <c r="J44" s="9" t="s">
        <v>62</v>
      </c>
      <c r="K44" s="20">
        <v>5.6113872528076199</v>
      </c>
      <c r="L44" s="8"/>
    </row>
    <row r="45" spans="1:12" ht="17" x14ac:dyDescent="0.2">
      <c r="A45" t="s">
        <v>15</v>
      </c>
      <c r="B45" s="15">
        <v>7.7331914901733398</v>
      </c>
      <c r="C45" s="16"/>
      <c r="J45" s="9" t="s">
        <v>63</v>
      </c>
      <c r="K45" s="20">
        <v>4.8710951805114702</v>
      </c>
      <c r="L45" s="8"/>
    </row>
    <row r="46" spans="1:12" ht="17" x14ac:dyDescent="0.2">
      <c r="A46" t="s">
        <v>16</v>
      </c>
      <c r="B46" s="17">
        <v>8.2978439331054705</v>
      </c>
      <c r="C46" s="16">
        <f>(B46+B48)/2</f>
        <v>8.2307405471801793</v>
      </c>
      <c r="J46" s="9" t="s">
        <v>63</v>
      </c>
      <c r="K46" s="20">
        <v>4.5708594322204599</v>
      </c>
      <c r="L46" s="8">
        <f t="shared" si="6"/>
        <v>4.5434157848358199</v>
      </c>
    </row>
    <row r="47" spans="1:12" ht="17" x14ac:dyDescent="0.2">
      <c r="A47" t="s">
        <v>16</v>
      </c>
      <c r="B47" s="15">
        <v>9.1400270462036097</v>
      </c>
      <c r="C47" s="16"/>
      <c r="J47" s="9" t="s">
        <v>63</v>
      </c>
      <c r="K47" s="20">
        <v>4.5159721374511701</v>
      </c>
      <c r="L47" s="8"/>
    </row>
    <row r="48" spans="1:12" ht="17" x14ac:dyDescent="0.2">
      <c r="A48" t="s">
        <v>16</v>
      </c>
      <c r="B48" s="17">
        <v>8.1636371612548793</v>
      </c>
      <c r="C48" s="16"/>
      <c r="J48" s="9" t="s">
        <v>64</v>
      </c>
      <c r="K48" s="20">
        <v>4.9056949615478498</v>
      </c>
      <c r="L48" s="8">
        <f t="shared" si="6"/>
        <v>5.1846723556518599</v>
      </c>
    </row>
    <row r="49" spans="1:12" ht="17" x14ac:dyDescent="0.2">
      <c r="A49" t="s">
        <v>17</v>
      </c>
      <c r="B49" s="15">
        <v>8.7287492752075195</v>
      </c>
      <c r="C49" s="16"/>
      <c r="J49" s="9" t="s">
        <v>64</v>
      </c>
      <c r="K49" s="20">
        <v>5.4636497497558603</v>
      </c>
      <c r="L49" s="8"/>
    </row>
    <row r="50" spans="1:12" ht="17" x14ac:dyDescent="0.2">
      <c r="A50" t="s">
        <v>17</v>
      </c>
      <c r="B50" s="17">
        <v>9.3457279205322301</v>
      </c>
      <c r="C50" s="16">
        <f>(B50+B51)/2</f>
        <v>9.3867340087890696</v>
      </c>
      <c r="J50" s="9" t="s">
        <v>64</v>
      </c>
      <c r="K50" s="20">
        <v>6.3018393516540501</v>
      </c>
      <c r="L50" s="8"/>
    </row>
    <row r="51" spans="1:12" ht="17" x14ac:dyDescent="0.2">
      <c r="A51" t="s">
        <v>17</v>
      </c>
      <c r="B51" s="17">
        <v>9.4277400970459002</v>
      </c>
      <c r="C51" s="16"/>
      <c r="J51" s="9" t="s">
        <v>65</v>
      </c>
      <c r="K51" s="20">
        <v>4.9558944702148402</v>
      </c>
      <c r="L51" s="8">
        <f>AVERAGE(K51,K52)</f>
        <v>4.93885922431945</v>
      </c>
    </row>
    <row r="52" spans="1:12" ht="17" x14ac:dyDescent="0.2">
      <c r="A52" t="s">
        <v>18</v>
      </c>
      <c r="B52" s="15">
        <v>7.5233635902404803</v>
      </c>
      <c r="C52" s="16"/>
      <c r="J52" s="9" t="s">
        <v>65</v>
      </c>
      <c r="K52" s="20">
        <v>4.9218239784240696</v>
      </c>
      <c r="L52" s="8"/>
    </row>
    <row r="53" spans="1:12" ht="17" x14ac:dyDescent="0.2">
      <c r="A53" t="s">
        <v>18</v>
      </c>
      <c r="B53" s="17">
        <v>7.7566881179809597</v>
      </c>
      <c r="C53" s="16">
        <f>(B53+B54)/2</f>
        <v>7.8442449569702104</v>
      </c>
      <c r="J53" s="9" t="s">
        <v>65</v>
      </c>
      <c r="K53" s="20">
        <v>4.8257751464843697</v>
      </c>
      <c r="L53" s="8"/>
    </row>
    <row r="54" spans="1:12" ht="17" x14ac:dyDescent="0.2">
      <c r="A54" t="s">
        <v>18</v>
      </c>
      <c r="B54" s="17">
        <v>7.93180179595947</v>
      </c>
      <c r="C54" s="16"/>
      <c r="J54" s="1" t="s">
        <v>66</v>
      </c>
      <c r="K54" s="20">
        <v>5.5269961357116699</v>
      </c>
      <c r="L54" s="8"/>
    </row>
    <row r="55" spans="1:12" ht="17" x14ac:dyDescent="0.2">
      <c r="A55" t="s">
        <v>52</v>
      </c>
      <c r="B55" s="15">
        <v>6.9576582908630398</v>
      </c>
      <c r="C55" s="16"/>
      <c r="J55" s="1" t="s">
        <v>66</v>
      </c>
      <c r="K55" s="20">
        <v>5.4952144622802699</v>
      </c>
      <c r="L55" s="8">
        <f>AVERAGE(K55,K56)</f>
        <v>5.5766055583953804</v>
      </c>
    </row>
    <row r="56" spans="1:12" ht="17" x14ac:dyDescent="0.2">
      <c r="A56" t="s">
        <v>52</v>
      </c>
      <c r="B56" s="17">
        <v>6.55810594558716</v>
      </c>
      <c r="C56" s="16">
        <f>(B56+B57)/2</f>
        <v>6.6589562892913898</v>
      </c>
      <c r="J56" s="1" t="s">
        <v>66</v>
      </c>
      <c r="K56" s="20">
        <v>5.6579966545104998</v>
      </c>
      <c r="L56" s="8"/>
    </row>
    <row r="57" spans="1:12" ht="17" x14ac:dyDescent="0.2">
      <c r="A57" t="s">
        <v>52</v>
      </c>
      <c r="B57" s="17">
        <v>6.7598066329956099</v>
      </c>
      <c r="C57" s="16"/>
      <c r="J57" s="1" t="s">
        <v>67</v>
      </c>
      <c r="K57" s="20">
        <v>6.96642971038818</v>
      </c>
      <c r="L57" s="8"/>
    </row>
    <row r="58" spans="1:12" ht="17" x14ac:dyDescent="0.2">
      <c r="A58" t="s">
        <v>54</v>
      </c>
      <c r="B58" s="17">
        <v>8.2080144882202095</v>
      </c>
      <c r="C58" s="16">
        <f>(B58+B60)/2</f>
        <v>8.2102532386779696</v>
      </c>
      <c r="J58" s="1" t="s">
        <v>67</v>
      </c>
      <c r="K58" s="20">
        <v>6.1239991188049299</v>
      </c>
      <c r="L58" s="8">
        <f t="shared" ref="L58:L63" si="7">AVERAGE(K58,K59)</f>
        <v>6.1854274272918701</v>
      </c>
    </row>
    <row r="59" spans="1:12" ht="17" x14ac:dyDescent="0.2">
      <c r="A59" t="s">
        <v>54</v>
      </c>
      <c r="B59" s="15">
        <v>8.1804389953613299</v>
      </c>
      <c r="C59" s="16"/>
      <c r="J59" s="1" t="s">
        <v>67</v>
      </c>
      <c r="K59" s="20">
        <v>6.2468557357788104</v>
      </c>
      <c r="L59" s="8"/>
    </row>
    <row r="60" spans="1:12" ht="17" x14ac:dyDescent="0.2">
      <c r="A60" t="s">
        <v>54</v>
      </c>
      <c r="B60" s="17">
        <v>8.2124919891357404</v>
      </c>
      <c r="C60" s="16"/>
      <c r="J60" s="1" t="s">
        <v>68</v>
      </c>
      <c r="K60" s="20">
        <v>6.03588819503784</v>
      </c>
      <c r="L60" s="8"/>
    </row>
    <row r="61" spans="1:12" ht="17" x14ac:dyDescent="0.2">
      <c r="A61" t="s">
        <v>55</v>
      </c>
      <c r="B61" s="17">
        <v>8.6529207229614293</v>
      </c>
      <c r="C61" s="16">
        <f>(B61+B62)/2</f>
        <v>8.7716412544250506</v>
      </c>
      <c r="J61" s="1" t="s">
        <v>68</v>
      </c>
      <c r="K61" s="20">
        <v>5.03072309494019</v>
      </c>
      <c r="L61" s="8">
        <f t="shared" si="7"/>
        <v>5.19378590583801</v>
      </c>
    </row>
    <row r="62" spans="1:12" ht="17" x14ac:dyDescent="0.2">
      <c r="A62" t="s">
        <v>55</v>
      </c>
      <c r="B62" s="17">
        <v>8.8903617858886701</v>
      </c>
      <c r="C62" s="16"/>
      <c r="J62" s="1" t="s">
        <v>68</v>
      </c>
      <c r="K62" s="20">
        <v>5.3568487167358398</v>
      </c>
      <c r="L62" s="8"/>
    </row>
    <row r="63" spans="1:12" ht="17" x14ac:dyDescent="0.2">
      <c r="A63" t="s">
        <v>55</v>
      </c>
      <c r="B63" s="15">
        <v>9.3281269073486293</v>
      </c>
      <c r="C63" s="16"/>
      <c r="J63" s="1" t="s">
        <v>69</v>
      </c>
      <c r="K63" s="20">
        <v>5.9132618904113796</v>
      </c>
      <c r="L63" s="8">
        <f t="shared" si="7"/>
        <v>5.9457275867462096</v>
      </c>
    </row>
    <row r="64" spans="1:12" ht="17" x14ac:dyDescent="0.2">
      <c r="A64" s="9" t="s">
        <v>70</v>
      </c>
      <c r="B64" s="15">
        <v>25.5120334625244</v>
      </c>
      <c r="C64" s="8"/>
      <c r="J64" s="1" t="s">
        <v>69</v>
      </c>
      <c r="K64" s="20">
        <v>5.9781932830810502</v>
      </c>
      <c r="L64" s="8"/>
    </row>
    <row r="65" spans="1:12" ht="17" x14ac:dyDescent="0.2">
      <c r="A65" s="9" t="s">
        <v>70</v>
      </c>
      <c r="B65" s="15">
        <v>29.754177093505898</v>
      </c>
      <c r="C65" s="8"/>
      <c r="J65" s="1" t="s">
        <v>69</v>
      </c>
      <c r="K65" s="20">
        <v>5.6792745590209996</v>
      </c>
      <c r="L65" s="8"/>
    </row>
    <row r="66" spans="1:12" ht="17" x14ac:dyDescent="0.2">
      <c r="A66" s="9" t="s">
        <v>70</v>
      </c>
      <c r="B66" s="15">
        <v>29.7347927093506</v>
      </c>
      <c r="C66" s="8"/>
      <c r="J66" s="1" t="s">
        <v>71</v>
      </c>
      <c r="K66" s="20">
        <v>5.5337233543395996</v>
      </c>
      <c r="L66" s="8">
        <f>AVERAGE(K66,K67)</f>
        <v>5.5324339866638201</v>
      </c>
    </row>
    <row r="67" spans="1:12" ht="17" x14ac:dyDescent="0.15">
      <c r="A67" s="1"/>
      <c r="B67" s="7"/>
      <c r="C67" s="8"/>
      <c r="J67" s="1" t="s">
        <v>71</v>
      </c>
      <c r="K67" s="20">
        <v>5.5311446189880398</v>
      </c>
      <c r="L67" s="8"/>
    </row>
    <row r="68" spans="1:12" ht="17" x14ac:dyDescent="0.15">
      <c r="A68" s="1"/>
      <c r="B68" s="7"/>
      <c r="C68" s="8"/>
      <c r="J68" s="1" t="s">
        <v>71</v>
      </c>
      <c r="K68" s="20">
        <v>5.4521613121032697</v>
      </c>
      <c r="L68" s="8"/>
    </row>
    <row r="69" spans="1:12" x14ac:dyDescent="0.15">
      <c r="A69" s="1"/>
      <c r="B69" s="7"/>
      <c r="C69" s="8"/>
      <c r="J69" s="3" t="s">
        <v>72</v>
      </c>
      <c r="K69" s="20">
        <v>28.070981979370099</v>
      </c>
      <c r="L69" s="8"/>
    </row>
    <row r="70" spans="1:12" x14ac:dyDescent="0.15">
      <c r="A70" s="1"/>
      <c r="B70" s="7"/>
      <c r="C70" s="8"/>
      <c r="J70" s="3" t="s">
        <v>72</v>
      </c>
      <c r="K70" s="20">
        <v>25.54709815979</v>
      </c>
      <c r="L70" s="8"/>
    </row>
    <row r="71" spans="1:12" x14ac:dyDescent="0.15">
      <c r="A71" s="1"/>
      <c r="B71" s="7"/>
      <c r="C71" s="8"/>
      <c r="J71" s="3" t="s">
        <v>72</v>
      </c>
      <c r="K71" s="20">
        <v>28.485378265380898</v>
      </c>
      <c r="L71" s="8"/>
    </row>
    <row r="72" spans="1:12" x14ac:dyDescent="0.2">
      <c r="A72" s="1"/>
      <c r="B72" s="7"/>
      <c r="C72" s="8"/>
      <c r="K72" s="7"/>
      <c r="L72" s="8"/>
    </row>
    <row r="73" spans="1:12" x14ac:dyDescent="0.2">
      <c r="A73" s="1"/>
      <c r="B73" s="7"/>
      <c r="C73" s="8"/>
      <c r="K73" s="7"/>
      <c r="L73" s="8"/>
    </row>
    <row r="74" spans="1:12" x14ac:dyDescent="0.2">
      <c r="A74" s="1"/>
      <c r="B74" s="7"/>
      <c r="C74" s="8"/>
      <c r="K74" s="7"/>
      <c r="L74" s="8"/>
    </row>
  </sheetData>
  <mergeCells count="8">
    <mergeCell ref="R4:R14"/>
    <mergeCell ref="R15:R25"/>
    <mergeCell ref="A1:B1"/>
    <mergeCell ref="C1:H1"/>
    <mergeCell ref="J1:K1"/>
    <mergeCell ref="L1:R1"/>
    <mergeCell ref="D2:H2"/>
    <mergeCell ref="M2:R2"/>
  </mergeCells>
  <pageMargins left="0.75" right="0.75" top="1" bottom="1" header="0.5" footer="0.5"/>
  <drawing r:id="rId1"/>
  <legacyDrawing r:id="rId2"/>
  <oleObjects>
    <mc:AlternateContent xmlns:mc="http://schemas.openxmlformats.org/markup-compatibility/2006">
      <mc:Choice Requires="x14">
        <oleObject progId="Prism8.Document" shapeId="1025" r:id="rId3">
          <objectPr defaultSize="0" altText="" r:id="rId4">
            <anchor moveWithCells="1" sizeWithCells="1">
              <from>
                <xdr:col>13</xdr:col>
                <xdr:colOff>215900</xdr:colOff>
                <xdr:row>24</xdr:row>
                <xdr:rowOff>88900</xdr:rowOff>
              </from>
              <to>
                <xdr:col>18</xdr:col>
                <xdr:colOff>266700</xdr:colOff>
                <xdr:row>40</xdr:row>
                <xdr:rowOff>190500</xdr:rowOff>
              </to>
            </anchor>
          </objectPr>
        </oleObject>
      </mc:Choice>
      <mc:Fallback>
        <oleObject progId="Prism8.Document" shapeId="1025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4"/>
  <sheetViews>
    <sheetView topLeftCell="A16" workbookViewId="0">
      <selection activeCell="E47" sqref="E47"/>
    </sheetView>
  </sheetViews>
  <sheetFormatPr baseColWidth="10" defaultColWidth="9" defaultRowHeight="15" x14ac:dyDescent="0.2"/>
  <cols>
    <col min="1" max="1" width="13.1640625" customWidth="1"/>
  </cols>
  <sheetData>
    <row r="1" spans="1:22" x14ac:dyDescent="0.2">
      <c r="A1" t="s">
        <v>27</v>
      </c>
      <c r="B1" t="s">
        <v>73</v>
      </c>
      <c r="C1" t="s">
        <v>74</v>
      </c>
      <c r="D1" t="s">
        <v>75</v>
      </c>
      <c r="E1" t="s">
        <v>76</v>
      </c>
      <c r="F1" t="s">
        <v>77</v>
      </c>
      <c r="G1" t="s">
        <v>78</v>
      </c>
      <c r="H1" t="s">
        <v>79</v>
      </c>
      <c r="I1" t="s">
        <v>80</v>
      </c>
      <c r="J1" t="s">
        <v>81</v>
      </c>
      <c r="K1" t="s">
        <v>82</v>
      </c>
      <c r="L1" t="s">
        <v>83</v>
      </c>
      <c r="M1" t="s">
        <v>84</v>
      </c>
      <c r="N1" t="s">
        <v>85</v>
      </c>
      <c r="O1" t="s">
        <v>86</v>
      </c>
      <c r="P1" t="s">
        <v>87</v>
      </c>
      <c r="Q1" t="s">
        <v>88</v>
      </c>
      <c r="R1" t="s">
        <v>89</v>
      </c>
      <c r="S1" t="s">
        <v>90</v>
      </c>
      <c r="T1" t="s">
        <v>91</v>
      </c>
      <c r="U1" t="s">
        <v>92</v>
      </c>
      <c r="V1" t="s">
        <v>93</v>
      </c>
    </row>
    <row r="2" spans="1:22" ht="17" x14ac:dyDescent="0.2">
      <c r="A2" t="s">
        <v>12</v>
      </c>
      <c r="B2" t="s">
        <v>94</v>
      </c>
      <c r="C2">
        <v>3.8800000000000001E-2</v>
      </c>
      <c r="D2">
        <v>-2.6200000000000001E-2</v>
      </c>
      <c r="E2">
        <v>3.5000000000000001E-3</v>
      </c>
      <c r="F2">
        <v>-4.7999999999999996E-3</v>
      </c>
      <c r="G2">
        <v>4.8300000000000003E-2</v>
      </c>
      <c r="H2">
        <v>-9.4999999999999998E-3</v>
      </c>
      <c r="I2">
        <v>2.1999999999999999E-2</v>
      </c>
      <c r="J2">
        <v>-6.0100000000000001E-2</v>
      </c>
      <c r="K2">
        <v>-9.2100000000000001E-2</v>
      </c>
      <c r="L2">
        <v>3.4500000000000003E-2</v>
      </c>
      <c r="M2">
        <v>-9.7000000000000003E-3</v>
      </c>
      <c r="N2">
        <v>-4.9799999999999997E-2</v>
      </c>
      <c r="O2">
        <v>1.0699999999999999E-2</v>
      </c>
      <c r="P2">
        <v>-5.2600000000000001E-2</v>
      </c>
      <c r="Q2">
        <v>-1.52E-2</v>
      </c>
      <c r="R2">
        <v>1.15E-2</v>
      </c>
      <c r="S2">
        <v>-3.3999999999999998E-3</v>
      </c>
      <c r="T2">
        <v>1.6000000000000001E-3</v>
      </c>
      <c r="U2">
        <v>8.9999999999999993E-3</v>
      </c>
      <c r="V2">
        <v>0</v>
      </c>
    </row>
    <row r="3" spans="1:22" ht="17" x14ac:dyDescent="0.2">
      <c r="A3" t="s">
        <v>55</v>
      </c>
      <c r="B3" t="s">
        <v>94</v>
      </c>
      <c r="C3">
        <v>5.5300000000000002E-2</v>
      </c>
      <c r="D3">
        <v>-3.4200000000000001E-2</v>
      </c>
      <c r="E3">
        <v>-1.0999999999999999E-2</v>
      </c>
      <c r="F3">
        <v>-5.0000000000000001E-4</v>
      </c>
      <c r="G3">
        <v>-2.58E-2</v>
      </c>
      <c r="H3">
        <v>6.3299999999999995E-2</v>
      </c>
      <c r="I3">
        <v>-3.1300000000000001E-2</v>
      </c>
      <c r="J3">
        <v>-1.4200000000000001E-2</v>
      </c>
      <c r="K3">
        <v>-3.5099999999999999E-2</v>
      </c>
      <c r="L3">
        <v>-5.5800000000000002E-2</v>
      </c>
      <c r="M3">
        <v>2.0199999999999999E-2</v>
      </c>
      <c r="N3">
        <v>3.5099999999999999E-2</v>
      </c>
      <c r="O3">
        <v>3.1300000000000001E-2</v>
      </c>
      <c r="P3">
        <v>1.83E-2</v>
      </c>
      <c r="Q3">
        <v>-7.2400000000000006E-2</v>
      </c>
      <c r="R3">
        <v>-6.8999999999999999E-3</v>
      </c>
      <c r="S3">
        <v>6.3E-3</v>
      </c>
      <c r="T3">
        <v>-7.1999999999999998E-3</v>
      </c>
      <c r="U3">
        <v>4.3E-3</v>
      </c>
      <c r="V3">
        <v>0</v>
      </c>
    </row>
    <row r="4" spans="1:22" ht="17" x14ac:dyDescent="0.2">
      <c r="A4" t="s">
        <v>13</v>
      </c>
      <c r="B4" t="s">
        <v>94</v>
      </c>
      <c r="C4">
        <v>0.1067</v>
      </c>
      <c r="D4">
        <v>-3.5700000000000003E-2</v>
      </c>
      <c r="E4">
        <v>1.24E-2</v>
      </c>
      <c r="F4">
        <v>-2.3699999999999999E-2</v>
      </c>
      <c r="G4">
        <v>3.9800000000000002E-2</v>
      </c>
      <c r="H4">
        <v>8.3999999999999995E-3</v>
      </c>
      <c r="I4">
        <v>1.1299999999999999E-2</v>
      </c>
      <c r="J4">
        <v>1.3599999999999999E-2</v>
      </c>
      <c r="K4">
        <v>-1.1299999999999999E-2</v>
      </c>
      <c r="L4">
        <v>-4.41E-2</v>
      </c>
      <c r="M4">
        <v>-4.0099999999999997E-2</v>
      </c>
      <c r="N4">
        <v>-2.5100000000000001E-2</v>
      </c>
      <c r="O4">
        <v>8.9999999999999998E-4</v>
      </c>
      <c r="P4">
        <v>3.4700000000000002E-2</v>
      </c>
      <c r="Q4">
        <v>3.6499999999999998E-2</v>
      </c>
      <c r="R4">
        <v>-3.5200000000000002E-2</v>
      </c>
      <c r="S4">
        <v>2.07E-2</v>
      </c>
      <c r="T4">
        <v>2.0500000000000001E-2</v>
      </c>
      <c r="U4">
        <v>2.3400000000000001E-2</v>
      </c>
      <c r="V4">
        <v>0</v>
      </c>
    </row>
    <row r="5" spans="1:22" ht="17" x14ac:dyDescent="0.2">
      <c r="A5" t="s">
        <v>14</v>
      </c>
      <c r="B5" t="s">
        <v>94</v>
      </c>
      <c r="C5">
        <v>8.6599999999999996E-2</v>
      </c>
      <c r="D5">
        <v>-4.4699999999999997E-2</v>
      </c>
      <c r="E5">
        <v>-1.26E-2</v>
      </c>
      <c r="F5">
        <v>-8.8000000000000005E-3</v>
      </c>
      <c r="G5">
        <v>4.4699999999999997E-2</v>
      </c>
      <c r="H5">
        <v>1.01E-2</v>
      </c>
      <c r="I5">
        <v>7.8299999999999995E-2</v>
      </c>
      <c r="J5">
        <v>-3.9699999999999999E-2</v>
      </c>
      <c r="K5">
        <v>5.4000000000000003E-3</v>
      </c>
      <c r="L5">
        <v>3.0099999999999998E-2</v>
      </c>
      <c r="M5">
        <v>-2.9999999999999997E-4</v>
      </c>
      <c r="N5">
        <v>8.14E-2</v>
      </c>
      <c r="O5">
        <v>1.0800000000000001E-2</v>
      </c>
      <c r="P5">
        <v>-9.9000000000000008E-3</v>
      </c>
      <c r="Q5">
        <v>2.2100000000000002E-2</v>
      </c>
      <c r="R5">
        <v>-1.3100000000000001E-2</v>
      </c>
      <c r="S5">
        <v>2.0299999999999999E-2</v>
      </c>
      <c r="T5">
        <v>-5.7000000000000002E-3</v>
      </c>
      <c r="U5">
        <v>-1.7500000000000002E-2</v>
      </c>
      <c r="V5">
        <v>0</v>
      </c>
    </row>
    <row r="6" spans="1:22" ht="17" x14ac:dyDescent="0.2">
      <c r="A6" t="s">
        <v>15</v>
      </c>
      <c r="B6" t="s">
        <v>94</v>
      </c>
      <c r="C6">
        <v>0.11409999999999999</v>
      </c>
      <c r="D6">
        <v>-2.3599999999999999E-2</v>
      </c>
      <c r="E6">
        <v>4.9799999999999997E-2</v>
      </c>
      <c r="F6">
        <v>-4.58E-2</v>
      </c>
      <c r="G6">
        <v>-2.24E-2</v>
      </c>
      <c r="H6">
        <v>-4.1799999999999997E-2</v>
      </c>
      <c r="I6">
        <v>1.37E-2</v>
      </c>
      <c r="J6">
        <v>-8.0000000000000002E-3</v>
      </c>
      <c r="K6">
        <v>-4.53E-2</v>
      </c>
      <c r="L6">
        <v>-4.8999999999999998E-3</v>
      </c>
      <c r="M6">
        <v>3.1099999999999999E-2</v>
      </c>
      <c r="N6">
        <v>-1.9199999999999998E-2</v>
      </c>
      <c r="O6">
        <v>-4.3900000000000002E-2</v>
      </c>
      <c r="P6">
        <v>6.1199999999999997E-2</v>
      </c>
      <c r="Q6">
        <v>1.24E-2</v>
      </c>
      <c r="R6">
        <v>2.8199999999999999E-2</v>
      </c>
      <c r="S6">
        <v>-1.15E-2</v>
      </c>
      <c r="T6">
        <v>-1.7500000000000002E-2</v>
      </c>
      <c r="U6">
        <v>-1.4999999999999999E-2</v>
      </c>
      <c r="V6">
        <v>0</v>
      </c>
    </row>
    <row r="7" spans="1:22" ht="17" x14ac:dyDescent="0.2">
      <c r="A7" t="s">
        <v>16</v>
      </c>
      <c r="B7" t="s">
        <v>94</v>
      </c>
      <c r="C7">
        <v>-0.1515</v>
      </c>
      <c r="D7">
        <v>-7.9600000000000004E-2</v>
      </c>
      <c r="E7">
        <v>-4.8899999999999999E-2</v>
      </c>
      <c r="F7">
        <v>-0.1144</v>
      </c>
      <c r="G7">
        <v>9.3700000000000006E-2</v>
      </c>
      <c r="H7">
        <v>-7.4200000000000002E-2</v>
      </c>
      <c r="I7">
        <v>-2.6599999999999999E-2</v>
      </c>
      <c r="J7">
        <v>8.0000000000000002E-3</v>
      </c>
      <c r="K7">
        <v>3.3799999999999997E-2</v>
      </c>
      <c r="L7">
        <v>-2.0999999999999999E-3</v>
      </c>
      <c r="M7">
        <v>3.6700000000000003E-2</v>
      </c>
      <c r="N7">
        <v>1.6899999999999998E-2</v>
      </c>
      <c r="O7">
        <v>-6.7999999999999996E-3</v>
      </c>
      <c r="P7">
        <v>2.9999999999999997E-4</v>
      </c>
      <c r="Q7">
        <v>-1.2999999999999999E-2</v>
      </c>
      <c r="R7">
        <v>4.4999999999999997E-3</v>
      </c>
      <c r="S7">
        <v>-8.0000000000000002E-3</v>
      </c>
      <c r="T7">
        <v>2.3E-3</v>
      </c>
      <c r="U7">
        <v>1.1900000000000001E-2</v>
      </c>
      <c r="V7">
        <v>0</v>
      </c>
    </row>
    <row r="8" spans="1:22" ht="17" x14ac:dyDescent="0.2">
      <c r="A8" t="s">
        <v>17</v>
      </c>
      <c r="B8" t="s">
        <v>94</v>
      </c>
      <c r="C8">
        <v>-8.6900000000000005E-2</v>
      </c>
      <c r="D8">
        <v>-3.73E-2</v>
      </c>
      <c r="E8">
        <v>-7.2900000000000006E-2</v>
      </c>
      <c r="F8">
        <v>-7.9299999999999995E-2</v>
      </c>
      <c r="G8">
        <v>-0.1143</v>
      </c>
      <c r="H8">
        <v>2.2800000000000001E-2</v>
      </c>
      <c r="I8">
        <v>0.1031</v>
      </c>
      <c r="J8">
        <v>1.83E-2</v>
      </c>
      <c r="K8">
        <v>3.1399999999999997E-2</v>
      </c>
      <c r="L8">
        <v>-5.0000000000000001E-4</v>
      </c>
      <c r="M8">
        <v>-2.2100000000000002E-2</v>
      </c>
      <c r="N8">
        <v>-3.4099999999999998E-2</v>
      </c>
      <c r="O8">
        <v>7.1000000000000004E-3</v>
      </c>
      <c r="P8">
        <v>-4.7999999999999996E-3</v>
      </c>
      <c r="Q8">
        <v>-1.24E-2</v>
      </c>
      <c r="R8">
        <v>5.8999999999999999E-3</v>
      </c>
      <c r="S8">
        <v>3.0999999999999999E-3</v>
      </c>
      <c r="T8">
        <v>-2.8E-3</v>
      </c>
      <c r="U8">
        <v>1E-3</v>
      </c>
      <c r="V8">
        <v>0</v>
      </c>
    </row>
    <row r="9" spans="1:22" ht="17" x14ac:dyDescent="0.2">
      <c r="A9" t="s">
        <v>18</v>
      </c>
      <c r="B9" t="s">
        <v>94</v>
      </c>
      <c r="C9">
        <v>-0.14280000000000001</v>
      </c>
      <c r="D9">
        <v>-0.1085</v>
      </c>
      <c r="E9">
        <v>-1.61E-2</v>
      </c>
      <c r="F9">
        <v>6.6299999999999998E-2</v>
      </c>
      <c r="G9">
        <v>-1E-4</v>
      </c>
      <c r="H9">
        <v>7.4300000000000005E-2</v>
      </c>
      <c r="I9">
        <v>-4.8399999999999999E-2</v>
      </c>
      <c r="J9">
        <v>-5.6099999999999997E-2</v>
      </c>
      <c r="K9">
        <v>1.9599999999999999E-2</v>
      </c>
      <c r="L9">
        <v>-1.44E-2</v>
      </c>
      <c r="M9">
        <v>6.9999999999999999E-4</v>
      </c>
      <c r="N9">
        <v>-1.8700000000000001E-2</v>
      </c>
      <c r="O9">
        <v>2.87E-2</v>
      </c>
      <c r="P9">
        <v>1.09E-2</v>
      </c>
      <c r="Q9">
        <v>4.6100000000000002E-2</v>
      </c>
      <c r="R9">
        <v>2.06E-2</v>
      </c>
      <c r="S9">
        <v>-4.1999999999999997E-3</v>
      </c>
      <c r="T9">
        <v>-1.23E-2</v>
      </c>
      <c r="U9">
        <v>-4.5999999999999999E-3</v>
      </c>
      <c r="V9">
        <v>0</v>
      </c>
    </row>
    <row r="10" spans="1:22" ht="17" x14ac:dyDescent="0.2">
      <c r="A10" t="s">
        <v>52</v>
      </c>
      <c r="B10" t="s">
        <v>94</v>
      </c>
      <c r="C10">
        <v>5.6599999999999998E-2</v>
      </c>
      <c r="D10">
        <v>-3.2300000000000002E-2</v>
      </c>
      <c r="E10">
        <v>-1.6E-2</v>
      </c>
      <c r="F10">
        <v>4.0599999999999997E-2</v>
      </c>
      <c r="G10">
        <v>-2.2800000000000001E-2</v>
      </c>
      <c r="H10">
        <v>5.33E-2</v>
      </c>
      <c r="I10">
        <v>-5.7999999999999996E-3</v>
      </c>
      <c r="J10">
        <v>8.43E-2</v>
      </c>
      <c r="K10">
        <v>-1.2200000000000001E-2</v>
      </c>
      <c r="L10">
        <v>7.0300000000000001E-2</v>
      </c>
      <c r="M10">
        <v>7.5700000000000003E-2</v>
      </c>
      <c r="N10">
        <v>-1.6999999999999999E-3</v>
      </c>
      <c r="O10">
        <v>1.06E-2</v>
      </c>
      <c r="P10">
        <v>2.0999999999999999E-3</v>
      </c>
      <c r="Q10">
        <v>1.2E-2</v>
      </c>
      <c r="R10">
        <v>-1.1900000000000001E-2</v>
      </c>
      <c r="S10">
        <v>-9.1999999999999998E-3</v>
      </c>
      <c r="T10">
        <v>1.09E-2</v>
      </c>
      <c r="U10">
        <v>1.06E-2</v>
      </c>
      <c r="V10">
        <v>0</v>
      </c>
    </row>
    <row r="11" spans="1:22" ht="17" x14ac:dyDescent="0.2">
      <c r="A11" t="s">
        <v>54</v>
      </c>
      <c r="B11" t="s">
        <v>94</v>
      </c>
      <c r="C11">
        <v>6.2199999999999998E-2</v>
      </c>
      <c r="D11">
        <v>-6.5699999999999995E-2</v>
      </c>
      <c r="E11">
        <v>-2.3400000000000001E-2</v>
      </c>
      <c r="F11">
        <v>-2.8400000000000002E-2</v>
      </c>
      <c r="G11">
        <v>-7.6E-3</v>
      </c>
      <c r="H11">
        <v>4.0599999999999997E-2</v>
      </c>
      <c r="I11">
        <v>-7.5800000000000006E-2</v>
      </c>
      <c r="J11">
        <v>1.24E-2</v>
      </c>
      <c r="K11">
        <v>2.1299999999999999E-2</v>
      </c>
      <c r="L11">
        <v>2.52E-2</v>
      </c>
      <c r="M11">
        <v>-4.99E-2</v>
      </c>
      <c r="N11">
        <v>-9.7000000000000003E-3</v>
      </c>
      <c r="O11">
        <v>-6.6900000000000001E-2</v>
      </c>
      <c r="P11">
        <v>-2.1000000000000001E-2</v>
      </c>
      <c r="Q11">
        <v>-1.7600000000000001E-2</v>
      </c>
      <c r="R11">
        <v>-2.2100000000000002E-2</v>
      </c>
      <c r="S11">
        <v>-5.0000000000000001E-3</v>
      </c>
      <c r="T11">
        <v>7.7999999999999996E-3</v>
      </c>
      <c r="U11">
        <v>-2.0299999999999999E-2</v>
      </c>
      <c r="V11">
        <v>0</v>
      </c>
    </row>
    <row r="12" spans="1:22" x14ac:dyDescent="0.2">
      <c r="A12" t="s">
        <v>95</v>
      </c>
      <c r="B12" t="s">
        <v>96</v>
      </c>
      <c r="C12">
        <v>-5.79E-2</v>
      </c>
      <c r="D12">
        <v>0.18759999999999999</v>
      </c>
      <c r="E12">
        <v>-4.1000000000000002E-2</v>
      </c>
      <c r="F12">
        <v>-3.2599999999999997E-2</v>
      </c>
      <c r="G12">
        <v>9.0999999999999998E-2</v>
      </c>
      <c r="H12">
        <v>8.0699999999999994E-2</v>
      </c>
      <c r="I12">
        <v>1.6E-2</v>
      </c>
      <c r="J12">
        <v>-6.4000000000000003E-3</v>
      </c>
      <c r="K12">
        <v>1.44E-2</v>
      </c>
      <c r="L12">
        <v>-1.4E-3</v>
      </c>
      <c r="M12">
        <v>1.7999999999999999E-2</v>
      </c>
      <c r="N12">
        <v>-3.2399999999999998E-2</v>
      </c>
      <c r="O12">
        <v>-2.0999999999999999E-3</v>
      </c>
      <c r="P12">
        <v>1.66E-2</v>
      </c>
      <c r="Q12">
        <v>-4.8999999999999998E-3</v>
      </c>
      <c r="R12">
        <v>-5.1000000000000004E-3</v>
      </c>
      <c r="S12">
        <v>2.3999999999999998E-3</v>
      </c>
      <c r="T12">
        <v>-6.9999999999999999E-4</v>
      </c>
      <c r="U12">
        <v>-1.3100000000000001E-2</v>
      </c>
      <c r="V12">
        <v>0</v>
      </c>
    </row>
    <row r="13" spans="1:22" x14ac:dyDescent="0.2">
      <c r="A13" t="s">
        <v>97</v>
      </c>
      <c r="B13" t="s">
        <v>96</v>
      </c>
      <c r="C13">
        <v>-4.2799999999999998E-2</v>
      </c>
      <c r="D13">
        <v>1.4999999999999999E-2</v>
      </c>
      <c r="E13">
        <v>1.1999999999999999E-3</v>
      </c>
      <c r="F13">
        <v>0.1137</v>
      </c>
      <c r="G13">
        <v>-9.9000000000000008E-3</v>
      </c>
      <c r="H13">
        <v>-6.0199999999999997E-2</v>
      </c>
      <c r="I13">
        <v>2.2800000000000001E-2</v>
      </c>
      <c r="J13">
        <v>-6.5000000000000002E-2</v>
      </c>
      <c r="K13">
        <v>3.9399999999999998E-2</v>
      </c>
      <c r="L13">
        <v>4.2599999999999999E-2</v>
      </c>
      <c r="M13">
        <v>-1.2699999999999999E-2</v>
      </c>
      <c r="N13">
        <v>-6.7000000000000002E-3</v>
      </c>
      <c r="O13">
        <v>-2.8E-3</v>
      </c>
      <c r="P13">
        <v>4.3400000000000001E-2</v>
      </c>
      <c r="Q13">
        <v>-3.39E-2</v>
      </c>
      <c r="R13">
        <v>-1.8499999999999999E-2</v>
      </c>
      <c r="S13">
        <v>-1.5299999999999999E-2</v>
      </c>
      <c r="T13">
        <v>1.7899999999999999E-2</v>
      </c>
      <c r="U13">
        <v>4.3E-3</v>
      </c>
      <c r="V13">
        <v>0</v>
      </c>
    </row>
    <row r="14" spans="1:22" x14ac:dyDescent="0.2">
      <c r="A14" t="s">
        <v>98</v>
      </c>
      <c r="B14" t="s">
        <v>96</v>
      </c>
      <c r="C14">
        <v>6.2199999999999998E-2</v>
      </c>
      <c r="D14">
        <v>4.4299999999999999E-2</v>
      </c>
      <c r="E14">
        <v>-3.5299999999999998E-2</v>
      </c>
      <c r="F14">
        <v>3.8899999999999997E-2</v>
      </c>
      <c r="G14">
        <v>-6.7999999999999996E-3</v>
      </c>
      <c r="H14">
        <v>-4.8599999999999997E-2</v>
      </c>
      <c r="I14">
        <v>-2.0199999999999999E-2</v>
      </c>
      <c r="J14">
        <v>1.4200000000000001E-2</v>
      </c>
      <c r="K14">
        <v>2.4799999999999999E-2</v>
      </c>
      <c r="L14">
        <v>1.8E-3</v>
      </c>
      <c r="M14">
        <v>-6.0000000000000001E-3</v>
      </c>
      <c r="N14">
        <v>-1.24E-2</v>
      </c>
      <c r="O14">
        <v>1.8E-3</v>
      </c>
      <c r="P14">
        <v>-1.61E-2</v>
      </c>
      <c r="Q14">
        <v>5.1999999999999998E-3</v>
      </c>
      <c r="R14">
        <v>-2.8400000000000002E-2</v>
      </c>
      <c r="S14">
        <v>2.8999999999999998E-3</v>
      </c>
      <c r="T14">
        <v>-5.8999999999999997E-2</v>
      </c>
      <c r="U14">
        <v>1.1299999999999999E-2</v>
      </c>
      <c r="V14">
        <v>0</v>
      </c>
    </row>
    <row r="15" spans="1:22" x14ac:dyDescent="0.2">
      <c r="A15" t="s">
        <v>99</v>
      </c>
      <c r="B15" t="s">
        <v>96</v>
      </c>
      <c r="C15">
        <v>7.7399999999999997E-2</v>
      </c>
      <c r="D15">
        <v>6.7299999999999999E-2</v>
      </c>
      <c r="E15">
        <v>-6.9900000000000004E-2</v>
      </c>
      <c r="F15">
        <v>2.58E-2</v>
      </c>
      <c r="G15">
        <v>8.9999999999999998E-4</v>
      </c>
      <c r="H15">
        <v>1.67E-2</v>
      </c>
      <c r="I15">
        <v>-1.55E-2</v>
      </c>
      <c r="J15">
        <v>1.4E-2</v>
      </c>
      <c r="K15">
        <v>1.18E-2</v>
      </c>
      <c r="L15">
        <v>1.1900000000000001E-2</v>
      </c>
      <c r="M15">
        <v>-4.4299999999999999E-2</v>
      </c>
      <c r="N15">
        <v>4.2099999999999999E-2</v>
      </c>
      <c r="O15">
        <v>-2.3800000000000002E-2</v>
      </c>
      <c r="P15">
        <v>1.6999999999999999E-3</v>
      </c>
      <c r="Q15">
        <v>3.5000000000000001E-3</v>
      </c>
      <c r="R15">
        <v>6.0999999999999999E-2</v>
      </c>
      <c r="S15">
        <v>-5.0000000000000001E-4</v>
      </c>
      <c r="T15">
        <v>3.7000000000000002E-3</v>
      </c>
      <c r="U15">
        <v>2.2100000000000002E-2</v>
      </c>
      <c r="V15">
        <v>0</v>
      </c>
    </row>
    <row r="16" spans="1:22" x14ac:dyDescent="0.2">
      <c r="A16" t="s">
        <v>100</v>
      </c>
      <c r="B16" t="s">
        <v>96</v>
      </c>
      <c r="C16">
        <v>7.5499999999999998E-2</v>
      </c>
      <c r="D16">
        <v>0.03</v>
      </c>
      <c r="E16">
        <v>-2.29E-2</v>
      </c>
      <c r="F16">
        <v>-1.8E-3</v>
      </c>
      <c r="G16">
        <v>-3.1600000000000003E-2</v>
      </c>
      <c r="H16">
        <v>-7.5999999999999998E-2</v>
      </c>
      <c r="I16">
        <v>-5.6599999999999998E-2</v>
      </c>
      <c r="J16">
        <v>1.15E-2</v>
      </c>
      <c r="K16">
        <v>2.1299999999999999E-2</v>
      </c>
      <c r="L16">
        <v>5.0000000000000001E-3</v>
      </c>
      <c r="M16">
        <v>1.1299999999999999E-2</v>
      </c>
      <c r="N16">
        <v>-2.52E-2</v>
      </c>
      <c r="O16">
        <v>5.28E-2</v>
      </c>
      <c r="P16">
        <v>-6.7999999999999996E-3</v>
      </c>
      <c r="Q16">
        <v>0</v>
      </c>
      <c r="R16">
        <v>1.8700000000000001E-2</v>
      </c>
      <c r="S16">
        <v>4.2999999999999997E-2</v>
      </c>
      <c r="T16">
        <v>1.6799999999999999E-2</v>
      </c>
      <c r="U16">
        <v>-1.7600000000000001E-2</v>
      </c>
      <c r="V16">
        <v>0</v>
      </c>
    </row>
    <row r="17" spans="1:22" x14ac:dyDescent="0.2">
      <c r="A17" t="s">
        <v>101</v>
      </c>
      <c r="B17" t="s">
        <v>96</v>
      </c>
      <c r="C17">
        <v>9.7900000000000001E-2</v>
      </c>
      <c r="D17">
        <v>3.9699999999999999E-2</v>
      </c>
      <c r="E17">
        <v>7.7999999999999996E-3</v>
      </c>
      <c r="F17">
        <v>-3.0099999999999998E-2</v>
      </c>
      <c r="G17">
        <v>-1.2E-2</v>
      </c>
      <c r="H17">
        <v>-2.35E-2</v>
      </c>
      <c r="I17">
        <v>-5.3E-3</v>
      </c>
      <c r="J17">
        <v>1.09E-2</v>
      </c>
      <c r="K17">
        <v>9.4000000000000004E-3</v>
      </c>
      <c r="L17">
        <v>-3.27E-2</v>
      </c>
      <c r="M17">
        <v>-1.83E-2</v>
      </c>
      <c r="N17">
        <v>1.32E-2</v>
      </c>
      <c r="O17">
        <v>5.3400000000000003E-2</v>
      </c>
      <c r="P17">
        <v>-1.7899999999999999E-2</v>
      </c>
      <c r="Q17">
        <v>1.8499999999999999E-2</v>
      </c>
      <c r="R17">
        <v>-6.0000000000000001E-3</v>
      </c>
      <c r="S17">
        <v>-0.06</v>
      </c>
      <c r="T17">
        <v>1.0999999999999999E-2</v>
      </c>
      <c r="U17">
        <v>-9.2999999999999992E-3</v>
      </c>
      <c r="V17">
        <v>0</v>
      </c>
    </row>
    <row r="18" spans="1:22" x14ac:dyDescent="0.2">
      <c r="A18" t="s">
        <v>102</v>
      </c>
      <c r="B18" t="s">
        <v>96</v>
      </c>
      <c r="C18">
        <v>5.8599999999999999E-2</v>
      </c>
      <c r="D18">
        <v>1.01E-2</v>
      </c>
      <c r="E18">
        <v>0.11360000000000001</v>
      </c>
      <c r="F18">
        <v>3.5099999999999999E-2</v>
      </c>
      <c r="G18">
        <v>-1.34E-2</v>
      </c>
      <c r="H18">
        <v>8.6999999999999994E-3</v>
      </c>
      <c r="I18">
        <v>2.6599999999999999E-2</v>
      </c>
      <c r="J18">
        <v>-2.6499999999999999E-2</v>
      </c>
      <c r="K18">
        <v>6.3200000000000006E-2</v>
      </c>
      <c r="L18">
        <v>-5.0999999999999997E-2</v>
      </c>
      <c r="M18">
        <v>5.4100000000000002E-2</v>
      </c>
      <c r="N18">
        <v>-8.2000000000000007E-3</v>
      </c>
      <c r="O18">
        <v>-4.2999999999999997E-2</v>
      </c>
      <c r="P18">
        <v>-4.6300000000000001E-2</v>
      </c>
      <c r="Q18">
        <v>-2.9999999999999997E-4</v>
      </c>
      <c r="R18">
        <v>8.9999999999999993E-3</v>
      </c>
      <c r="S18">
        <v>4.5999999999999999E-3</v>
      </c>
      <c r="T18">
        <v>9.4999999999999998E-3</v>
      </c>
      <c r="U18">
        <v>6.6E-3</v>
      </c>
      <c r="V18">
        <v>0</v>
      </c>
    </row>
    <row r="19" spans="1:22" x14ac:dyDescent="0.2">
      <c r="A19" t="s">
        <v>103</v>
      </c>
      <c r="B19" t="s">
        <v>96</v>
      </c>
      <c r="C19">
        <v>-0.129</v>
      </c>
      <c r="D19">
        <v>6.83E-2</v>
      </c>
      <c r="E19">
        <v>0.1734</v>
      </c>
      <c r="F19">
        <v>-8.1199999999999994E-2</v>
      </c>
      <c r="G19">
        <v>-5.4600000000000003E-2</v>
      </c>
      <c r="H19">
        <v>1.3899999999999999E-2</v>
      </c>
      <c r="I19">
        <v>-3.7400000000000003E-2</v>
      </c>
      <c r="J19">
        <v>-1.2699999999999999E-2</v>
      </c>
      <c r="K19">
        <v>-1.0800000000000001E-2</v>
      </c>
      <c r="L19">
        <v>4.2599999999999999E-2</v>
      </c>
      <c r="M19">
        <v>-2.3400000000000001E-2</v>
      </c>
      <c r="N19">
        <v>2.6499999999999999E-2</v>
      </c>
      <c r="O19">
        <v>1.34E-2</v>
      </c>
      <c r="P19">
        <v>3.7000000000000002E-3</v>
      </c>
      <c r="Q19">
        <v>6.7000000000000002E-3</v>
      </c>
      <c r="R19">
        <v>-6.6E-3</v>
      </c>
      <c r="S19">
        <v>7.4999999999999997E-3</v>
      </c>
      <c r="T19">
        <v>-4.1000000000000003E-3</v>
      </c>
      <c r="U19">
        <v>9.1000000000000004E-3</v>
      </c>
      <c r="V19">
        <v>0</v>
      </c>
    </row>
    <row r="20" spans="1:22" x14ac:dyDescent="0.2">
      <c r="A20" t="s">
        <v>104</v>
      </c>
      <c r="B20" t="s">
        <v>96</v>
      </c>
      <c r="C20">
        <v>-0.16420000000000001</v>
      </c>
      <c r="D20">
        <v>6.3100000000000003E-2</v>
      </c>
      <c r="E20">
        <v>-7.9799999999999996E-2</v>
      </c>
      <c r="F20">
        <v>4.3999999999999997E-2</v>
      </c>
      <c r="G20">
        <v>-6.0199999999999997E-2</v>
      </c>
      <c r="H20">
        <v>-4.1200000000000001E-2</v>
      </c>
      <c r="I20">
        <v>-1.0800000000000001E-2</v>
      </c>
      <c r="J20">
        <v>0</v>
      </c>
      <c r="K20">
        <v>-7.2599999999999998E-2</v>
      </c>
      <c r="L20">
        <v>-3.7900000000000003E-2</v>
      </c>
      <c r="M20">
        <v>1.7600000000000001E-2</v>
      </c>
      <c r="N20">
        <v>2.98E-2</v>
      </c>
      <c r="O20">
        <v>-3.7999999999999999E-2</v>
      </c>
      <c r="P20">
        <v>-1.4800000000000001E-2</v>
      </c>
      <c r="Q20">
        <v>2.47E-2</v>
      </c>
      <c r="R20">
        <v>-1.9099999999999999E-2</v>
      </c>
      <c r="S20">
        <v>3.5000000000000001E-3</v>
      </c>
      <c r="T20">
        <v>1.2200000000000001E-2</v>
      </c>
      <c r="U20">
        <v>-4.1000000000000003E-3</v>
      </c>
      <c r="V20">
        <v>0</v>
      </c>
    </row>
    <row r="21" spans="1:22" x14ac:dyDescent="0.2">
      <c r="A21" t="s">
        <v>105</v>
      </c>
      <c r="B21" t="s">
        <v>96</v>
      </c>
      <c r="C21">
        <v>-0.1169</v>
      </c>
      <c r="D21">
        <v>-3.7400000000000003E-2</v>
      </c>
      <c r="E21">
        <v>8.7900000000000006E-2</v>
      </c>
      <c r="F21">
        <v>8.7099999999999997E-2</v>
      </c>
      <c r="G21">
        <v>6.3200000000000006E-2</v>
      </c>
      <c r="H21">
        <v>-1.7600000000000001E-2</v>
      </c>
      <c r="I21">
        <v>3.9600000000000003E-2</v>
      </c>
      <c r="J21">
        <v>0.10150000000000001</v>
      </c>
      <c r="K21">
        <v>-1.66E-2</v>
      </c>
      <c r="L21">
        <v>-1.9E-2</v>
      </c>
      <c r="M21">
        <v>-3.8699999999999998E-2</v>
      </c>
      <c r="N21">
        <v>-1.6000000000000001E-3</v>
      </c>
      <c r="O21">
        <v>5.7000000000000002E-3</v>
      </c>
      <c r="P21">
        <v>-2.7000000000000001E-3</v>
      </c>
      <c r="Q21">
        <v>-1.7999999999999999E-2</v>
      </c>
      <c r="R21">
        <v>1.3599999999999999E-2</v>
      </c>
      <c r="S21">
        <v>2.8E-3</v>
      </c>
      <c r="T21">
        <v>-4.8999999999999998E-3</v>
      </c>
      <c r="U21">
        <v>-1.21E-2</v>
      </c>
      <c r="V21">
        <v>0</v>
      </c>
    </row>
    <row r="24" spans="1:22" x14ac:dyDescent="0.2">
      <c r="B24" t="s">
        <v>106</v>
      </c>
    </row>
    <row r="25" spans="1:22" x14ac:dyDescent="0.2">
      <c r="A25" t="s">
        <v>74</v>
      </c>
      <c r="B25">
        <v>25.286100000000001</v>
      </c>
    </row>
    <row r="26" spans="1:22" x14ac:dyDescent="0.2">
      <c r="A26" t="s">
        <v>75</v>
      </c>
      <c r="B26">
        <v>11.598800000000001</v>
      </c>
    </row>
    <row r="27" spans="1:22" x14ac:dyDescent="0.2">
      <c r="A27" t="s">
        <v>76</v>
      </c>
      <c r="B27">
        <v>10.523899999999999</v>
      </c>
    </row>
    <row r="28" spans="1:22" x14ac:dyDescent="0.2">
      <c r="A28" t="s">
        <v>77</v>
      </c>
      <c r="B28">
        <v>8.6449999999999996</v>
      </c>
    </row>
    <row r="29" spans="1:22" x14ac:dyDescent="0.2">
      <c r="A29" t="s">
        <v>78</v>
      </c>
      <c r="B29">
        <v>6.7962999999999996</v>
      </c>
    </row>
    <row r="30" spans="1:22" x14ac:dyDescent="0.2">
      <c r="A30" t="s">
        <v>79</v>
      </c>
      <c r="B30">
        <v>5.9214000000000002</v>
      </c>
    </row>
    <row r="31" spans="1:22" x14ac:dyDescent="0.2">
      <c r="A31" t="s">
        <v>80</v>
      </c>
      <c r="B31">
        <v>4.8807</v>
      </c>
    </row>
    <row r="32" spans="1:22" x14ac:dyDescent="0.2">
      <c r="A32" t="s">
        <v>81</v>
      </c>
      <c r="B32">
        <v>4.4372999999999996</v>
      </c>
    </row>
    <row r="33" spans="1:2" x14ac:dyDescent="0.2">
      <c r="A33" t="s">
        <v>82</v>
      </c>
      <c r="B33">
        <v>3.7848000000000002</v>
      </c>
    </row>
    <row r="34" spans="1:2" x14ac:dyDescent="0.2">
      <c r="A34" t="s">
        <v>83</v>
      </c>
      <c r="B34">
        <v>3.0301</v>
      </c>
    </row>
    <row r="35" spans="1:2" x14ac:dyDescent="0.2">
      <c r="A35" t="s">
        <v>84</v>
      </c>
      <c r="B35">
        <v>2.9121000000000001</v>
      </c>
    </row>
    <row r="36" spans="1:2" x14ac:dyDescent="0.2">
      <c r="A36" t="s">
        <v>85</v>
      </c>
      <c r="B36">
        <v>2.5524</v>
      </c>
    </row>
    <row r="37" spans="1:2" x14ac:dyDescent="0.2">
      <c r="A37" t="s">
        <v>86</v>
      </c>
      <c r="B37">
        <v>2.5047000000000001</v>
      </c>
    </row>
    <row r="38" spans="1:2" x14ac:dyDescent="0.2">
      <c r="A38" t="s">
        <v>87</v>
      </c>
      <c r="B38">
        <v>1.8960999999999999</v>
      </c>
    </row>
    <row r="39" spans="1:2" x14ac:dyDescent="0.2">
      <c r="A39" t="s">
        <v>88</v>
      </c>
      <c r="B39">
        <v>1.7565</v>
      </c>
    </row>
    <row r="40" spans="1:2" x14ac:dyDescent="0.2">
      <c r="A40" t="s">
        <v>89</v>
      </c>
      <c r="B40">
        <v>1.2884</v>
      </c>
    </row>
    <row r="41" spans="1:2" x14ac:dyDescent="0.2">
      <c r="A41" t="s">
        <v>90</v>
      </c>
      <c r="B41">
        <v>0.95679999999999998</v>
      </c>
    </row>
    <row r="42" spans="1:2" x14ac:dyDescent="0.2">
      <c r="A42" t="s">
        <v>91</v>
      </c>
      <c r="B42">
        <v>0.77039999999999997</v>
      </c>
    </row>
    <row r="43" spans="1:2" x14ac:dyDescent="0.2">
      <c r="A43" t="s">
        <v>92</v>
      </c>
      <c r="B43">
        <v>0.45810000000000001</v>
      </c>
    </row>
    <row r="44" spans="1:2" x14ac:dyDescent="0.2">
      <c r="A44" t="s">
        <v>93</v>
      </c>
      <c r="B44">
        <v>0</v>
      </c>
    </row>
  </sheetData>
  <sortState xmlns:xlrd2="http://schemas.microsoft.com/office/spreadsheetml/2017/richdata2" ref="A2:V21">
    <sortCondition ref="A2"/>
  </sortState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workbookViewId="0">
      <selection activeCell="Q17" sqref="Q17"/>
    </sheetView>
  </sheetViews>
  <sheetFormatPr baseColWidth="10" defaultColWidth="9" defaultRowHeight="15" x14ac:dyDescent="0.2"/>
  <sheetData>
    <row r="1" spans="1:7" ht="17" x14ac:dyDescent="0.2">
      <c r="A1" s="28" t="s">
        <v>107</v>
      </c>
      <c r="C1" t="s">
        <v>108</v>
      </c>
      <c r="D1" t="s">
        <v>109</v>
      </c>
    </row>
    <row r="2" spans="1:7" x14ac:dyDescent="0.2">
      <c r="A2" s="28"/>
      <c r="B2" t="s">
        <v>110</v>
      </c>
      <c r="C2">
        <v>3.4768994492432599E-2</v>
      </c>
      <c r="D2">
        <v>3.2306752719799103E-2</v>
      </c>
    </row>
    <row r="3" spans="1:7" x14ac:dyDescent="0.2">
      <c r="A3" s="28"/>
      <c r="B3" t="s">
        <v>111</v>
      </c>
      <c r="C3">
        <v>0.37802770842775402</v>
      </c>
      <c r="D3">
        <v>0.488365539657452</v>
      </c>
    </row>
    <row r="5" spans="1:7" x14ac:dyDescent="0.2">
      <c r="A5" s="28" t="s">
        <v>112</v>
      </c>
      <c r="C5" t="s">
        <v>113</v>
      </c>
      <c r="D5" t="s">
        <v>114</v>
      </c>
      <c r="E5" t="s">
        <v>110</v>
      </c>
      <c r="F5" t="s">
        <v>115</v>
      </c>
      <c r="G5" t="s">
        <v>116</v>
      </c>
    </row>
    <row r="6" spans="1:7" ht="17" x14ac:dyDescent="0.2">
      <c r="A6" s="28"/>
      <c r="B6" t="s">
        <v>108</v>
      </c>
      <c r="C6">
        <v>0.34404270567704698</v>
      </c>
      <c r="D6">
        <v>9.6499700199354402E-2</v>
      </c>
      <c r="E6">
        <v>1.21548645185959E-2</v>
      </c>
      <c r="F6">
        <v>9.1097692512915704E-2</v>
      </c>
      <c r="G6">
        <v>4.34083341718998E-2</v>
      </c>
    </row>
    <row r="7" spans="1:7" x14ac:dyDescent="0.2">
      <c r="A7" s="28"/>
      <c r="B7" t="s">
        <v>109</v>
      </c>
      <c r="C7">
        <v>0.29722593945551001</v>
      </c>
      <c r="D7">
        <v>4.0085243959084603E-2</v>
      </c>
      <c r="E7">
        <v>8.7821682159931504E-3</v>
      </c>
      <c r="F7">
        <v>7.0131687221139494E-2</v>
      </c>
      <c r="G7">
        <v>6.3102668771021594E-2</v>
      </c>
    </row>
    <row r="12" spans="1:7" ht="17" x14ac:dyDescent="0.2">
      <c r="C12" t="s">
        <v>108</v>
      </c>
      <c r="D12" t="s">
        <v>109</v>
      </c>
    </row>
    <row r="13" spans="1:7" x14ac:dyDescent="0.2">
      <c r="B13" t="s">
        <v>117</v>
      </c>
      <c r="C13">
        <f>C2+C3</f>
        <v>0.412796702920187</v>
      </c>
      <c r="D13">
        <f>D2+D3</f>
        <v>0.52067229237725099</v>
      </c>
    </row>
    <row r="14" spans="1:7" x14ac:dyDescent="0.2">
      <c r="B14" t="s">
        <v>118</v>
      </c>
      <c r="C14">
        <f>C6+D6+E6+F6+G6</f>
        <v>0.587203297079813</v>
      </c>
      <c r="D14">
        <f>C7+D7+E7+F7+G7</f>
        <v>0.47932770762274901</v>
      </c>
    </row>
    <row r="29" spans="1:1" x14ac:dyDescent="0.2">
      <c r="A29" s="6"/>
    </row>
  </sheetData>
  <mergeCells count="2">
    <mergeCell ref="A1:A3"/>
    <mergeCell ref="A5:A7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"/>
  <sheetViews>
    <sheetView workbookViewId="0">
      <selection activeCell="K10" sqref="K10"/>
    </sheetView>
  </sheetViews>
  <sheetFormatPr baseColWidth="10" defaultColWidth="9" defaultRowHeight="15" x14ac:dyDescent="0.2"/>
  <cols>
    <col min="1" max="1" width="13.83203125" customWidth="1"/>
    <col min="2" max="2" width="14" customWidth="1"/>
  </cols>
  <sheetData>
    <row r="1" spans="1:3" x14ac:dyDescent="0.2">
      <c r="A1" t="s">
        <v>119</v>
      </c>
    </row>
    <row r="2" spans="1:3" ht="17" x14ac:dyDescent="0.2">
      <c r="A2" s="4" t="s">
        <v>109</v>
      </c>
      <c r="B2" s="4" t="s">
        <v>108</v>
      </c>
      <c r="C2" s="4"/>
    </row>
    <row r="3" spans="1:3" x14ac:dyDescent="0.2">
      <c r="A3" s="4">
        <v>3.613</v>
      </c>
      <c r="B3" s="4">
        <v>8.4540000000000006</v>
      </c>
      <c r="C3" s="4"/>
    </row>
    <row r="4" spans="1:3" x14ac:dyDescent="0.2">
      <c r="A4" s="4">
        <v>11.324999999999999</v>
      </c>
      <c r="B4" s="4">
        <v>5.851</v>
      </c>
      <c r="C4" s="4"/>
    </row>
    <row r="5" spans="1:3" x14ac:dyDescent="0.2">
      <c r="A5" s="4">
        <v>12.92</v>
      </c>
      <c r="B5" s="4">
        <v>6.37</v>
      </c>
      <c r="C5" s="4"/>
    </row>
    <row r="6" spans="1:3" x14ac:dyDescent="0.2">
      <c r="A6" s="4">
        <v>14.801</v>
      </c>
      <c r="B6" s="4">
        <v>5.702</v>
      </c>
      <c r="C6" s="4"/>
    </row>
    <row r="7" spans="1:3" x14ac:dyDescent="0.2">
      <c r="A7" s="4">
        <v>14.916</v>
      </c>
      <c r="B7" s="4">
        <v>3.51</v>
      </c>
      <c r="C7" s="4"/>
    </row>
    <row r="8" spans="1:3" x14ac:dyDescent="0.2">
      <c r="A8" s="4">
        <v>13.438000000000001</v>
      </c>
      <c r="B8" s="4">
        <v>6.0430000000000001</v>
      </c>
      <c r="C8" s="4"/>
    </row>
    <row r="9" spans="1:3" x14ac:dyDescent="0.2">
      <c r="A9" s="4">
        <v>10.385999999999999</v>
      </c>
      <c r="B9" s="4">
        <v>9.3919999999999995</v>
      </c>
      <c r="C9" s="4"/>
    </row>
    <row r="10" spans="1:3" x14ac:dyDescent="0.2">
      <c r="A10" s="4">
        <v>7.9550000000000001</v>
      </c>
      <c r="B10" s="4">
        <v>5.9820000000000002</v>
      </c>
      <c r="C10" s="4"/>
    </row>
    <row r="11" spans="1:3" x14ac:dyDescent="0.2">
      <c r="A11" s="4">
        <v>6.0529999999999999</v>
      </c>
      <c r="B11" s="4">
        <v>12.302</v>
      </c>
      <c r="C11" s="4"/>
    </row>
    <row r="12" spans="1:3" x14ac:dyDescent="0.2">
      <c r="A12" s="4">
        <v>5.282</v>
      </c>
      <c r="B12" s="4">
        <v>14.25</v>
      </c>
      <c r="C12" s="4"/>
    </row>
    <row r="13" spans="1:3" x14ac:dyDescent="0.2">
      <c r="A13" s="4">
        <v>4.43</v>
      </c>
      <c r="B13" s="4">
        <v>16.146999999999998</v>
      </c>
      <c r="C13" s="4"/>
    </row>
    <row r="14" spans="1:3" x14ac:dyDescent="0.2">
      <c r="A14" s="4">
        <v>12.597</v>
      </c>
      <c r="B14" s="4">
        <v>14.27</v>
      </c>
      <c r="C14" s="4"/>
    </row>
    <row r="15" spans="1:3" x14ac:dyDescent="0.2">
      <c r="A15" s="4">
        <v>12.503</v>
      </c>
      <c r="B15" s="4">
        <v>8.8759999999999994</v>
      </c>
      <c r="C15" s="4"/>
    </row>
    <row r="16" spans="1:3" x14ac:dyDescent="0.2">
      <c r="A16" s="4">
        <v>9.8960000000000008</v>
      </c>
      <c r="B16" s="4">
        <v>8.2949999999999999</v>
      </c>
      <c r="C16" s="4"/>
    </row>
    <row r="17" spans="1:3" x14ac:dyDescent="0.2">
      <c r="A17" s="4">
        <v>10.143000000000001</v>
      </c>
      <c r="B17" s="4">
        <v>6.5039999999999996</v>
      </c>
      <c r="C17" s="4"/>
    </row>
    <row r="18" spans="1:3" x14ac:dyDescent="0.2">
      <c r="A18" s="4">
        <v>10.425000000000001</v>
      </c>
      <c r="B18" s="4">
        <v>8.8789999999999996</v>
      </c>
      <c r="C18" s="4"/>
    </row>
    <row r="19" spans="1:3" x14ac:dyDescent="0.2">
      <c r="A19" s="4">
        <v>10.974</v>
      </c>
      <c r="B19" s="4"/>
      <c r="C19" s="4"/>
    </row>
    <row r="20" spans="1:3" x14ac:dyDescent="0.2">
      <c r="A20" s="4">
        <v>14.054</v>
      </c>
      <c r="B20" s="4"/>
      <c r="C20" s="4"/>
    </row>
    <row r="21" spans="1:3" x14ac:dyDescent="0.2">
      <c r="A21" s="4">
        <v>10.804</v>
      </c>
      <c r="B21" s="4"/>
      <c r="C21" s="4"/>
    </row>
    <row r="22" spans="1:3" x14ac:dyDescent="0.2">
      <c r="A22" s="4">
        <v>13.315</v>
      </c>
      <c r="B22" s="4"/>
      <c r="C22" s="4"/>
    </row>
    <row r="23" spans="1:3" x14ac:dyDescent="0.2">
      <c r="A23" s="4">
        <v>14.31</v>
      </c>
      <c r="B23" s="4"/>
      <c r="C23" s="4"/>
    </row>
    <row r="24" spans="1:3" x14ac:dyDescent="0.2">
      <c r="A24" s="4">
        <v>11.8</v>
      </c>
      <c r="B24" s="4"/>
      <c r="C24" s="4"/>
    </row>
    <row r="25" spans="1:3" x14ac:dyDescent="0.2">
      <c r="A25" s="4">
        <v>10.500999999999999</v>
      </c>
      <c r="B25" s="4"/>
      <c r="C25" s="4"/>
    </row>
    <row r="26" spans="1:3" x14ac:dyDescent="0.2">
      <c r="A26" s="4">
        <v>9.6050000000000004</v>
      </c>
      <c r="B26" s="4"/>
      <c r="C26" s="4"/>
    </row>
    <row r="27" spans="1:3" x14ac:dyDescent="0.2">
      <c r="A27" s="4"/>
      <c r="B27" s="4"/>
      <c r="C27" s="4"/>
    </row>
    <row r="28" spans="1:3" x14ac:dyDescent="0.2">
      <c r="A28" s="4"/>
      <c r="B28" s="4"/>
      <c r="C28" s="4"/>
    </row>
    <row r="29" spans="1:3" x14ac:dyDescent="0.2">
      <c r="A29" s="4"/>
      <c r="B29" s="4"/>
      <c r="C29" s="4"/>
    </row>
    <row r="30" spans="1:3" x14ac:dyDescent="0.2">
      <c r="A30" s="4"/>
      <c r="B30" s="4"/>
      <c r="C30" s="4"/>
    </row>
    <row r="31" spans="1:3" x14ac:dyDescent="0.2">
      <c r="A31" s="4"/>
      <c r="B31" s="4"/>
      <c r="C31" s="4"/>
    </row>
    <row r="32" spans="1:3" x14ac:dyDescent="0.2">
      <c r="A32" s="4"/>
      <c r="B32" s="4"/>
      <c r="C32" s="4"/>
    </row>
  </sheetData>
  <pageMargins left="0.75" right="0.75" top="1" bottom="1" header="0.5" footer="0.5"/>
  <drawing r:id="rId1"/>
  <legacyDrawing r:id="rId2"/>
  <oleObjects>
    <mc:AlternateContent xmlns:mc="http://schemas.openxmlformats.org/markup-compatibility/2006">
      <mc:Choice Requires="x14">
        <oleObject progId="Prism8.Document" shapeId="3073" r:id="rId3">
          <objectPr defaultSize="0" altText="" r:id="rId4">
            <anchor moveWithCells="1">
              <from>
                <xdr:col>2</xdr:col>
                <xdr:colOff>0</xdr:colOff>
                <xdr:row>1</xdr:row>
                <xdr:rowOff>152400</xdr:rowOff>
              </from>
              <to>
                <xdr:col>4</xdr:col>
                <xdr:colOff>596900</xdr:colOff>
                <xdr:row>21</xdr:row>
                <xdr:rowOff>12700</xdr:rowOff>
              </to>
            </anchor>
          </objectPr>
        </oleObject>
      </mc:Choice>
      <mc:Fallback>
        <oleObject progId="Prism8.Document" shapeId="3073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7"/>
  <sheetViews>
    <sheetView workbookViewId="0">
      <selection activeCell="B2" sqref="B2"/>
    </sheetView>
  </sheetViews>
  <sheetFormatPr baseColWidth="10" defaultColWidth="9" defaultRowHeight="15" x14ac:dyDescent="0.2"/>
  <cols>
    <col min="1" max="1" width="12" customWidth="1"/>
    <col min="2" max="2" width="9.83203125" customWidth="1"/>
  </cols>
  <sheetData>
    <row r="1" spans="1:2" x14ac:dyDescent="0.2">
      <c r="A1" t="s">
        <v>120</v>
      </c>
    </row>
    <row r="2" spans="1:2" ht="17" x14ac:dyDescent="0.2">
      <c r="A2" s="4" t="s">
        <v>109</v>
      </c>
      <c r="B2" s="4" t="s">
        <v>108</v>
      </c>
    </row>
    <row r="3" spans="1:2" x14ac:dyDescent="0.2">
      <c r="A3">
        <v>16.053999999999998</v>
      </c>
      <c r="B3">
        <v>9.49</v>
      </c>
    </row>
    <row r="4" spans="1:2" x14ac:dyDescent="0.2">
      <c r="A4">
        <v>6.5490000000000004</v>
      </c>
      <c r="B4">
        <v>9.8559999999999999</v>
      </c>
    </row>
    <row r="5" spans="1:2" x14ac:dyDescent="0.2">
      <c r="A5">
        <v>7.6580000000000004</v>
      </c>
      <c r="B5">
        <v>7.9480000000000004</v>
      </c>
    </row>
    <row r="6" spans="1:2" x14ac:dyDescent="0.2">
      <c r="A6">
        <v>16.120999999999999</v>
      </c>
      <c r="B6">
        <v>5.157</v>
      </c>
    </row>
    <row r="7" spans="1:2" x14ac:dyDescent="0.2">
      <c r="A7">
        <v>16.277999999999999</v>
      </c>
      <c r="B7">
        <v>6.86</v>
      </c>
    </row>
    <row r="8" spans="1:2" x14ac:dyDescent="0.2">
      <c r="A8">
        <v>16.678000000000001</v>
      </c>
      <c r="B8">
        <v>3.758</v>
      </c>
    </row>
    <row r="9" spans="1:2" x14ac:dyDescent="0.2">
      <c r="A9">
        <v>12.179</v>
      </c>
      <c r="B9">
        <v>1.6830000000000001</v>
      </c>
    </row>
    <row r="10" spans="1:2" x14ac:dyDescent="0.2">
      <c r="A10">
        <v>17.783999999999999</v>
      </c>
      <c r="B10">
        <v>3.125</v>
      </c>
    </row>
    <row r="11" spans="1:2" x14ac:dyDescent="0.2">
      <c r="A11">
        <v>15.79</v>
      </c>
      <c r="B11">
        <v>8.5009999999999994</v>
      </c>
    </row>
    <row r="12" spans="1:2" x14ac:dyDescent="0.2">
      <c r="A12">
        <v>13.01</v>
      </c>
      <c r="B12">
        <v>7.024</v>
      </c>
    </row>
    <row r="13" spans="1:2" x14ac:dyDescent="0.2">
      <c r="A13">
        <v>12.195</v>
      </c>
      <c r="B13">
        <v>11.198</v>
      </c>
    </row>
    <row r="14" spans="1:2" x14ac:dyDescent="0.2">
      <c r="B14">
        <v>10.757999999999999</v>
      </c>
    </row>
    <row r="15" spans="1:2" x14ac:dyDescent="0.2">
      <c r="B15">
        <v>11.385999999999999</v>
      </c>
    </row>
    <row r="16" spans="1:2" x14ac:dyDescent="0.2">
      <c r="B16">
        <v>8.6319999999999997</v>
      </c>
    </row>
    <row r="17" spans="2:2" x14ac:dyDescent="0.2">
      <c r="B17">
        <v>8.4619999999999997</v>
      </c>
    </row>
  </sheetData>
  <pageMargins left="0.75" right="0.75" top="1" bottom="1" header="0.5" footer="0.5"/>
  <drawing r:id="rId1"/>
  <legacyDrawing r:id="rId2"/>
  <oleObjects>
    <mc:AlternateContent xmlns:mc="http://schemas.openxmlformats.org/markup-compatibility/2006">
      <mc:Choice Requires="x14">
        <oleObject progId="Prism8.Document" shapeId="4097" r:id="rId3">
          <objectPr defaultSize="0" altText="" r:id="rId4">
            <anchor moveWithCells="1">
              <from>
                <xdr:col>2</xdr:col>
                <xdr:colOff>330200</xdr:colOff>
                <xdr:row>1</xdr:row>
                <xdr:rowOff>0</xdr:rowOff>
              </from>
              <to>
                <xdr:col>5</xdr:col>
                <xdr:colOff>292100</xdr:colOff>
                <xdr:row>20</xdr:row>
                <xdr:rowOff>25400</xdr:rowOff>
              </to>
            </anchor>
          </objectPr>
        </oleObject>
      </mc:Choice>
      <mc:Fallback>
        <oleObject progId="Prism8.Document" shapeId="4097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"/>
  <sheetViews>
    <sheetView workbookViewId="0">
      <selection activeCell="K21" sqref="K21"/>
    </sheetView>
  </sheetViews>
  <sheetFormatPr baseColWidth="10" defaultColWidth="9" defaultRowHeight="15" x14ac:dyDescent="0.2"/>
  <sheetData>
    <row r="1" spans="1:12" x14ac:dyDescent="0.2">
      <c r="B1" t="s">
        <v>121</v>
      </c>
      <c r="C1" t="s">
        <v>122</v>
      </c>
      <c r="D1" t="s">
        <v>123</v>
      </c>
      <c r="E1" t="s">
        <v>124</v>
      </c>
      <c r="F1" t="s">
        <v>125</v>
      </c>
      <c r="G1" t="s">
        <v>126</v>
      </c>
      <c r="H1" t="s">
        <v>127</v>
      </c>
      <c r="I1" t="s">
        <v>110</v>
      </c>
      <c r="J1" t="s">
        <v>128</v>
      </c>
      <c r="K1" t="s">
        <v>129</v>
      </c>
      <c r="L1" t="s">
        <v>130</v>
      </c>
    </row>
    <row r="2" spans="1:12" x14ac:dyDescent="0.2">
      <c r="A2">
        <v>1</v>
      </c>
      <c r="B2" t="s">
        <v>131</v>
      </c>
      <c r="C2">
        <v>4.1177397999999997E-2</v>
      </c>
      <c r="D2">
        <v>1.3275175E-2</v>
      </c>
      <c r="E2">
        <v>2.0659343E-2</v>
      </c>
      <c r="F2">
        <v>1.5316168999999999E-2</v>
      </c>
      <c r="G2">
        <v>9.9734772999999999E-2</v>
      </c>
      <c r="H2">
        <v>1.8863194E-2</v>
      </c>
      <c r="I2">
        <v>5.1669225999999999E-2</v>
      </c>
      <c r="J2">
        <v>1.7754196E-2</v>
      </c>
      <c r="K2">
        <v>0</v>
      </c>
      <c r="L2">
        <v>2.2539625000000001E-2</v>
      </c>
    </row>
    <row r="3" spans="1:12" ht="17" x14ac:dyDescent="0.2">
      <c r="A3">
        <v>2</v>
      </c>
      <c r="B3" t="s">
        <v>108</v>
      </c>
      <c r="C3">
        <v>3.1439993999999999E-2</v>
      </c>
      <c r="D3">
        <v>1.2910751999999999E-2</v>
      </c>
      <c r="E3">
        <v>0</v>
      </c>
      <c r="F3">
        <v>2.6487013E-2</v>
      </c>
      <c r="G3">
        <v>4.8240156999999999E-2</v>
      </c>
      <c r="H3">
        <v>2.0605531E-2</v>
      </c>
      <c r="I3">
        <v>3.2680860999999999E-2</v>
      </c>
      <c r="J3">
        <v>2.1800383999999999E-2</v>
      </c>
      <c r="K3">
        <v>1.8726379000000001E-2</v>
      </c>
      <c r="L3">
        <v>1.4657635E-2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"/>
  <sheetViews>
    <sheetView tabSelected="1" workbookViewId="0">
      <selection activeCell="O20" sqref="O19:O20"/>
    </sheetView>
  </sheetViews>
  <sheetFormatPr baseColWidth="10" defaultColWidth="9" defaultRowHeight="15" x14ac:dyDescent="0.2"/>
  <sheetData>
    <row r="1" spans="1:6" x14ac:dyDescent="0.2">
      <c r="B1" s="33" t="s">
        <v>132</v>
      </c>
      <c r="C1" s="33"/>
      <c r="E1" s="33" t="s">
        <v>133</v>
      </c>
      <c r="F1" s="33"/>
    </row>
    <row r="2" spans="1:6" x14ac:dyDescent="0.2">
      <c r="B2" t="s">
        <v>134</v>
      </c>
      <c r="C2" t="s">
        <v>135</v>
      </c>
      <c r="E2" t="s">
        <v>136</v>
      </c>
      <c r="F2" t="s">
        <v>137</v>
      </c>
    </row>
    <row r="3" spans="1:6" x14ac:dyDescent="0.15">
      <c r="A3" s="5" t="s">
        <v>126</v>
      </c>
      <c r="B3">
        <v>51.39</v>
      </c>
      <c r="C3">
        <v>7.8369999999999997</v>
      </c>
      <c r="E3">
        <v>22.01</v>
      </c>
      <c r="F3">
        <v>9.4779999999999998</v>
      </c>
    </row>
    <row r="4" spans="1:6" x14ac:dyDescent="0.15">
      <c r="A4" s="5" t="s">
        <v>138</v>
      </c>
      <c r="B4">
        <v>0.87339999999999995</v>
      </c>
      <c r="C4">
        <v>0.3679</v>
      </c>
      <c r="E4">
        <v>3.0439999999999998E-2</v>
      </c>
      <c r="F4">
        <v>6.7759999999999999E-3</v>
      </c>
    </row>
    <row r="5" spans="1:6" x14ac:dyDescent="0.15">
      <c r="A5" s="5" t="s">
        <v>139</v>
      </c>
      <c r="B5">
        <v>0.10979999999999999</v>
      </c>
      <c r="C5">
        <v>5.7099999999999998E-2</v>
      </c>
      <c r="E5">
        <v>1.223E-2</v>
      </c>
      <c r="F5">
        <v>1.1379999999999999E-2</v>
      </c>
    </row>
    <row r="6" spans="1:6" x14ac:dyDescent="0.15">
      <c r="A6" s="5" t="s">
        <v>140</v>
      </c>
      <c r="B6">
        <v>2.4299999999999999E-2</v>
      </c>
      <c r="C6">
        <v>5.5389999999999997E-3</v>
      </c>
      <c r="E6">
        <v>1.524E-2</v>
      </c>
      <c r="F6">
        <v>2.0630000000000002E-3</v>
      </c>
    </row>
  </sheetData>
  <mergeCells count="2">
    <mergeCell ref="B1:C1"/>
    <mergeCell ref="E1:F1"/>
  </mergeCells>
  <pageMargins left="0.75" right="0.75" top="1" bottom="1" header="0.5" footer="0.5"/>
  <drawing r:id="rId1"/>
  <legacyDrawing r:id="rId2"/>
  <oleObjects>
    <mc:AlternateContent xmlns:mc="http://schemas.openxmlformats.org/markup-compatibility/2006">
      <mc:Choice Requires="x14">
        <oleObject progId="Prism8.Document" shapeId="5121" r:id="rId3">
          <objectPr defaultSize="0" altText="" r:id="rId4">
            <anchor moveWithCells="1" sizeWithCells="1">
              <from>
                <xdr:col>6</xdr:col>
                <xdr:colOff>254000</xdr:colOff>
                <xdr:row>0</xdr:row>
                <xdr:rowOff>63500</xdr:rowOff>
              </from>
              <to>
                <xdr:col>12</xdr:col>
                <xdr:colOff>203200</xdr:colOff>
                <xdr:row>20</xdr:row>
                <xdr:rowOff>38100</xdr:rowOff>
              </to>
            </anchor>
          </objectPr>
        </oleObject>
      </mc:Choice>
      <mc:Fallback>
        <oleObject progId="Prism8.Document" shapeId="5121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Figure3A</vt:lpstr>
      <vt:lpstr>Figure3B</vt:lpstr>
      <vt:lpstr>Figure3C</vt:lpstr>
      <vt:lpstr>Figure3D</vt:lpstr>
      <vt:lpstr>Figure3E</vt:lpstr>
      <vt:lpstr>Figure3F</vt:lpstr>
      <vt:lpstr>Figure3G</vt:lpstr>
      <vt:lpstr>Figure3H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86182</dc:creator>
  <cp:lastModifiedBy>Rebecca Cook</cp:lastModifiedBy>
  <dcterms:created xsi:type="dcterms:W3CDTF">2024-09-07T09:26:00Z</dcterms:created>
  <dcterms:modified xsi:type="dcterms:W3CDTF">2024-10-02T13:32:56Z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2C897AB99B3645C0A32E7A5A98C0ED34_11</vt:lpwstr>
  </property>
  <property fmtid="{D5CDD505-2E9C-101B-9397-08002B2CF9AE}" pid="3" name="KSOProductBuildVer">
    <vt:lpwstr>2052-12.1.0.18276</vt:lpwstr>
  </property>
</Properties>
</file>