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FE4A8506-359A-4135-9D91-6857D7B195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SC SST L4" sheetId="1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13" l="1"/>
  <c r="P37" i="13" s="1"/>
  <c r="O36" i="13"/>
  <c r="O37" i="13" s="1"/>
  <c r="L36" i="13"/>
  <c r="L37" i="13" s="1"/>
  <c r="J36" i="13"/>
  <c r="J37" i="13" s="1"/>
  <c r="I36" i="13"/>
  <c r="I37" i="13" s="1"/>
  <c r="P35" i="13"/>
  <c r="O35" i="13"/>
  <c r="L35" i="13"/>
  <c r="J35" i="13"/>
  <c r="I35" i="13"/>
  <c r="P32" i="13"/>
  <c r="P33" i="13" s="1"/>
  <c r="O32" i="13"/>
  <c r="O33" i="13" s="1"/>
  <c r="L32" i="13"/>
  <c r="L33" i="13" s="1"/>
  <c r="J32" i="13"/>
  <c r="J33" i="13" s="1"/>
  <c r="I32" i="13"/>
  <c r="I33" i="13" s="1"/>
  <c r="P31" i="13"/>
  <c r="O31" i="13"/>
  <c r="L31" i="13"/>
  <c r="J31" i="13"/>
  <c r="I31" i="13"/>
  <c r="M28" i="13"/>
  <c r="K28" i="13"/>
  <c r="M27" i="13"/>
  <c r="K27" i="13"/>
  <c r="M26" i="13"/>
  <c r="K26" i="13"/>
  <c r="M25" i="13"/>
  <c r="K25" i="13"/>
  <c r="M24" i="13"/>
  <c r="K24" i="13"/>
  <c r="M23" i="13"/>
  <c r="K23" i="13"/>
  <c r="M22" i="13"/>
  <c r="K22" i="13"/>
  <c r="M21" i="13"/>
  <c r="K21" i="13"/>
  <c r="M19" i="13"/>
  <c r="K19" i="13"/>
  <c r="M18" i="13"/>
  <c r="K18" i="13"/>
  <c r="M17" i="13"/>
  <c r="K17" i="13"/>
  <c r="M16" i="13"/>
  <c r="K16" i="13"/>
  <c r="M15" i="13"/>
  <c r="K15" i="13"/>
  <c r="M14" i="13"/>
  <c r="K14" i="13"/>
  <c r="M13" i="13"/>
  <c r="K13" i="13"/>
  <c r="M12" i="13"/>
  <c r="K12" i="13"/>
  <c r="M11" i="13"/>
  <c r="K11" i="13"/>
  <c r="M10" i="13"/>
  <c r="K10" i="13"/>
  <c r="M9" i="13"/>
  <c r="K9" i="13"/>
  <c r="M8" i="13"/>
  <c r="K8" i="13"/>
  <c r="M7" i="13"/>
  <c r="K7" i="13"/>
  <c r="M3" i="13"/>
  <c r="K3" i="13"/>
  <c r="M2" i="13"/>
  <c r="K2" i="13"/>
  <c r="N24" i="13" l="1"/>
  <c r="N26" i="13"/>
  <c r="N25" i="13"/>
  <c r="N23" i="13"/>
  <c r="N7" i="13"/>
  <c r="N16" i="13"/>
  <c r="N8" i="13"/>
  <c r="N10" i="13"/>
  <c r="N21" i="13"/>
  <c r="N3" i="13"/>
  <c r="N15" i="13"/>
  <c r="N27" i="13"/>
  <c r="N28" i="13"/>
  <c r="N9" i="13"/>
  <c r="N12" i="13"/>
  <c r="N14" i="13"/>
  <c r="N17" i="13"/>
  <c r="N22" i="13"/>
  <c r="N18" i="13"/>
  <c r="K32" i="13"/>
  <c r="K33" i="13" s="1"/>
  <c r="K36" i="13"/>
  <c r="K37" i="13" s="1"/>
  <c r="N11" i="13"/>
  <c r="N2" i="13"/>
  <c r="N19" i="13"/>
  <c r="N13" i="13"/>
  <c r="M31" i="13"/>
  <c r="M32" i="13"/>
  <c r="M33" i="13" s="1"/>
  <c r="M35" i="13"/>
  <c r="M36" i="13"/>
  <c r="M37" i="13" s="1"/>
  <c r="K31" i="13"/>
  <c r="K35" i="13"/>
  <c r="N32" i="13" l="1"/>
  <c r="N33" i="13" s="1"/>
  <c r="N36" i="13"/>
  <c r="N37" i="13" s="1"/>
  <c r="N31" i="13"/>
  <c r="N35" i="13"/>
</calcChain>
</file>

<file path=xl/sharedStrings.xml><?xml version="1.0" encoding="utf-8"?>
<sst xmlns="http://schemas.openxmlformats.org/spreadsheetml/2006/main" count="266" uniqueCount="105">
  <si>
    <t>Cell</t>
  </si>
  <si>
    <t>Mouse line</t>
  </si>
  <si>
    <t>Genotype</t>
  </si>
  <si>
    <t>Sex</t>
  </si>
  <si>
    <t>DOB</t>
  </si>
  <si>
    <t>Mouse #</t>
  </si>
  <si>
    <t>Age</t>
  </si>
  <si>
    <t>Amplitude</t>
  </si>
  <si>
    <t>Inter Event interval</t>
  </si>
  <si>
    <t>Frequency</t>
  </si>
  <si>
    <t>AUC</t>
  </si>
  <si>
    <t>AUC/1000</t>
  </si>
  <si>
    <t>Charge x freq</t>
  </si>
  <si>
    <t>Rise</t>
  </si>
  <si>
    <t>Decay</t>
  </si>
  <si>
    <t>File</t>
  </si>
  <si>
    <t>Current injected</t>
  </si>
  <si>
    <t>Ra</t>
  </si>
  <si>
    <t>Anatomy</t>
  </si>
  <si>
    <t>Layer</t>
  </si>
  <si>
    <t>Tag</t>
  </si>
  <si>
    <t>Animal 5</t>
  </si>
  <si>
    <t>Tg(Nkx2.1-Cre);Syngap1flox/+</t>
  </si>
  <si>
    <t>05.09.21</t>
  </si>
  <si>
    <t>GFP</t>
  </si>
  <si>
    <t>02.10.21</t>
  </si>
  <si>
    <t>31.03.22</t>
  </si>
  <si>
    <t>N417</t>
  </si>
  <si>
    <t>Animal 12</t>
  </si>
  <si>
    <t>Animal 13</t>
  </si>
  <si>
    <t>26.10.24</t>
  </si>
  <si>
    <t>Q241</t>
  </si>
  <si>
    <t>Animal 14</t>
  </si>
  <si>
    <t>13.11.24</t>
  </si>
  <si>
    <t>Q273</t>
  </si>
  <si>
    <t>Animal 15</t>
  </si>
  <si>
    <t>Q274</t>
  </si>
  <si>
    <t>Animal 18</t>
  </si>
  <si>
    <t>cHet</t>
  </si>
  <si>
    <t>19.07.21</t>
  </si>
  <si>
    <t>Animal 19</t>
  </si>
  <si>
    <t>Animal 20</t>
  </si>
  <si>
    <t>04.09.24</t>
  </si>
  <si>
    <t xml:space="preserve">AVG </t>
  </si>
  <si>
    <t>SD</t>
  </si>
  <si>
    <t>SE</t>
  </si>
  <si>
    <t>AVG</t>
  </si>
  <si>
    <t>LMM</t>
  </si>
  <si>
    <t>F value</t>
  </si>
  <si>
    <t>p value</t>
  </si>
  <si>
    <t>Animal 1</t>
  </si>
  <si>
    <t>Animal 2</t>
  </si>
  <si>
    <t>Animal 3</t>
  </si>
  <si>
    <t>Animal 4</t>
  </si>
  <si>
    <t>Animal 7</t>
  </si>
  <si>
    <t>Animal 8</t>
  </si>
  <si>
    <t>Animal 9</t>
  </si>
  <si>
    <t>Animal 10</t>
  </si>
  <si>
    <t>control</t>
  </si>
  <si>
    <t>M</t>
  </si>
  <si>
    <t>Animal 16</t>
  </si>
  <si>
    <t>Animal 17</t>
  </si>
  <si>
    <t>SST</t>
  </si>
  <si>
    <t>141124RF1</t>
  </si>
  <si>
    <t>141124RF2</t>
  </si>
  <si>
    <t>191121RF5</t>
  </si>
  <si>
    <t>310522RF2</t>
  </si>
  <si>
    <t>171121RF1</t>
  </si>
  <si>
    <t>140125RF2</t>
  </si>
  <si>
    <t>150125RF3</t>
  </si>
  <si>
    <t>160125RF1</t>
  </si>
  <si>
    <t>160125RF4</t>
  </si>
  <si>
    <t>191121RF3</t>
  </si>
  <si>
    <t>191121RF4</t>
  </si>
  <si>
    <t>160721RF1a</t>
  </si>
  <si>
    <t>09.05.21</t>
  </si>
  <si>
    <t>160721RF4c</t>
  </si>
  <si>
    <t>210322RF3</t>
  </si>
  <si>
    <t>16.01.22</t>
  </si>
  <si>
    <t>N151</t>
  </si>
  <si>
    <t>230322RF1</t>
  </si>
  <si>
    <t>N154</t>
  </si>
  <si>
    <t>230322RF3</t>
  </si>
  <si>
    <t>310522RF1</t>
  </si>
  <si>
    <t>121124RF5</t>
  </si>
  <si>
    <t>161221RF4</t>
  </si>
  <si>
    <t>191124RF1b</t>
  </si>
  <si>
    <t>140721RF1b</t>
  </si>
  <si>
    <t>03.05.21</t>
  </si>
  <si>
    <t>140721RF2</t>
  </si>
  <si>
    <t>020921RF1b</t>
  </si>
  <si>
    <t>25.06.21</t>
  </si>
  <si>
    <t>020921RF2b</t>
  </si>
  <si>
    <t>030921RF3a</t>
  </si>
  <si>
    <t>230921RF2b</t>
  </si>
  <si>
    <t>210921RF2b</t>
  </si>
  <si>
    <t>0.546</t>
  </si>
  <si>
    <t>0.295</t>
  </si>
  <si>
    <t>0.103</t>
  </si>
  <si>
    <t>0.125</t>
  </si>
  <si>
    <t>0.471</t>
  </si>
  <si>
    <t>0.594</t>
  </si>
  <si>
    <t>*0.010</t>
  </si>
  <si>
    <t>*0.047</t>
  </si>
  <si>
    <t>*0.045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</si>
</sst>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6" fontId="0" fillId="0" borderId="0" xfId="0" applyNumberFormat="1"/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w%20data/Database/MembSynPropsL4BC%20and%20MC%20011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Prop germline  P64-77"/>
      <sheetName val="Memb props BC germline P64-90"/>
      <sheetName val="Memb props BC germ short AP"/>
      <sheetName val="PCA germline adult BC"/>
      <sheetName val="Memb props BC germline P20 30"/>
      <sheetName val="PCA analysis BC germ p20 30"/>
      <sheetName val="Germline p20 30 sst "/>
      <sheetName val="Firing analysis p20 30 bc germl"/>
      <sheetName val="Firing analysis p20 30  SST Ger"/>
      <sheetName val="Foglio1"/>
      <sheetName val="PCA analysis germline"/>
      <sheetName val="Memb prop BC Germ P64 90 short"/>
      <sheetName val="Memb prop BC germ P64 90 broad"/>
      <sheetName val="firing analysis freq. germl"/>
      <sheetName val="fir analys freq. AP BC short"/>
      <sheetName val="fir analy freq. AP bc broad"/>
      <sheetName val="Memb props SST total 64-90 germ"/>
      <sheetName val="PCA germline ctrl P64 90"/>
      <sheetName val="Memb props SST GERML P64 90 "/>
      <sheetName val="Firing analysis SST P64 90 GERM"/>
      <sheetName val="Firing Analysis P64-77"/>
      <sheetName val="Memb props Cond P64 77 BC"/>
      <sheetName val="Finale tot cond p64 90 BC"/>
      <sheetName val="Memb props cutoff 0.73 ms ctrl"/>
      <sheetName val="Marker PV PCA het"/>
      <sheetName val="Finale Memb tot PCA new data"/>
      <sheetName val="Finale Memb tot SST BC new data"/>
      <sheetName val="Finale broad AP BC adult condit"/>
      <sheetName val="Finale Short AP BC 0.75 max"/>
      <sheetName val="Firing Finale short AP BC 0.73 "/>
      <sheetName val="Firing finale broad  BC"/>
      <sheetName val="Finale Broad spike BC"/>
      <sheetName val="Memb props 0.8 ms analysis"/>
      <sheetName val="PCA analysis 150323"/>
      <sheetName val="PCA analysis 150323 hET"/>
      <sheetName val="Cluster analysis 150323"/>
      <sheetName val="cluster analysis"/>
      <sheetName val="last PCA analysis 0.8 ms cutoff"/>
      <sheetName val="alpha dend experiments"/>
      <sheetName val="Delta for rheob and AP"/>
      <sheetName val="Fir analys al dend. BC P60 90 "/>
      <sheetName val="Delta for firing number"/>
      <sheetName val="0.7 ms cutoff Memb prop cond BC"/>
      <sheetName val="Memb props Con p64 77 SST tot"/>
      <sheetName val="Foglio12"/>
      <sheetName val="PCA analysis total bc ctrl het"/>
      <sheetName val="Foglio2"/>
      <sheetName val="PCA analysis CTRL pv and sst"/>
      <sheetName val="PCA analysis het pv and sst"/>
      <sheetName val="BC broad AP width"/>
      <sheetName val="Foglio3"/>
      <sheetName val="BC short AP width"/>
      <sheetName val="V C relationship AP short BC"/>
      <sheetName val="delay latency AP cur relation"/>
      <sheetName val="Tau membr potential relationshi"/>
      <sheetName val="AP threshold analysis BC"/>
      <sheetName val="AP threshold analysis Delta BC"/>
      <sheetName val="Firing Analysis BC AP number"/>
      <sheetName val="Firing Analysis BC ap freq"/>
      <sheetName val="table precise firing an. frequ"/>
      <sheetName val="table precise firing spik overs"/>
      <sheetName val="Finale tot bc firi spik overs "/>
      <sheetName val="short width bc fir spik overs"/>
      <sheetName val="broad width bc fir spik overs"/>
      <sheetName val="table mean instant freq. avg BC"/>
      <sheetName val="table inst. freq. 1st spike int"/>
      <sheetName val="same as previous sheet"/>
      <sheetName val="Firing Analysis BC Firing frequ"/>
      <sheetName val="Firing analysis BC AP width"/>
      <sheetName val="Instantenous frequency BC 40 AP"/>
      <sheetName val="mAHP voltage curr BC"/>
      <sheetName val="IV relationship steady state"/>
      <sheetName val="IV relat steady state BC"/>
      <sheetName val="IV relat stead stat BC"/>
      <sheetName val="Input resistance BC monitoring"/>
      <sheetName val="Sag ratio Current relationship"/>
      <sheetName val="Input resist current relationsh"/>
      <sheetName val="Memb prop Cond adult MC and sst"/>
      <sheetName val="Memb prop cond adult MC"/>
      <sheetName val="Memb prop cond adult sst"/>
      <sheetName val="Firing analysis sst mc AP freq"/>
      <sheetName val="sst total  firing analysis freq"/>
      <sheetName val="Firing analysis MC fir frequenc"/>
      <sheetName val="AP width firing analysis MC"/>
      <sheetName val="mAHP MC current volt relationsh"/>
      <sheetName val="Input resistance 300922RF2c"/>
      <sheetName val="Input resitance 260922RF3a"/>
      <sheetName val="Input resistance 260922RF2b"/>
      <sheetName val="Input resistance 260922RF2a"/>
      <sheetName val="Input resistance 260922RF1d"/>
      <sheetName val="Input resistance 260922RF1b"/>
      <sheetName val="Input resistance 260922RF1a"/>
      <sheetName val="Input resistance 180822RF4"/>
      <sheetName val="Input resistance 280922RF2"/>
      <sheetName val="Input resistance 280922RF1"/>
      <sheetName val="Input resistance 270922RF2"/>
      <sheetName val="Input resistance 270922RF1"/>
      <sheetName val="Input resistance 260922RF4"/>
      <sheetName val="Input resistance 260922RF3c"/>
      <sheetName val="Input resistance 260922RF2c"/>
      <sheetName val="Input resistance 220922RF3"/>
      <sheetName val="Input resistance 220922RF2"/>
      <sheetName val="Input resistance 220922RF1"/>
      <sheetName val="Input resistance 210922RF1d"/>
      <sheetName val="Input resistance 210922RF1c"/>
      <sheetName val="Input resistance 210922RF1a"/>
      <sheetName val="Input resistance 300822RF3"/>
      <sheetName val="Input resistance 300822RF2"/>
      <sheetName val="Input resistance 300822RF1"/>
      <sheetName val="Input resistance 250822RF4d"/>
      <sheetName val="Input resistance 250822RF3"/>
      <sheetName val="Input resistance 250822RF2"/>
      <sheetName val="Input resistance 250822RF1c"/>
      <sheetName val="Input resistance 230822RF4a"/>
      <sheetName val="Input resistance 230822RF2b"/>
      <sheetName val="Input resistance 220822RF4c"/>
      <sheetName val="Input resistance 220822RF3"/>
      <sheetName val="Input resistance 190822RF2b"/>
      <sheetName val="Input resistance 190822RF1"/>
      <sheetName val="Input resistance 290822RF6"/>
      <sheetName val="Input resistance 290822RF5"/>
      <sheetName val="Input resistance 140721RF1a"/>
      <sheetName val="Input resistance 140722RF1b"/>
      <sheetName val="Input resistance 140722RF4 "/>
      <sheetName val="Input resistance 150722RF4"/>
      <sheetName val="Input resistance 150722RF5b"/>
      <sheetName val="Input resistance 150722RF6"/>
      <sheetName val="Input resistance 190722RF2"/>
      <sheetName val="Input resistance 190722RF3"/>
      <sheetName val="Input resistance 140722RF2"/>
      <sheetName val="Input resistance 140722RF5"/>
      <sheetName val="Input resistance 150722RF1"/>
      <sheetName val="Input resistance 150722RF2"/>
      <sheetName val="Input resistance 150722RF3"/>
      <sheetName val="Input resistance 150722RF5a"/>
      <sheetName val="Input resistance 190722RF4"/>
      <sheetName val="Input resistance 250722RF2"/>
      <sheetName val="Input resistance 250722RF3b "/>
      <sheetName val="Input resistance 250722RF4 "/>
      <sheetName val="Input resistance 270722RF1"/>
      <sheetName val="Input resistance 270722RF3"/>
      <sheetName val="Input resistance 270722RF4b"/>
      <sheetName val="Input resistance 270722RF6"/>
      <sheetName val="Input resistance 250722RF1"/>
      <sheetName val="Input resistance 270722RF2"/>
      <sheetName val="Input resistance 270722RF5"/>
      <sheetName val="Input resistance 020822RF3"/>
      <sheetName val="Input resistance 020822RF1"/>
      <sheetName val="Input resistance 020822RF2 "/>
      <sheetName val="Input resistance 030822RF1"/>
      <sheetName val="Input resistance 030822R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7">
          <cell r="P87">
            <v>0.52</v>
          </cell>
          <cell r="Q87">
            <v>185.18518518518516</v>
          </cell>
          <cell r="R87">
            <v>128.2051282051282</v>
          </cell>
          <cell r="U87">
            <v>120</v>
          </cell>
          <cell r="V87">
            <v>-50</v>
          </cell>
        </row>
        <row r="88">
          <cell r="P88">
            <v>0.52</v>
          </cell>
          <cell r="Q88">
            <v>181.81818181818184</v>
          </cell>
          <cell r="R88">
            <v>104.98687664041994</v>
          </cell>
          <cell r="U88">
            <v>120</v>
          </cell>
          <cell r="V88">
            <v>-42.5</v>
          </cell>
        </row>
        <row r="89">
          <cell r="P89">
            <v>0.92</v>
          </cell>
          <cell r="Q89">
            <v>103.09278350515464</v>
          </cell>
          <cell r="R89">
            <v>75.329566854990588</v>
          </cell>
          <cell r="U89">
            <v>160</v>
          </cell>
          <cell r="V89">
            <v>-36</v>
          </cell>
        </row>
        <row r="90">
          <cell r="P90">
            <v>0.44</v>
          </cell>
          <cell r="Q90">
            <v>277.77777777777777</v>
          </cell>
          <cell r="R90">
            <v>201.00502512562812</v>
          </cell>
          <cell r="U90">
            <v>140</v>
          </cell>
          <cell r="V90">
            <v>-44</v>
          </cell>
        </row>
        <row r="91">
          <cell r="P91">
            <v>0.65</v>
          </cell>
          <cell r="Q91">
            <v>178.57142857142858</v>
          </cell>
          <cell r="R91">
            <v>101.78117048346056</v>
          </cell>
          <cell r="U91">
            <v>120</v>
          </cell>
          <cell r="V91">
            <v>-40.299999999999997</v>
          </cell>
        </row>
        <row r="92">
          <cell r="P92">
            <v>0.84</v>
          </cell>
          <cell r="Q92">
            <v>169.49152542372883</v>
          </cell>
          <cell r="R92">
            <v>113.31444759206799</v>
          </cell>
          <cell r="U92">
            <v>160</v>
          </cell>
          <cell r="V92">
            <v>-40.9</v>
          </cell>
        </row>
        <row r="93">
          <cell r="P93">
            <v>0.7</v>
          </cell>
          <cell r="Q93">
            <v>175.43859649122805</v>
          </cell>
          <cell r="R93">
            <v>109.2896174863388</v>
          </cell>
          <cell r="U93">
            <v>160</v>
          </cell>
          <cell r="V93">
            <v>-39</v>
          </cell>
        </row>
        <row r="94">
          <cell r="P94">
            <v>0.8</v>
          </cell>
          <cell r="Q94">
            <v>196.07843137254901</v>
          </cell>
          <cell r="R94">
            <v>84.745762711864415</v>
          </cell>
          <cell r="U94">
            <v>120</v>
          </cell>
          <cell r="V94">
            <v>-41.5</v>
          </cell>
        </row>
        <row r="95">
          <cell r="P95">
            <v>1.02</v>
          </cell>
          <cell r="Q95">
            <v>138.88888888888889</v>
          </cell>
          <cell r="R95">
            <v>75.329566854990588</v>
          </cell>
          <cell r="U95">
            <v>200</v>
          </cell>
          <cell r="V95">
            <v>-36.799999999999997</v>
          </cell>
        </row>
        <row r="96">
          <cell r="P96">
            <v>0.97</v>
          </cell>
          <cell r="Q96">
            <v>119.04761904761905</v>
          </cell>
          <cell r="R96">
            <v>64.516129032258064</v>
          </cell>
          <cell r="U96">
            <v>80</v>
          </cell>
          <cell r="V96">
            <v>-33.700000000000003</v>
          </cell>
        </row>
        <row r="97">
          <cell r="P97">
            <v>0.68</v>
          </cell>
          <cell r="Q97">
            <v>163.93442622950818</v>
          </cell>
          <cell r="R97">
            <v>99.50248756218906</v>
          </cell>
          <cell r="U97">
            <v>120</v>
          </cell>
          <cell r="V97">
            <v>-45.2</v>
          </cell>
        </row>
        <row r="98">
          <cell r="P98">
            <v>0.84</v>
          </cell>
          <cell r="Q98">
            <v>153.84615384615384</v>
          </cell>
          <cell r="R98">
            <v>111.11111111111111</v>
          </cell>
          <cell r="U98">
            <v>80</v>
          </cell>
          <cell r="V98">
            <v>-43.9</v>
          </cell>
        </row>
        <row r="99">
          <cell r="P99">
            <v>0.84</v>
          </cell>
          <cell r="Q99">
            <v>136.98630136986301</v>
          </cell>
          <cell r="R99">
            <v>92.165898617511516</v>
          </cell>
          <cell r="U99">
            <v>120</v>
          </cell>
          <cell r="V99">
            <v>-46.1</v>
          </cell>
        </row>
        <row r="100">
          <cell r="P100">
            <v>0.59</v>
          </cell>
          <cell r="Q100">
            <v>185.18518518518516</v>
          </cell>
          <cell r="R100">
            <v>151.51515151515153</v>
          </cell>
          <cell r="U100">
            <v>160</v>
          </cell>
          <cell r="V100">
            <v>-36.6</v>
          </cell>
        </row>
        <row r="101">
          <cell r="P101">
            <v>0.89</v>
          </cell>
          <cell r="Q101">
            <v>142.85714285714286</v>
          </cell>
          <cell r="R101">
            <v>83.682008368200826</v>
          </cell>
          <cell r="U101">
            <v>120</v>
          </cell>
          <cell r="V101">
            <v>-41.8</v>
          </cell>
        </row>
        <row r="102">
          <cell r="P102">
            <v>0.94</v>
          </cell>
          <cell r="Q102">
            <v>123.4567901234568</v>
          </cell>
          <cell r="R102">
            <v>59.523809523809526</v>
          </cell>
          <cell r="U102">
            <v>120</v>
          </cell>
          <cell r="V102">
            <v>-42.6</v>
          </cell>
        </row>
        <row r="103">
          <cell r="P103">
            <v>0.88</v>
          </cell>
          <cell r="Q103">
            <v>147.05882352941177</v>
          </cell>
          <cell r="R103">
            <v>87.527352297592998</v>
          </cell>
          <cell r="U103">
            <v>160</v>
          </cell>
          <cell r="V103">
            <v>-41</v>
          </cell>
        </row>
        <row r="104">
          <cell r="P104">
            <v>0.73</v>
          </cell>
          <cell r="Q104">
            <v>188.67924528301887</v>
          </cell>
          <cell r="R104">
            <v>108.40108401084011</v>
          </cell>
          <cell r="U104">
            <v>160</v>
          </cell>
          <cell r="V104">
            <v>-42.6</v>
          </cell>
        </row>
        <row r="105">
          <cell r="P105">
            <v>0.71</v>
          </cell>
          <cell r="Q105">
            <v>217.39130434782609</v>
          </cell>
          <cell r="R105">
            <v>118.69436201780415</v>
          </cell>
          <cell r="U105">
            <v>120</v>
          </cell>
          <cell r="V105">
            <v>-39.5</v>
          </cell>
        </row>
        <row r="106">
          <cell r="P106">
            <v>0.59</v>
          </cell>
          <cell r="Q106">
            <v>227.27272727272725</v>
          </cell>
          <cell r="R106">
            <v>150.37593984962407</v>
          </cell>
          <cell r="U106">
            <v>120</v>
          </cell>
          <cell r="V106">
            <v>-40.4</v>
          </cell>
        </row>
        <row r="107">
          <cell r="P107">
            <v>0.85</v>
          </cell>
          <cell r="Q107">
            <v>138.88888888888889</v>
          </cell>
          <cell r="R107">
            <v>92.592592592592581</v>
          </cell>
          <cell r="U107">
            <v>120</v>
          </cell>
          <cell r="V107">
            <v>-41.1</v>
          </cell>
        </row>
        <row r="108">
          <cell r="P108">
            <v>0.64</v>
          </cell>
          <cell r="Q108">
            <v>212.7659574468085</v>
          </cell>
          <cell r="R108">
            <v>142.85714285714286</v>
          </cell>
          <cell r="U108">
            <v>80</v>
          </cell>
          <cell r="V108">
            <v>-45.9</v>
          </cell>
        </row>
        <row r="109">
          <cell r="P109">
            <v>0.79</v>
          </cell>
          <cell r="Q109">
            <v>169.49152542372883</v>
          </cell>
          <cell r="R109">
            <v>102.56410256410257</v>
          </cell>
          <cell r="U109">
            <v>80</v>
          </cell>
          <cell r="V109">
            <v>-55.6</v>
          </cell>
        </row>
        <row r="110">
          <cell r="P110">
            <v>1.31</v>
          </cell>
          <cell r="Q110">
            <v>89.285714285714292</v>
          </cell>
          <cell r="R110">
            <v>51.546391752577321</v>
          </cell>
          <cell r="U110">
            <v>80</v>
          </cell>
          <cell r="V110">
            <v>-38.799999999999997</v>
          </cell>
        </row>
        <row r="111">
          <cell r="P111">
            <v>1.1499999999999999</v>
          </cell>
          <cell r="Q111">
            <v>106.38297872340425</v>
          </cell>
          <cell r="R111">
            <v>64.935064935064929</v>
          </cell>
          <cell r="U111">
            <v>120</v>
          </cell>
          <cell r="V111">
            <v>-43.4</v>
          </cell>
        </row>
        <row r="112">
          <cell r="P112">
            <v>1.21</v>
          </cell>
          <cell r="Q112">
            <v>128.2051282051282</v>
          </cell>
          <cell r="R112">
            <v>73.152889539136794</v>
          </cell>
          <cell r="U112">
            <v>80</v>
          </cell>
          <cell r="V112">
            <v>-52.2</v>
          </cell>
        </row>
        <row r="113">
          <cell r="U113">
            <v>80</v>
          </cell>
          <cell r="V113">
            <v>-49.1</v>
          </cell>
        </row>
        <row r="114">
          <cell r="U114">
            <v>80</v>
          </cell>
          <cell r="V114">
            <v>-52.9</v>
          </cell>
        </row>
        <row r="115">
          <cell r="P115">
            <v>0.34</v>
          </cell>
          <cell r="Q115">
            <v>303.03030303030306</v>
          </cell>
          <cell r="R115">
            <v>181.81818181818184</v>
          </cell>
          <cell r="U115">
            <v>160</v>
          </cell>
          <cell r="V115">
            <v>-25.1</v>
          </cell>
        </row>
        <row r="116">
          <cell r="P116">
            <v>0.37</v>
          </cell>
          <cell r="Q116">
            <v>131.57894736842104</v>
          </cell>
          <cell r="R116">
            <v>89.485458612975393</v>
          </cell>
          <cell r="U116">
            <v>160</v>
          </cell>
          <cell r="V116">
            <v>-27.1</v>
          </cell>
        </row>
        <row r="117">
          <cell r="P117">
            <v>0.51</v>
          </cell>
          <cell r="Q117">
            <v>151.51515151515153</v>
          </cell>
          <cell r="R117">
            <v>120.48192771084337</v>
          </cell>
          <cell r="U117">
            <v>120</v>
          </cell>
          <cell r="V117">
            <v>-47.2</v>
          </cell>
        </row>
        <row r="118">
          <cell r="P118">
            <v>0.39</v>
          </cell>
          <cell r="Q118">
            <v>256.41025641025641</v>
          </cell>
          <cell r="R118">
            <v>212.7659574468085</v>
          </cell>
          <cell r="U118">
            <v>120</v>
          </cell>
          <cell r="V118">
            <v>-44.1</v>
          </cell>
        </row>
        <row r="119">
          <cell r="P119">
            <v>0.47</v>
          </cell>
          <cell r="Q119">
            <v>238.0952380952381</v>
          </cell>
          <cell r="R119">
            <v>176.99115044247787</v>
          </cell>
        </row>
        <row r="120">
          <cell r="P120">
            <v>0.46</v>
          </cell>
          <cell r="Q120">
            <v>250</v>
          </cell>
          <cell r="R120">
            <v>162.60162601626016</v>
          </cell>
        </row>
        <row r="121">
          <cell r="P121">
            <v>0.36</v>
          </cell>
          <cell r="Q121">
            <v>312.5</v>
          </cell>
          <cell r="R121">
            <v>218.5792349726776</v>
          </cell>
        </row>
        <row r="122">
          <cell r="P122">
            <v>0.62</v>
          </cell>
          <cell r="Q122">
            <v>181.81818181818184</v>
          </cell>
          <cell r="R122">
            <v>131.57894736842104</v>
          </cell>
        </row>
        <row r="123">
          <cell r="P123">
            <v>0.57999999999999996</v>
          </cell>
          <cell r="Q123">
            <v>161.29032258064515</v>
          </cell>
          <cell r="R123">
            <v>107.52688172043011</v>
          </cell>
        </row>
        <row r="124">
          <cell r="P124">
            <v>0.51</v>
          </cell>
          <cell r="Q124">
            <v>232.55813953488371</v>
          </cell>
          <cell r="R124">
            <v>141.34275618374559</v>
          </cell>
        </row>
        <row r="125">
          <cell r="P125">
            <v>0.82</v>
          </cell>
          <cell r="Q125">
            <v>151.51515151515153</v>
          </cell>
          <cell r="R125">
            <v>87.145969498910674</v>
          </cell>
        </row>
        <row r="126">
          <cell r="P126">
            <v>1.05</v>
          </cell>
          <cell r="Q126">
            <v>126.58227848101265</v>
          </cell>
          <cell r="R126">
            <v>70.422535211267601</v>
          </cell>
        </row>
        <row r="127">
          <cell r="P127">
            <v>0.92</v>
          </cell>
          <cell r="Q127">
            <v>200</v>
          </cell>
          <cell r="R127">
            <v>101.78117048346056</v>
          </cell>
        </row>
        <row r="128">
          <cell r="P128">
            <v>0.59</v>
          </cell>
          <cell r="Q128">
            <v>208.33333333333334</v>
          </cell>
          <cell r="R128">
            <v>116.61807580174928</v>
          </cell>
        </row>
        <row r="129">
          <cell r="P129">
            <v>0.79</v>
          </cell>
          <cell r="Q129">
            <v>163.93442622950818</v>
          </cell>
          <cell r="R129">
            <v>112.67605633802818</v>
          </cell>
        </row>
        <row r="130">
          <cell r="P130">
            <v>0.9</v>
          </cell>
          <cell r="Q130">
            <v>138.88888888888889</v>
          </cell>
          <cell r="R130">
            <v>76.48183556405354</v>
          </cell>
        </row>
        <row r="131">
          <cell r="P131">
            <v>0.68</v>
          </cell>
          <cell r="Q131">
            <v>161.29032258064515</v>
          </cell>
          <cell r="R131">
            <v>94.696969696969703</v>
          </cell>
        </row>
        <row r="132">
          <cell r="P132">
            <v>0.75</v>
          </cell>
          <cell r="Q132">
            <v>136.98630136986301</v>
          </cell>
          <cell r="R132">
            <v>96.805421103581793</v>
          </cell>
        </row>
        <row r="133">
          <cell r="P133">
            <v>0.78</v>
          </cell>
          <cell r="Q133">
            <v>114.94252873563219</v>
          </cell>
          <cell r="R133">
            <v>73.529411764705884</v>
          </cell>
        </row>
        <row r="134">
          <cell r="P134">
            <v>0.74</v>
          </cell>
          <cell r="Q134">
            <v>161.29032258064515</v>
          </cell>
          <cell r="R134">
            <v>100</v>
          </cell>
        </row>
        <row r="135">
          <cell r="P135">
            <v>0.7</v>
          </cell>
          <cell r="Q135">
            <v>172.41379310344828</v>
          </cell>
          <cell r="R135">
            <v>115.2073732718894</v>
          </cell>
        </row>
        <row r="136">
          <cell r="P136">
            <v>0.97</v>
          </cell>
          <cell r="Q136">
            <v>144.92753623188406</v>
          </cell>
          <cell r="R136">
            <v>92.592592592592581</v>
          </cell>
        </row>
        <row r="137">
          <cell r="P137">
            <v>1.0900000000000001</v>
          </cell>
          <cell r="Q137">
            <v>120.48192771084337</v>
          </cell>
          <cell r="R137">
            <v>54.644808743169399</v>
          </cell>
        </row>
        <row r="138">
          <cell r="P138">
            <v>0.84</v>
          </cell>
          <cell r="Q138">
            <v>147.05882352941177</v>
          </cell>
          <cell r="R138">
            <v>101.52284263959392</v>
          </cell>
        </row>
        <row r="139">
          <cell r="P139">
            <v>0.79</v>
          </cell>
          <cell r="Q139">
            <v>147.05882352941177</v>
          </cell>
          <cell r="R139">
            <v>120.91898428053204</v>
          </cell>
        </row>
        <row r="140">
          <cell r="P140">
            <v>1.29</v>
          </cell>
          <cell r="Q140">
            <v>103.09278350515464</v>
          </cell>
          <cell r="R140">
            <v>74.074074074074076</v>
          </cell>
        </row>
      </sheetData>
      <sheetData sheetId="23"/>
      <sheetData sheetId="24"/>
      <sheetData sheetId="25">
        <row r="58">
          <cell r="P58">
            <v>0.42307692307692307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V41"/>
  <sheetViews>
    <sheetView tabSelected="1" workbookViewId="0">
      <selection sqref="A1:XFD1"/>
    </sheetView>
  </sheetViews>
  <sheetFormatPr defaultColWidth="11.33203125" defaultRowHeight="14.4" x14ac:dyDescent="0.3"/>
  <cols>
    <col min="1" max="1" width="9.21875" customWidth="1"/>
    <col min="2" max="2" width="11.33203125" customWidth="1"/>
    <col min="3" max="3" width="30.109375" customWidth="1"/>
    <col min="5" max="5" width="5.21875" customWidth="1"/>
    <col min="6" max="6" width="9.21875" customWidth="1"/>
    <col min="7" max="7" width="8.6640625" customWidth="1"/>
    <col min="8" max="8" width="5.44140625" customWidth="1"/>
    <col min="9" max="9" width="9.77734375" customWidth="1"/>
    <col min="10" max="10" width="16.21875" customWidth="1"/>
    <col min="11" max="11" width="11.6640625" bestFit="1" customWidth="1"/>
    <col min="12" max="12" width="6.5546875" customWidth="1"/>
    <col min="13" max="13" width="10.21875" customWidth="1"/>
    <col min="14" max="14" width="11.44140625" bestFit="1" customWidth="1"/>
    <col min="15" max="15" width="7.109375" customWidth="1"/>
    <col min="16" max="16" width="6.5546875" customWidth="1"/>
    <col min="17" max="17" width="5.109375" customWidth="1"/>
    <col min="18" max="19" width="11.44140625" bestFit="1" customWidth="1"/>
    <col min="20" max="20" width="11.33203125" style="4"/>
    <col min="21" max="21" width="11.44140625" bestFit="1" customWidth="1"/>
    <col min="22" max="22" width="15" customWidth="1"/>
  </cols>
  <sheetData>
    <row r="1" spans="1:22" s="3" customFormat="1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10" t="s">
        <v>18</v>
      </c>
      <c r="U1" s="3" t="s">
        <v>19</v>
      </c>
      <c r="V1" s="3" t="s">
        <v>20</v>
      </c>
    </row>
    <row r="2" spans="1:22" x14ac:dyDescent="0.3">
      <c r="A2" s="5" t="s">
        <v>50</v>
      </c>
      <c r="B2" s="5" t="s">
        <v>63</v>
      </c>
      <c r="C2" s="5" t="s">
        <v>22</v>
      </c>
      <c r="D2" s="5" t="s">
        <v>58</v>
      </c>
      <c r="E2" s="5" t="s">
        <v>59</v>
      </c>
      <c r="F2" s="5" t="s">
        <v>42</v>
      </c>
      <c r="G2" s="5">
        <v>5</v>
      </c>
      <c r="H2" s="5">
        <v>71</v>
      </c>
      <c r="I2" s="5">
        <v>21.81</v>
      </c>
      <c r="J2" s="5">
        <v>114.79719712007488</v>
      </c>
      <c r="K2" s="5">
        <f>1066/126</f>
        <v>8.4603174603174605</v>
      </c>
      <c r="L2" s="5">
        <v>123.2</v>
      </c>
      <c r="M2" s="5">
        <f>L2/1000</f>
        <v>0.1232</v>
      </c>
      <c r="N2" s="5">
        <f>M2*K2</f>
        <v>1.0423111111111112</v>
      </c>
      <c r="O2" s="5">
        <v>0.69</v>
      </c>
      <c r="P2" s="5">
        <v>3.72</v>
      </c>
      <c r="Q2" s="5">
        <v>8</v>
      </c>
      <c r="R2" s="5">
        <v>-20</v>
      </c>
      <c r="S2" s="5">
        <v>26</v>
      </c>
      <c r="T2" s="6" t="s">
        <v>62</v>
      </c>
      <c r="U2" s="6">
        <v>4</v>
      </c>
      <c r="V2" s="5" t="s">
        <v>24</v>
      </c>
    </row>
    <row r="3" spans="1:22" x14ac:dyDescent="0.3">
      <c r="A3" s="5" t="s">
        <v>50</v>
      </c>
      <c r="B3" s="5" t="s">
        <v>64</v>
      </c>
      <c r="C3" s="5" t="s">
        <v>22</v>
      </c>
      <c r="D3" s="5" t="s">
        <v>58</v>
      </c>
      <c r="E3" s="5" t="s">
        <v>59</v>
      </c>
      <c r="F3" s="5" t="s">
        <v>42</v>
      </c>
      <c r="G3" s="5">
        <v>5</v>
      </c>
      <c r="H3" s="5">
        <v>71</v>
      </c>
      <c r="I3" s="5">
        <v>16.63</v>
      </c>
      <c r="J3" s="5">
        <v>181.72833097922839</v>
      </c>
      <c r="K3" s="5">
        <f>686/126</f>
        <v>5.4444444444444446</v>
      </c>
      <c r="L3" s="5">
        <v>96</v>
      </c>
      <c r="M3" s="5">
        <f>L3/1000</f>
        <v>9.6000000000000002E-2</v>
      </c>
      <c r="N3" s="5">
        <f>M3*K3</f>
        <v>0.52266666666666672</v>
      </c>
      <c r="O3" s="5">
        <v>0.56000000000000005</v>
      </c>
      <c r="P3" s="5">
        <v>4.9800000000000004</v>
      </c>
      <c r="Q3" s="5">
        <v>13</v>
      </c>
      <c r="R3" s="5">
        <v>-15</v>
      </c>
      <c r="S3" s="5">
        <v>27</v>
      </c>
      <c r="T3" s="6" t="s">
        <v>62</v>
      </c>
      <c r="U3" s="6">
        <v>4</v>
      </c>
      <c r="V3" s="5" t="s">
        <v>24</v>
      </c>
    </row>
    <row r="4" spans="1:22" x14ac:dyDescent="0.3">
      <c r="A4" s="5" t="s">
        <v>51</v>
      </c>
      <c r="B4" s="5" t="s">
        <v>65</v>
      </c>
      <c r="C4" s="5" t="s">
        <v>22</v>
      </c>
      <c r="D4" s="5" t="s">
        <v>58</v>
      </c>
      <c r="E4" s="5" t="s">
        <v>59</v>
      </c>
      <c r="F4" s="5" t="s">
        <v>23</v>
      </c>
      <c r="G4" s="5">
        <v>449</v>
      </c>
      <c r="H4" s="5">
        <v>75</v>
      </c>
      <c r="I4" s="5">
        <v>15.34</v>
      </c>
      <c r="J4" s="5">
        <v>218.78948127393002</v>
      </c>
      <c r="K4" s="5">
        <v>4.5166666666666666</v>
      </c>
      <c r="L4" s="5">
        <v>56.67</v>
      </c>
      <c r="M4" s="5">
        <v>5.6670000000000005E-2</v>
      </c>
      <c r="N4" s="5">
        <v>0.25595950000000001</v>
      </c>
      <c r="O4" s="5">
        <v>0.49</v>
      </c>
      <c r="P4" s="5">
        <v>1.84</v>
      </c>
      <c r="Q4" s="5">
        <v>9</v>
      </c>
      <c r="R4" s="5">
        <v>-50</v>
      </c>
      <c r="S4" s="5">
        <v>12</v>
      </c>
      <c r="T4" s="6" t="s">
        <v>62</v>
      </c>
      <c r="U4" s="6">
        <v>4</v>
      </c>
      <c r="V4" s="5" t="s">
        <v>24</v>
      </c>
    </row>
    <row r="5" spans="1:22" x14ac:dyDescent="0.3">
      <c r="A5" s="5" t="s">
        <v>52</v>
      </c>
      <c r="B5" s="5" t="s">
        <v>66</v>
      </c>
      <c r="C5" s="5" t="s">
        <v>22</v>
      </c>
      <c r="D5" s="5" t="s">
        <v>58</v>
      </c>
      <c r="E5" s="5" t="s">
        <v>59</v>
      </c>
      <c r="F5" s="5" t="s">
        <v>26</v>
      </c>
      <c r="G5" s="5" t="s">
        <v>27</v>
      </c>
      <c r="H5" s="5">
        <v>61</v>
      </c>
      <c r="I5" s="5">
        <v>9.16</v>
      </c>
      <c r="J5" s="5">
        <v>140.61446422968328</v>
      </c>
      <c r="K5" s="5">
        <v>7.041666666666667</v>
      </c>
      <c r="L5" s="5">
        <v>28</v>
      </c>
      <c r="M5" s="5">
        <v>2.8000000000000001E-2</v>
      </c>
      <c r="N5" s="5">
        <v>0.19716666666666668</v>
      </c>
      <c r="O5" s="5">
        <v>0.31</v>
      </c>
      <c r="P5" s="5">
        <v>1.1399999999999999</v>
      </c>
      <c r="Q5" s="5">
        <v>2</v>
      </c>
      <c r="R5" s="5">
        <v>-60</v>
      </c>
      <c r="S5" s="5">
        <v>11</v>
      </c>
      <c r="T5" s="6" t="s">
        <v>62</v>
      </c>
      <c r="U5" s="6">
        <v>4</v>
      </c>
      <c r="V5" s="5" t="s">
        <v>24</v>
      </c>
    </row>
    <row r="6" spans="1:22" x14ac:dyDescent="0.3">
      <c r="A6" s="5" t="s">
        <v>53</v>
      </c>
      <c r="B6" s="5" t="s">
        <v>67</v>
      </c>
      <c r="C6" s="5" t="s">
        <v>22</v>
      </c>
      <c r="D6" s="5" t="s">
        <v>58</v>
      </c>
      <c r="E6" s="5" t="s">
        <v>59</v>
      </c>
      <c r="F6" s="5" t="s">
        <v>23</v>
      </c>
      <c r="G6" s="5">
        <v>446</v>
      </c>
      <c r="H6" s="5">
        <v>73</v>
      </c>
      <c r="I6" s="5">
        <v>8.75</v>
      </c>
      <c r="J6" s="5">
        <v>187.14935477168535</v>
      </c>
      <c r="K6" s="5">
        <v>5.2333333333333334</v>
      </c>
      <c r="L6" s="5">
        <v>67.8</v>
      </c>
      <c r="M6" s="5">
        <v>6.7799999999999999E-2</v>
      </c>
      <c r="N6" s="5">
        <v>0.35482000000000002</v>
      </c>
      <c r="O6" s="5">
        <v>0.76</v>
      </c>
      <c r="P6" s="5">
        <v>5.38</v>
      </c>
      <c r="Q6" s="5">
        <v>0</v>
      </c>
      <c r="R6" s="5">
        <v>-30</v>
      </c>
      <c r="S6" s="5">
        <v>13</v>
      </c>
      <c r="T6" s="6" t="s">
        <v>62</v>
      </c>
      <c r="U6" s="6">
        <v>4</v>
      </c>
      <c r="V6" s="5" t="s">
        <v>24</v>
      </c>
    </row>
    <row r="7" spans="1:22" x14ac:dyDescent="0.3">
      <c r="A7" s="5" t="s">
        <v>55</v>
      </c>
      <c r="B7" s="5" t="s">
        <v>68</v>
      </c>
      <c r="C7" s="5" t="s">
        <v>22</v>
      </c>
      <c r="D7" s="5" t="s">
        <v>58</v>
      </c>
      <c r="E7" s="5" t="s">
        <v>59</v>
      </c>
      <c r="F7" s="5" t="s">
        <v>30</v>
      </c>
      <c r="G7" s="5" t="s">
        <v>31</v>
      </c>
      <c r="H7" s="5">
        <v>80</v>
      </c>
      <c r="I7" s="5">
        <v>16.54</v>
      </c>
      <c r="J7" s="5">
        <v>615.18131000000005</v>
      </c>
      <c r="K7" s="5">
        <f>182/126</f>
        <v>1.4444444444444444</v>
      </c>
      <c r="L7" s="5">
        <v>111.8</v>
      </c>
      <c r="M7" s="5">
        <f t="shared" ref="M7:M10" si="0">L7/1000</f>
        <v>0.1118</v>
      </c>
      <c r="N7" s="5">
        <f>M7*K7</f>
        <v>0.16148888888888888</v>
      </c>
      <c r="O7" s="5">
        <v>0.8</v>
      </c>
      <c r="P7" s="5">
        <v>8.9</v>
      </c>
      <c r="Q7" s="5">
        <v>4</v>
      </c>
      <c r="R7" s="5">
        <v>-78</v>
      </c>
      <c r="S7" s="5">
        <v>11</v>
      </c>
      <c r="T7" s="6" t="s">
        <v>62</v>
      </c>
      <c r="U7" s="6">
        <v>4</v>
      </c>
      <c r="V7" s="5" t="s">
        <v>24</v>
      </c>
    </row>
    <row r="8" spans="1:22" x14ac:dyDescent="0.3">
      <c r="A8" s="5" t="s">
        <v>56</v>
      </c>
      <c r="B8" s="5" t="s">
        <v>69</v>
      </c>
      <c r="C8" s="5" t="s">
        <v>22</v>
      </c>
      <c r="D8" s="5" t="s">
        <v>58</v>
      </c>
      <c r="E8" s="5" t="s">
        <v>59</v>
      </c>
      <c r="F8" s="5" t="s">
        <v>33</v>
      </c>
      <c r="G8" s="5" t="s">
        <v>34</v>
      </c>
      <c r="H8" s="5">
        <v>63</v>
      </c>
      <c r="I8" s="5">
        <v>27.21</v>
      </c>
      <c r="J8" s="5">
        <v>226.72031709718971</v>
      </c>
      <c r="K8" s="5">
        <f>518/126</f>
        <v>4.1111111111111107</v>
      </c>
      <c r="L8" s="5">
        <v>145.1</v>
      </c>
      <c r="M8" s="5">
        <f t="shared" si="0"/>
        <v>0.14510000000000001</v>
      </c>
      <c r="N8" s="5">
        <f>M8*K8</f>
        <v>0.59652222222222218</v>
      </c>
      <c r="O8" s="5">
        <v>0.67</v>
      </c>
      <c r="P8" s="5">
        <v>5.76</v>
      </c>
      <c r="Q8" s="5">
        <v>9</v>
      </c>
      <c r="R8" s="5">
        <v>-59</v>
      </c>
      <c r="S8" s="5">
        <v>14</v>
      </c>
      <c r="T8" s="6" t="s">
        <v>62</v>
      </c>
      <c r="U8" s="6">
        <v>4</v>
      </c>
      <c r="V8" s="5" t="s">
        <v>24</v>
      </c>
    </row>
    <row r="9" spans="1:22" x14ac:dyDescent="0.3">
      <c r="A9" s="5" t="s">
        <v>57</v>
      </c>
      <c r="B9" s="5" t="s">
        <v>70</v>
      </c>
      <c r="C9" s="5" t="s">
        <v>22</v>
      </c>
      <c r="D9" s="5" t="s">
        <v>58</v>
      </c>
      <c r="E9" s="5" t="s">
        <v>59</v>
      </c>
      <c r="F9" s="5" t="s">
        <v>33</v>
      </c>
      <c r="G9" s="5" t="s">
        <v>36</v>
      </c>
      <c r="H9" s="5">
        <v>64</v>
      </c>
      <c r="I9" s="5">
        <v>15.39</v>
      </c>
      <c r="J9" s="5">
        <v>53.900398550050035</v>
      </c>
      <c r="K9" s="5">
        <f>2329/126</f>
        <v>18.484126984126984</v>
      </c>
      <c r="L9" s="5">
        <v>30.5</v>
      </c>
      <c r="M9" s="5">
        <f t="shared" si="0"/>
        <v>3.0499999999999999E-2</v>
      </c>
      <c r="N9" s="5">
        <f>M9*K9</f>
        <v>0.563765873015873</v>
      </c>
      <c r="O9" s="5">
        <v>0.22</v>
      </c>
      <c r="P9" s="5">
        <v>1.1299999999999999</v>
      </c>
      <c r="Q9" s="5">
        <v>0</v>
      </c>
      <c r="R9" s="5">
        <v>-23</v>
      </c>
      <c r="S9" s="5">
        <v>12</v>
      </c>
      <c r="T9" s="6" t="s">
        <v>62</v>
      </c>
      <c r="U9" s="6">
        <v>4</v>
      </c>
      <c r="V9" s="5" t="s">
        <v>24</v>
      </c>
    </row>
    <row r="10" spans="1:22" x14ac:dyDescent="0.3">
      <c r="A10" s="5" t="s">
        <v>57</v>
      </c>
      <c r="B10" s="5" t="s">
        <v>71</v>
      </c>
      <c r="C10" s="5" t="s">
        <v>22</v>
      </c>
      <c r="D10" s="5" t="s">
        <v>58</v>
      </c>
      <c r="E10" s="5" t="s">
        <v>59</v>
      </c>
      <c r="F10" s="5" t="s">
        <v>33</v>
      </c>
      <c r="G10" s="5" t="s">
        <v>36</v>
      </c>
      <c r="H10" s="5">
        <v>64</v>
      </c>
      <c r="I10" s="5">
        <v>19.79</v>
      </c>
      <c r="J10" s="5">
        <v>94.766304539166953</v>
      </c>
      <c r="K10" s="5">
        <f>1313/126</f>
        <v>10.420634920634921</v>
      </c>
      <c r="L10" s="5">
        <v>44.9</v>
      </c>
      <c r="M10" s="5">
        <f t="shared" si="0"/>
        <v>4.4899999999999995E-2</v>
      </c>
      <c r="N10" s="5">
        <f>M10*K10</f>
        <v>0.46788650793650788</v>
      </c>
      <c r="O10" s="5">
        <v>0.24</v>
      </c>
      <c r="P10" s="5">
        <v>1.7</v>
      </c>
      <c r="Q10" s="5">
        <v>8</v>
      </c>
      <c r="R10" s="5">
        <v>16</v>
      </c>
      <c r="S10" s="5">
        <v>10</v>
      </c>
      <c r="T10" s="6" t="s">
        <v>62</v>
      </c>
      <c r="U10" s="6">
        <v>4</v>
      </c>
      <c r="V10" s="5" t="s">
        <v>24</v>
      </c>
    </row>
    <row r="11" spans="1:22" x14ac:dyDescent="0.3">
      <c r="A11" s="5" t="s">
        <v>51</v>
      </c>
      <c r="B11" s="5" t="s">
        <v>72</v>
      </c>
      <c r="C11" s="5" t="s">
        <v>22</v>
      </c>
      <c r="D11" s="5" t="s">
        <v>58</v>
      </c>
      <c r="E11" s="5" t="s">
        <v>59</v>
      </c>
      <c r="F11" s="5" t="s">
        <v>23</v>
      </c>
      <c r="G11" s="5">
        <v>449</v>
      </c>
      <c r="H11" s="5">
        <v>75</v>
      </c>
      <c r="I11" s="5">
        <v>23.57</v>
      </c>
      <c r="J11" s="5">
        <v>153.22548212364816</v>
      </c>
      <c r="K11" s="5">
        <f>773/120</f>
        <v>6.4416666666666664</v>
      </c>
      <c r="L11" s="5">
        <v>186.6</v>
      </c>
      <c r="M11" s="5">
        <f>L11/1000</f>
        <v>0.18659999999999999</v>
      </c>
      <c r="N11" s="5">
        <f t="shared" ref="N11:N17" si="1">K11*M11</f>
        <v>1.2020149999999998</v>
      </c>
      <c r="O11" s="5">
        <v>0.76</v>
      </c>
      <c r="P11" s="5">
        <v>5.23</v>
      </c>
      <c r="Q11" s="5">
        <v>5</v>
      </c>
      <c r="R11" s="5">
        <v>-90</v>
      </c>
      <c r="S11" s="5">
        <v>13</v>
      </c>
      <c r="T11" s="6" t="s">
        <v>62</v>
      </c>
      <c r="U11" s="6">
        <v>4</v>
      </c>
      <c r="V11" s="5" t="s">
        <v>24</v>
      </c>
    </row>
    <row r="12" spans="1:22" x14ac:dyDescent="0.3">
      <c r="A12" s="5" t="s">
        <v>51</v>
      </c>
      <c r="B12" s="5" t="s">
        <v>73</v>
      </c>
      <c r="C12" s="5" t="s">
        <v>22</v>
      </c>
      <c r="D12" s="5" t="s">
        <v>58</v>
      </c>
      <c r="E12" s="5" t="s">
        <v>59</v>
      </c>
      <c r="F12" s="5" t="s">
        <v>23</v>
      </c>
      <c r="G12" s="5">
        <v>449</v>
      </c>
      <c r="H12" s="5">
        <v>75</v>
      </c>
      <c r="I12" s="5">
        <v>17.190000000000001</v>
      </c>
      <c r="J12" s="5">
        <v>118.51093684524865</v>
      </c>
      <c r="K12" s="5">
        <f>1008/120</f>
        <v>8.4</v>
      </c>
      <c r="L12" s="5">
        <v>133.9</v>
      </c>
      <c r="M12" s="5">
        <f>L12/1000</f>
        <v>0.13390000000000002</v>
      </c>
      <c r="N12" s="5">
        <f t="shared" si="1"/>
        <v>1.1247600000000002</v>
      </c>
      <c r="O12" s="5">
        <v>0.77</v>
      </c>
      <c r="P12" s="5">
        <v>5.77</v>
      </c>
      <c r="Q12" s="5">
        <v>7</v>
      </c>
      <c r="R12" s="5">
        <v>-50</v>
      </c>
      <c r="S12" s="5">
        <v>12</v>
      </c>
      <c r="T12" s="6" t="s">
        <v>62</v>
      </c>
      <c r="U12" s="6">
        <v>4</v>
      </c>
      <c r="V12" s="5" t="s">
        <v>24</v>
      </c>
    </row>
    <row r="13" spans="1:22" x14ac:dyDescent="0.3">
      <c r="A13" s="5" t="s">
        <v>28</v>
      </c>
      <c r="B13" s="5" t="s">
        <v>74</v>
      </c>
      <c r="C13" s="5" t="s">
        <v>22</v>
      </c>
      <c r="D13" s="5" t="s">
        <v>58</v>
      </c>
      <c r="E13" s="5" t="s">
        <v>59</v>
      </c>
      <c r="F13" s="5" t="s">
        <v>75</v>
      </c>
      <c r="G13" s="5">
        <v>552</v>
      </c>
      <c r="H13" s="5">
        <v>67</v>
      </c>
      <c r="I13" s="5">
        <v>11.1</v>
      </c>
      <c r="J13" s="5">
        <v>66.37</v>
      </c>
      <c r="K13" s="5">
        <f>1350/90</f>
        <v>15</v>
      </c>
      <c r="L13" s="5">
        <v>38</v>
      </c>
      <c r="M13" s="5">
        <f t="shared" ref="M13:M18" si="2">L13/1000</f>
        <v>3.7999999999999999E-2</v>
      </c>
      <c r="N13" s="5">
        <f t="shared" si="1"/>
        <v>0.56999999999999995</v>
      </c>
      <c r="O13" s="5">
        <v>0.31</v>
      </c>
      <c r="P13" s="5">
        <v>1.93</v>
      </c>
      <c r="Q13" s="5">
        <v>0</v>
      </c>
      <c r="R13" s="5">
        <v>-50</v>
      </c>
      <c r="S13" s="5">
        <v>12</v>
      </c>
      <c r="T13" s="6" t="s">
        <v>62</v>
      </c>
      <c r="U13" s="6">
        <v>4</v>
      </c>
      <c r="V13" s="5" t="s">
        <v>24</v>
      </c>
    </row>
    <row r="14" spans="1:22" x14ac:dyDescent="0.3">
      <c r="A14" s="5" t="s">
        <v>28</v>
      </c>
      <c r="B14" s="5" t="s">
        <v>76</v>
      </c>
      <c r="C14" s="5" t="s">
        <v>22</v>
      </c>
      <c r="D14" s="5" t="s">
        <v>58</v>
      </c>
      <c r="E14" s="5" t="s">
        <v>59</v>
      </c>
      <c r="F14" s="5" t="s">
        <v>75</v>
      </c>
      <c r="G14" s="5">
        <v>552</v>
      </c>
      <c r="H14" s="5">
        <v>67</v>
      </c>
      <c r="I14" s="5">
        <v>12.85</v>
      </c>
      <c r="J14" s="5">
        <v>294.88</v>
      </c>
      <c r="K14" s="5">
        <f>401/120</f>
        <v>3.3416666666666668</v>
      </c>
      <c r="L14" s="5">
        <v>58.05</v>
      </c>
      <c r="M14" s="5">
        <f t="shared" si="2"/>
        <v>5.8049999999999997E-2</v>
      </c>
      <c r="N14" s="5">
        <f t="shared" si="1"/>
        <v>0.19398375000000001</v>
      </c>
      <c r="O14" s="5">
        <v>0.53</v>
      </c>
      <c r="P14" s="5">
        <v>3.78</v>
      </c>
      <c r="Q14" s="5">
        <v>19</v>
      </c>
      <c r="R14" s="5">
        <v>-110</v>
      </c>
      <c r="S14" s="5">
        <v>12</v>
      </c>
      <c r="T14" s="6" t="s">
        <v>62</v>
      </c>
      <c r="U14" s="6">
        <v>4</v>
      </c>
      <c r="V14" s="5" t="s">
        <v>24</v>
      </c>
    </row>
    <row r="15" spans="1:22" x14ac:dyDescent="0.3">
      <c r="A15" s="5" t="s">
        <v>29</v>
      </c>
      <c r="B15" s="5" t="s">
        <v>77</v>
      </c>
      <c r="C15" s="5" t="s">
        <v>22</v>
      </c>
      <c r="D15" s="5" t="s">
        <v>58</v>
      </c>
      <c r="E15" s="5" t="s">
        <v>59</v>
      </c>
      <c r="F15" s="5" t="s">
        <v>78</v>
      </c>
      <c r="G15" s="6" t="s">
        <v>79</v>
      </c>
      <c r="H15" s="5">
        <v>64</v>
      </c>
      <c r="I15" s="5">
        <v>17.79</v>
      </c>
      <c r="J15" s="5">
        <v>89.618962488820216</v>
      </c>
      <c r="K15" s="5">
        <f>1329/120</f>
        <v>11.074999999999999</v>
      </c>
      <c r="L15" s="5">
        <v>95.36</v>
      </c>
      <c r="M15" s="5">
        <f t="shared" si="2"/>
        <v>9.536E-2</v>
      </c>
      <c r="N15" s="5">
        <f t="shared" si="1"/>
        <v>1.0561119999999999</v>
      </c>
      <c r="O15" s="5">
        <v>0.49</v>
      </c>
      <c r="P15" s="5">
        <v>3.2</v>
      </c>
      <c r="Q15" s="5">
        <v>7</v>
      </c>
      <c r="R15" s="5">
        <v>-65</v>
      </c>
      <c r="S15" s="5">
        <v>13</v>
      </c>
      <c r="T15" s="6" t="s">
        <v>62</v>
      </c>
      <c r="U15" s="6">
        <v>4</v>
      </c>
      <c r="V15" s="5" t="s">
        <v>24</v>
      </c>
    </row>
    <row r="16" spans="1:22" x14ac:dyDescent="0.3">
      <c r="A16" s="5" t="s">
        <v>32</v>
      </c>
      <c r="B16" s="5" t="s">
        <v>80</v>
      </c>
      <c r="C16" s="5" t="s">
        <v>22</v>
      </c>
      <c r="D16" s="5" t="s">
        <v>58</v>
      </c>
      <c r="E16" s="5" t="s">
        <v>59</v>
      </c>
      <c r="F16" s="5" t="s">
        <v>78</v>
      </c>
      <c r="G16" s="6" t="s">
        <v>81</v>
      </c>
      <c r="H16" s="5">
        <v>66</v>
      </c>
      <c r="I16" s="5">
        <v>32.090000000000003</v>
      </c>
      <c r="J16" s="5">
        <v>95.234085951268725</v>
      </c>
      <c r="K16" s="5">
        <f>1254/120</f>
        <v>10.45</v>
      </c>
      <c r="L16" s="5">
        <v>174.9</v>
      </c>
      <c r="M16" s="5">
        <f t="shared" si="2"/>
        <v>0.1749</v>
      </c>
      <c r="N16" s="5">
        <f t="shared" si="1"/>
        <v>1.8277049999999999</v>
      </c>
      <c r="O16" s="5">
        <v>0.5</v>
      </c>
      <c r="P16" s="5">
        <v>3.72</v>
      </c>
      <c r="Q16" s="5">
        <v>1</v>
      </c>
      <c r="R16" s="5">
        <v>-80</v>
      </c>
      <c r="S16" s="5">
        <v>11</v>
      </c>
      <c r="T16" s="6" t="s">
        <v>62</v>
      </c>
      <c r="U16" s="6">
        <v>4</v>
      </c>
      <c r="V16" s="5" t="s">
        <v>24</v>
      </c>
    </row>
    <row r="17" spans="1:22" x14ac:dyDescent="0.3">
      <c r="A17" s="5" t="s">
        <v>32</v>
      </c>
      <c r="B17" s="5" t="s">
        <v>82</v>
      </c>
      <c r="C17" s="5" t="s">
        <v>22</v>
      </c>
      <c r="D17" s="5" t="s">
        <v>58</v>
      </c>
      <c r="E17" s="5" t="s">
        <v>59</v>
      </c>
      <c r="F17" s="5" t="s">
        <v>78</v>
      </c>
      <c r="G17" s="6" t="s">
        <v>81</v>
      </c>
      <c r="H17" s="5">
        <v>66</v>
      </c>
      <c r="I17" s="5">
        <v>11.47</v>
      </c>
      <c r="J17" s="5">
        <v>868.76386855874614</v>
      </c>
      <c r="K17" s="5">
        <f>130/120</f>
        <v>1.0833333333333333</v>
      </c>
      <c r="L17" s="5">
        <v>40.9</v>
      </c>
      <c r="M17" s="5">
        <f t="shared" si="2"/>
        <v>4.0899999999999999E-2</v>
      </c>
      <c r="N17" s="5">
        <f t="shared" si="1"/>
        <v>4.4308333333333332E-2</v>
      </c>
      <c r="O17" s="5">
        <v>0.51</v>
      </c>
      <c r="P17" s="5">
        <v>4.76</v>
      </c>
      <c r="Q17" s="5">
        <v>9</v>
      </c>
      <c r="R17" s="5">
        <v>-40</v>
      </c>
      <c r="S17" s="5">
        <v>14</v>
      </c>
      <c r="T17" s="6" t="s">
        <v>62</v>
      </c>
      <c r="U17" s="6">
        <v>4</v>
      </c>
      <c r="V17" s="5" t="s">
        <v>24</v>
      </c>
    </row>
    <row r="18" spans="1:22" x14ac:dyDescent="0.3">
      <c r="A18" s="5" t="s">
        <v>52</v>
      </c>
      <c r="B18" s="5" t="s">
        <v>83</v>
      </c>
      <c r="C18" s="5" t="s">
        <v>22</v>
      </c>
      <c r="D18" s="5" t="s">
        <v>58</v>
      </c>
      <c r="E18" s="5" t="s">
        <v>59</v>
      </c>
      <c r="F18" s="5" t="s">
        <v>26</v>
      </c>
      <c r="G18" s="6" t="s">
        <v>27</v>
      </c>
      <c r="H18" s="5">
        <v>61</v>
      </c>
      <c r="I18" s="5">
        <v>23.16</v>
      </c>
      <c r="J18" s="5">
        <v>33.991738201794732</v>
      </c>
      <c r="K18" s="5">
        <f>3526/120</f>
        <v>29.383333333333333</v>
      </c>
      <c r="L18" s="5">
        <v>111.2</v>
      </c>
      <c r="M18" s="5">
        <f t="shared" si="2"/>
        <v>0.11120000000000001</v>
      </c>
      <c r="N18" s="5">
        <f>M18*K18</f>
        <v>3.2674266666666667</v>
      </c>
      <c r="O18" s="5">
        <v>0.54</v>
      </c>
      <c r="P18" s="5">
        <v>3.77</v>
      </c>
      <c r="Q18" s="5">
        <v>0</v>
      </c>
      <c r="R18" s="5">
        <v>-70</v>
      </c>
      <c r="S18" s="5">
        <v>12</v>
      </c>
      <c r="T18" s="6" t="s">
        <v>62</v>
      </c>
      <c r="U18" s="6">
        <v>4</v>
      </c>
      <c r="V18" s="5" t="s">
        <v>24</v>
      </c>
    </row>
    <row r="19" spans="1:22" s="7" customFormat="1" x14ac:dyDescent="0.3">
      <c r="A19" s="7" t="s">
        <v>41</v>
      </c>
      <c r="B19" s="7" t="s">
        <v>84</v>
      </c>
      <c r="C19" s="7" t="s">
        <v>22</v>
      </c>
      <c r="D19" s="7" t="s">
        <v>38</v>
      </c>
      <c r="E19" s="7" t="s">
        <v>59</v>
      </c>
      <c r="F19" s="7" t="s">
        <v>42</v>
      </c>
      <c r="G19" s="7">
        <v>7</v>
      </c>
      <c r="H19" s="7">
        <v>69</v>
      </c>
      <c r="I19" s="7">
        <v>17.79</v>
      </c>
      <c r="J19" s="7">
        <v>332.55237476323117</v>
      </c>
      <c r="K19" s="7">
        <f>372/126</f>
        <v>2.9523809523809526</v>
      </c>
      <c r="L19" s="7">
        <v>98.1</v>
      </c>
      <c r="M19" s="7">
        <f>L19/1000</f>
        <v>9.8099999999999993E-2</v>
      </c>
      <c r="N19" s="7">
        <f>M19*K19</f>
        <v>0.2896285714285714</v>
      </c>
      <c r="O19" s="7">
        <v>0.55000000000000004</v>
      </c>
      <c r="P19" s="7">
        <v>5.95</v>
      </c>
      <c r="Q19" s="7">
        <v>19</v>
      </c>
      <c r="R19" s="7">
        <v>-20</v>
      </c>
      <c r="S19" s="7">
        <v>18</v>
      </c>
      <c r="T19" s="8" t="s">
        <v>62</v>
      </c>
      <c r="U19" s="8">
        <v>4</v>
      </c>
      <c r="V19" s="7" t="s">
        <v>24</v>
      </c>
    </row>
    <row r="20" spans="1:22" s="7" customFormat="1" x14ac:dyDescent="0.3">
      <c r="A20" s="7" t="s">
        <v>21</v>
      </c>
      <c r="B20" s="7" t="s">
        <v>85</v>
      </c>
      <c r="C20" s="7" t="s">
        <v>22</v>
      </c>
      <c r="D20" s="7" t="s">
        <v>38</v>
      </c>
      <c r="E20" s="7" t="s">
        <v>59</v>
      </c>
      <c r="F20" s="7" t="s">
        <v>25</v>
      </c>
      <c r="G20" s="7">
        <v>571</v>
      </c>
      <c r="H20" s="7">
        <v>75</v>
      </c>
      <c r="I20" s="7">
        <v>14.26</v>
      </c>
      <c r="J20" s="7">
        <v>136.80057799805516</v>
      </c>
      <c r="K20" s="7">
        <v>7.2416666666666663</v>
      </c>
      <c r="L20" s="7">
        <v>71.849999999999994</v>
      </c>
      <c r="M20" s="7">
        <v>7.1849999999999997E-2</v>
      </c>
      <c r="N20" s="7">
        <v>0.52031374999999991</v>
      </c>
      <c r="O20" s="7">
        <v>0.74</v>
      </c>
      <c r="P20" s="7">
        <v>3.52</v>
      </c>
      <c r="Q20" s="7">
        <v>6</v>
      </c>
      <c r="R20" s="7">
        <v>-50</v>
      </c>
      <c r="S20" s="7">
        <v>11</v>
      </c>
      <c r="T20" s="8" t="s">
        <v>62</v>
      </c>
      <c r="U20" s="8">
        <v>4</v>
      </c>
      <c r="V20" s="7" t="s">
        <v>24</v>
      </c>
    </row>
    <row r="21" spans="1:22" s="7" customFormat="1" x14ac:dyDescent="0.3">
      <c r="A21" s="7" t="s">
        <v>54</v>
      </c>
      <c r="B21" s="7" t="s">
        <v>86</v>
      </c>
      <c r="C21" s="7" t="s">
        <v>22</v>
      </c>
      <c r="D21" s="7" t="s">
        <v>38</v>
      </c>
      <c r="E21" s="7" t="s">
        <v>59</v>
      </c>
      <c r="F21" s="7" t="s">
        <v>42</v>
      </c>
      <c r="G21" s="7">
        <v>4</v>
      </c>
      <c r="H21" s="7">
        <v>76</v>
      </c>
      <c r="I21" s="7">
        <v>12.18</v>
      </c>
      <c r="J21" s="7">
        <v>456.77623366459642</v>
      </c>
      <c r="K21" s="7">
        <f>161/126</f>
        <v>1.2777777777777777</v>
      </c>
      <c r="L21" s="7">
        <v>50.47</v>
      </c>
      <c r="M21" s="7">
        <f>L21/1000</f>
        <v>5.0470000000000001E-2</v>
      </c>
      <c r="N21" s="7">
        <f>M21*K21</f>
        <v>6.4489444444444446E-2</v>
      </c>
      <c r="O21" s="7">
        <v>0.45</v>
      </c>
      <c r="P21" s="7">
        <v>3.79</v>
      </c>
      <c r="Q21" s="7">
        <v>15</v>
      </c>
      <c r="R21" s="7">
        <v>-14</v>
      </c>
      <c r="S21" s="7">
        <v>22</v>
      </c>
      <c r="T21" s="8" t="s">
        <v>62</v>
      </c>
      <c r="U21" s="8">
        <v>4</v>
      </c>
      <c r="V21" s="7" t="s">
        <v>24</v>
      </c>
    </row>
    <row r="22" spans="1:22" s="7" customFormat="1" x14ac:dyDescent="0.3">
      <c r="A22" s="7" t="s">
        <v>35</v>
      </c>
      <c r="B22" s="7" t="s">
        <v>87</v>
      </c>
      <c r="C22" s="7" t="s">
        <v>22</v>
      </c>
      <c r="D22" s="7" t="s">
        <v>38</v>
      </c>
      <c r="E22" s="7" t="s">
        <v>59</v>
      </c>
      <c r="F22" s="7" t="s">
        <v>88</v>
      </c>
      <c r="G22" s="7">
        <v>8</v>
      </c>
      <c r="H22" s="7">
        <v>72</v>
      </c>
      <c r="I22" s="7">
        <v>8.6300000000000008</v>
      </c>
      <c r="J22" s="7">
        <v>134.55000000000001</v>
      </c>
      <c r="K22" s="7">
        <f>880/120</f>
        <v>7.333333333333333</v>
      </c>
      <c r="L22" s="7">
        <v>45.69</v>
      </c>
      <c r="M22" s="7">
        <f t="shared" ref="M22:M28" si="3">L22/1000</f>
        <v>4.5689999999999995E-2</v>
      </c>
      <c r="N22" s="7">
        <f t="shared" ref="N22:N28" si="4">K22*M22</f>
        <v>0.33505999999999997</v>
      </c>
      <c r="O22" s="7">
        <v>0.54</v>
      </c>
      <c r="P22" s="7">
        <v>3.09</v>
      </c>
      <c r="Q22" s="7">
        <v>4</v>
      </c>
      <c r="R22" s="7">
        <v>-90</v>
      </c>
      <c r="S22" s="7">
        <v>17</v>
      </c>
      <c r="T22" s="8" t="s">
        <v>62</v>
      </c>
      <c r="U22" s="8">
        <v>4</v>
      </c>
      <c r="V22" s="7" t="s">
        <v>24</v>
      </c>
    </row>
    <row r="23" spans="1:22" s="7" customFormat="1" x14ac:dyDescent="0.3">
      <c r="A23" s="7" t="s">
        <v>35</v>
      </c>
      <c r="B23" s="7" t="s">
        <v>89</v>
      </c>
      <c r="C23" s="7" t="s">
        <v>22</v>
      </c>
      <c r="D23" s="7" t="s">
        <v>38</v>
      </c>
      <c r="E23" s="7" t="s">
        <v>59</v>
      </c>
      <c r="F23" s="7" t="s">
        <v>88</v>
      </c>
      <c r="G23" s="7">
        <v>8</v>
      </c>
      <c r="H23" s="7">
        <v>72</v>
      </c>
      <c r="I23" s="7">
        <v>12.96</v>
      </c>
      <c r="J23" s="7">
        <v>982.42</v>
      </c>
      <c r="K23" s="7">
        <f>116/120</f>
        <v>0.96666666666666667</v>
      </c>
      <c r="L23" s="7">
        <v>39.549999999999997</v>
      </c>
      <c r="M23" s="7">
        <f t="shared" si="3"/>
        <v>3.9549999999999995E-2</v>
      </c>
      <c r="N23" s="7">
        <f t="shared" si="4"/>
        <v>3.8231666666666664E-2</v>
      </c>
      <c r="O23" s="7">
        <v>0.44</v>
      </c>
      <c r="P23" s="7">
        <v>1.73</v>
      </c>
      <c r="Q23" s="7">
        <v>7</v>
      </c>
      <c r="R23" s="7">
        <v>-85</v>
      </c>
      <c r="S23" s="7">
        <v>16</v>
      </c>
      <c r="T23" s="8" t="s">
        <v>62</v>
      </c>
      <c r="U23" s="8">
        <v>4</v>
      </c>
      <c r="V23" s="7" t="s">
        <v>24</v>
      </c>
    </row>
    <row r="24" spans="1:22" s="7" customFormat="1" x14ac:dyDescent="0.3">
      <c r="A24" s="7" t="s">
        <v>60</v>
      </c>
      <c r="B24" s="7" t="s">
        <v>90</v>
      </c>
      <c r="C24" s="7" t="s">
        <v>22</v>
      </c>
      <c r="D24" s="7" t="s">
        <v>38</v>
      </c>
      <c r="E24" s="7" t="s">
        <v>59</v>
      </c>
      <c r="F24" s="7" t="s">
        <v>91</v>
      </c>
      <c r="G24" s="7">
        <v>628</v>
      </c>
      <c r="H24" s="7">
        <v>69</v>
      </c>
      <c r="I24" s="7">
        <v>6.16</v>
      </c>
      <c r="J24" s="7">
        <v>98.3</v>
      </c>
      <c r="K24" s="7">
        <f>1205/120</f>
        <v>10.041666666666666</v>
      </c>
      <c r="L24" s="7">
        <v>52.4</v>
      </c>
      <c r="M24" s="7">
        <f t="shared" si="3"/>
        <v>5.2399999999999995E-2</v>
      </c>
      <c r="N24" s="7">
        <f t="shared" si="4"/>
        <v>0.52618333333333323</v>
      </c>
      <c r="O24" s="7">
        <v>0.9</v>
      </c>
      <c r="P24" s="7">
        <v>5.48</v>
      </c>
      <c r="Q24" s="7">
        <v>5</v>
      </c>
      <c r="R24" s="7">
        <v>-70</v>
      </c>
      <c r="S24" s="7">
        <v>16</v>
      </c>
      <c r="T24" s="8" t="s">
        <v>62</v>
      </c>
      <c r="U24" s="8">
        <v>4</v>
      </c>
      <c r="V24" s="7" t="s">
        <v>24</v>
      </c>
    </row>
    <row r="25" spans="1:22" s="7" customFormat="1" x14ac:dyDescent="0.3">
      <c r="A25" s="7" t="s">
        <v>60</v>
      </c>
      <c r="B25" s="7" t="s">
        <v>92</v>
      </c>
      <c r="C25" s="7" t="s">
        <v>22</v>
      </c>
      <c r="D25" s="7" t="s">
        <v>38</v>
      </c>
      <c r="E25" s="7" t="s">
        <v>59</v>
      </c>
      <c r="F25" s="7" t="s">
        <v>91</v>
      </c>
      <c r="G25" s="7">
        <v>628</v>
      </c>
      <c r="H25" s="7">
        <v>69</v>
      </c>
      <c r="I25" s="7">
        <v>14.97</v>
      </c>
      <c r="J25" s="7">
        <v>79.14</v>
      </c>
      <c r="K25" s="7">
        <f>1509/120</f>
        <v>12.574999999999999</v>
      </c>
      <c r="L25" s="7">
        <v>46.06</v>
      </c>
      <c r="M25" s="7">
        <f t="shared" si="3"/>
        <v>4.6060000000000004E-2</v>
      </c>
      <c r="N25" s="7">
        <f t="shared" si="4"/>
        <v>0.57920450000000001</v>
      </c>
      <c r="O25" s="7">
        <v>0.31</v>
      </c>
      <c r="P25" s="7">
        <v>1.56</v>
      </c>
      <c r="Q25" s="7">
        <v>9</v>
      </c>
      <c r="R25" s="7">
        <v>-90</v>
      </c>
      <c r="S25" s="7">
        <v>13</v>
      </c>
      <c r="T25" s="8" t="s">
        <v>62</v>
      </c>
      <c r="U25" s="8">
        <v>4</v>
      </c>
      <c r="V25" s="7" t="s">
        <v>24</v>
      </c>
    </row>
    <row r="26" spans="1:22" s="7" customFormat="1" x14ac:dyDescent="0.3">
      <c r="A26" s="7" t="s">
        <v>61</v>
      </c>
      <c r="B26" s="7" t="s">
        <v>93</v>
      </c>
      <c r="C26" s="7" t="s">
        <v>22</v>
      </c>
      <c r="D26" s="7" t="s">
        <v>38</v>
      </c>
      <c r="E26" s="7" t="s">
        <v>59</v>
      </c>
      <c r="F26" s="7" t="s">
        <v>91</v>
      </c>
      <c r="G26" s="7">
        <v>624</v>
      </c>
      <c r="H26" s="7">
        <v>70</v>
      </c>
      <c r="I26" s="7">
        <v>7.6</v>
      </c>
      <c r="J26" s="7">
        <v>422.89</v>
      </c>
      <c r="K26" s="7">
        <f>210/90</f>
        <v>2.3333333333333335</v>
      </c>
      <c r="L26" s="7">
        <v>40.799999999999997</v>
      </c>
      <c r="M26" s="7">
        <f t="shared" si="3"/>
        <v>4.0799999999999996E-2</v>
      </c>
      <c r="N26" s="7">
        <f t="shared" si="4"/>
        <v>9.5199999999999993E-2</v>
      </c>
      <c r="O26" s="7">
        <v>0.51</v>
      </c>
      <c r="P26" s="7">
        <v>2.1800000000000002</v>
      </c>
      <c r="Q26" s="7">
        <v>7</v>
      </c>
      <c r="R26" s="7">
        <v>-50</v>
      </c>
      <c r="S26" s="7">
        <v>12</v>
      </c>
      <c r="T26" s="8" t="s">
        <v>62</v>
      </c>
      <c r="U26" s="8">
        <v>4</v>
      </c>
      <c r="V26" s="7" t="s">
        <v>24</v>
      </c>
    </row>
    <row r="27" spans="1:22" s="7" customFormat="1" x14ac:dyDescent="0.3">
      <c r="A27" s="7" t="s">
        <v>37</v>
      </c>
      <c r="B27" s="7" t="s">
        <v>94</v>
      </c>
      <c r="C27" s="7" t="s">
        <v>22</v>
      </c>
      <c r="D27" s="7" t="s">
        <v>38</v>
      </c>
      <c r="E27" s="7" t="s">
        <v>59</v>
      </c>
      <c r="F27" s="7" t="s">
        <v>39</v>
      </c>
      <c r="G27" s="7">
        <v>717</v>
      </c>
      <c r="H27" s="7">
        <v>65</v>
      </c>
      <c r="I27" s="7">
        <v>13.12</v>
      </c>
      <c r="J27" s="7">
        <v>172.62</v>
      </c>
      <c r="K27" s="7">
        <f>675/120</f>
        <v>5.625</v>
      </c>
      <c r="L27" s="7">
        <v>31.89</v>
      </c>
      <c r="M27" s="7">
        <f t="shared" si="3"/>
        <v>3.1890000000000002E-2</v>
      </c>
      <c r="N27" s="7">
        <f t="shared" si="4"/>
        <v>0.17938125000000002</v>
      </c>
      <c r="O27" s="7">
        <v>0.3</v>
      </c>
      <c r="P27" s="7">
        <v>1.37</v>
      </c>
      <c r="Q27" s="7">
        <v>13</v>
      </c>
      <c r="R27" s="7">
        <v>-55</v>
      </c>
      <c r="S27" s="7">
        <v>11</v>
      </c>
      <c r="T27" s="8" t="s">
        <v>62</v>
      </c>
      <c r="U27" s="8">
        <v>4</v>
      </c>
      <c r="V27" s="7" t="s">
        <v>24</v>
      </c>
    </row>
    <row r="28" spans="1:22" s="7" customFormat="1" x14ac:dyDescent="0.3">
      <c r="A28" s="7" t="s">
        <v>40</v>
      </c>
      <c r="B28" s="7" t="s">
        <v>95</v>
      </c>
      <c r="C28" s="7" t="s">
        <v>22</v>
      </c>
      <c r="D28" s="7" t="s">
        <v>38</v>
      </c>
      <c r="E28" s="7" t="s">
        <v>59</v>
      </c>
      <c r="F28" s="7" t="s">
        <v>39</v>
      </c>
      <c r="G28" s="7">
        <v>716</v>
      </c>
      <c r="H28" s="7">
        <v>64</v>
      </c>
      <c r="I28" s="7">
        <v>8.7100000000000009</v>
      </c>
      <c r="J28" s="7">
        <v>1086.44</v>
      </c>
      <c r="K28" s="7">
        <f>130/150</f>
        <v>0.8666666666666667</v>
      </c>
      <c r="L28" s="7">
        <v>58.81</v>
      </c>
      <c r="M28" s="7">
        <f t="shared" si="3"/>
        <v>5.8810000000000001E-2</v>
      </c>
      <c r="N28" s="7">
        <f t="shared" si="4"/>
        <v>5.0968666666666669E-2</v>
      </c>
      <c r="O28" s="7">
        <v>1.47</v>
      </c>
      <c r="P28" s="7">
        <v>6.47</v>
      </c>
      <c r="Q28" s="7">
        <v>8</v>
      </c>
      <c r="R28" s="7">
        <v>-130</v>
      </c>
      <c r="S28" s="7">
        <v>12</v>
      </c>
      <c r="T28" s="8" t="s">
        <v>62</v>
      </c>
      <c r="U28" s="8">
        <v>4</v>
      </c>
      <c r="V28" s="7" t="s">
        <v>24</v>
      </c>
    </row>
    <row r="31" spans="1:22" x14ac:dyDescent="0.3">
      <c r="G31" t="s">
        <v>58</v>
      </c>
      <c r="H31" t="s">
        <v>43</v>
      </c>
      <c r="I31">
        <f>AVERAGE(I2:I18)</f>
        <v>17.637647058823529</v>
      </c>
      <c r="J31">
        <f>AVERAGE(J2:J18)</f>
        <v>209.07307251356093</v>
      </c>
      <c r="K31">
        <f>AVERAGE(K2:K18)</f>
        <v>8.8430438842203554</v>
      </c>
      <c r="L31">
        <f t="shared" ref="L31:P31" si="5">AVERAGE(L2:L18)</f>
        <v>90.757647058823537</v>
      </c>
      <c r="M31">
        <f t="shared" si="5"/>
        <v>9.0757647058823512E-2</v>
      </c>
      <c r="N31">
        <f>AVERAGE(N2:N18)</f>
        <v>0.79111165802987871</v>
      </c>
      <c r="O31">
        <f t="shared" si="5"/>
        <v>0.53823529411764692</v>
      </c>
      <c r="P31">
        <f t="shared" si="5"/>
        <v>3.9241176470588233</v>
      </c>
    </row>
    <row r="32" spans="1:22" x14ac:dyDescent="0.3">
      <c r="H32" t="s">
        <v>44</v>
      </c>
      <c r="I32">
        <f>STDEV(I2:I18)</f>
        <v>6.4010189905707353</v>
      </c>
      <c r="J32">
        <f>STDEV(J2:J18)</f>
        <v>216.41954410304842</v>
      </c>
      <c r="K32">
        <f>STDEV(K2:K18)</f>
        <v>6.9958733406188944</v>
      </c>
      <c r="L32">
        <f t="shared" ref="L32:P32" si="6">STDEV(L2:L18)</f>
        <v>50.461794028924963</v>
      </c>
      <c r="M32">
        <f t="shared" si="6"/>
        <v>5.0461794028924985E-2</v>
      </c>
      <c r="N32">
        <f t="shared" si="6"/>
        <v>0.79354191367338367</v>
      </c>
      <c r="O32">
        <f t="shared" si="6"/>
        <v>0.18755783421779709</v>
      </c>
      <c r="P32">
        <f t="shared" si="6"/>
        <v>2.0410323944744531</v>
      </c>
    </row>
    <row r="33" spans="7:16" x14ac:dyDescent="0.3">
      <c r="H33" t="s">
        <v>45</v>
      </c>
      <c r="I33">
        <f>I32/SQRT(17)</f>
        <v>1.5524751417475104</v>
      </c>
      <c r="J33">
        <f t="shared" ref="J33:P33" si="7">J32/SQRT(17)</f>
        <v>52.489449399111081</v>
      </c>
      <c r="K33">
        <f t="shared" si="7"/>
        <v>1.6967485133420224</v>
      </c>
      <c r="L33">
        <f t="shared" si="7"/>
        <v>12.238782755260011</v>
      </c>
      <c r="M33">
        <f t="shared" si="7"/>
        <v>1.2238782755260016E-2</v>
      </c>
      <c r="N33">
        <f t="shared" si="7"/>
        <v>0.19246218402530188</v>
      </c>
      <c r="O33">
        <f t="shared" si="7"/>
        <v>4.5489456552474335E-2</v>
      </c>
      <c r="P33">
        <f t="shared" si="7"/>
        <v>0.4950230675132648</v>
      </c>
    </row>
    <row r="35" spans="7:16" x14ac:dyDescent="0.3">
      <c r="G35" t="s">
        <v>38</v>
      </c>
      <c r="H35" t="s">
        <v>46</v>
      </c>
      <c r="I35">
        <f>AVERAGE(I19:I28)</f>
        <v>11.638</v>
      </c>
      <c r="J35">
        <f>AVERAGE(J19:J28)</f>
        <v>390.24891864258825</v>
      </c>
      <c r="K35">
        <f>AVERAGE(K19:K28)</f>
        <v>5.1213492063492065</v>
      </c>
      <c r="L35">
        <f>AVERAGE(L19:L28)</f>
        <v>53.561999999999998</v>
      </c>
      <c r="M35">
        <f>AVERAGE(M19:M28)</f>
        <v>5.3561999999999999E-2</v>
      </c>
      <c r="N35">
        <f>AVERAGE(N19:N28)</f>
        <v>0.26786611825396828</v>
      </c>
      <c r="O35">
        <f>AVERAGE(O19:O28)</f>
        <v>0.621</v>
      </c>
      <c r="P35">
        <f>AVERAGE(P19:P28)</f>
        <v>3.5140000000000002</v>
      </c>
    </row>
    <row r="36" spans="7:16" x14ac:dyDescent="0.3">
      <c r="H36" t="s">
        <v>44</v>
      </c>
      <c r="I36">
        <f>STDEV(I19:I28)</f>
        <v>3.711800401721816</v>
      </c>
      <c r="J36">
        <f>STDEV(J19:J28)</f>
        <v>365.6306729968228</v>
      </c>
      <c r="K36">
        <f>STDEV(K19:K28)</f>
        <v>4.1099192440966172</v>
      </c>
      <c r="L36">
        <f>STDEV(L19:L28)</f>
        <v>19.159173491799901</v>
      </c>
      <c r="M36">
        <f>STDEV(M19:M28)</f>
        <v>1.9159173491799911E-2</v>
      </c>
      <c r="N36">
        <f>STDEV(N19:N28)</f>
        <v>0.21373907198954331</v>
      </c>
      <c r="O36">
        <f>STDEV(O19:O28)</f>
        <v>0.3493629122337466</v>
      </c>
      <c r="P36">
        <f>STDEV(P19:P28)</f>
        <v>1.8906271740116056</v>
      </c>
    </row>
    <row r="37" spans="7:16" x14ac:dyDescent="0.3">
      <c r="H37" t="s">
        <v>45</v>
      </c>
      <c r="I37">
        <f>I36/SQRT(10)</f>
        <v>1.1737743489368915</v>
      </c>
      <c r="J37">
        <f t="shared" ref="J37:P37" si="8">J36/SQRT(10)</f>
        <v>115.62257090901825</v>
      </c>
      <c r="K37">
        <f t="shared" si="8"/>
        <v>1.2996705810702844</v>
      </c>
      <c r="L37">
        <f t="shared" si="8"/>
        <v>6.0586626320409023</v>
      </c>
      <c r="M37">
        <f t="shared" si="8"/>
        <v>6.058662632040906E-3</v>
      </c>
      <c r="N37">
        <f t="shared" si="8"/>
        <v>6.7590229245765382E-2</v>
      </c>
      <c r="O37">
        <f t="shared" si="8"/>
        <v>0.11047825326481429</v>
      </c>
      <c r="P37">
        <f t="shared" si="8"/>
        <v>0.59786880760841754</v>
      </c>
    </row>
    <row r="39" spans="7:16" x14ac:dyDescent="0.3">
      <c r="G39" t="s">
        <v>47</v>
      </c>
    </row>
    <row r="40" spans="7:16" x14ac:dyDescent="0.3">
      <c r="G40" t="s">
        <v>48</v>
      </c>
      <c r="H40" s="2"/>
      <c r="I40" s="1">
        <v>7.85</v>
      </c>
      <c r="J40" s="1">
        <v>2.8580000000000001</v>
      </c>
      <c r="K40" s="1">
        <v>2.5179999999999998</v>
      </c>
      <c r="L40" s="1">
        <v>4.9420000000000002</v>
      </c>
      <c r="M40" s="1"/>
      <c r="N40" s="1">
        <v>4.4379999999999997</v>
      </c>
      <c r="O40" s="1" t="s">
        <v>96</v>
      </c>
      <c r="P40" s="1" t="s">
        <v>97</v>
      </c>
    </row>
    <row r="41" spans="7:16" x14ac:dyDescent="0.3">
      <c r="G41" t="s">
        <v>49</v>
      </c>
      <c r="I41" s="9" t="s">
        <v>102</v>
      </c>
      <c r="J41" s="4" t="s">
        <v>98</v>
      </c>
      <c r="K41" s="4" t="s">
        <v>99</v>
      </c>
      <c r="L41" s="9" t="s">
        <v>103</v>
      </c>
      <c r="M41" s="4"/>
      <c r="N41" s="9" t="s">
        <v>104</v>
      </c>
      <c r="O41" s="4" t="s">
        <v>100</v>
      </c>
      <c r="P41" s="4" t="s">
        <v>101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sEPSC SST 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2025-07-12T13:38:09Z</dcterms:modified>
</cp:coreProperties>
</file>