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5CE6ACB4-691A-403F-95E1-3C856B017AB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IPSC BC L4" sheetId="13" r:id="rId1"/>
    <sheet name="mIPSC BC L4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8" i="19" l="1"/>
  <c r="O58" i="19"/>
  <c r="O59" i="19" s="1"/>
  <c r="L58" i="19"/>
  <c r="K58" i="19"/>
  <c r="I58" i="19"/>
  <c r="P57" i="19"/>
  <c r="O57" i="19"/>
  <c r="L57" i="19"/>
  <c r="K57" i="19"/>
  <c r="I57" i="19"/>
  <c r="P54" i="19"/>
  <c r="P55" i="19" s="1"/>
  <c r="O54" i="19"/>
  <c r="O55" i="19" s="1"/>
  <c r="L54" i="19"/>
  <c r="L55" i="19" s="1"/>
  <c r="K54" i="19"/>
  <c r="K55" i="19" s="1"/>
  <c r="I54" i="19"/>
  <c r="I55" i="19" s="1"/>
  <c r="P53" i="19"/>
  <c r="O53" i="19"/>
  <c r="L53" i="19"/>
  <c r="K53" i="19"/>
  <c r="I53" i="19"/>
  <c r="M50" i="19"/>
  <c r="J50" i="19"/>
  <c r="M49" i="19"/>
  <c r="J49" i="19"/>
  <c r="M48" i="19"/>
  <c r="J48" i="19"/>
  <c r="M47" i="19"/>
  <c r="J47" i="19"/>
  <c r="M46" i="19"/>
  <c r="J46" i="19"/>
  <c r="M45" i="19"/>
  <c r="J45" i="19"/>
  <c r="M44" i="19"/>
  <c r="J44" i="19"/>
  <c r="M43" i="19"/>
  <c r="J43" i="19"/>
  <c r="M42" i="19"/>
  <c r="J42" i="19"/>
  <c r="M41" i="19"/>
  <c r="J41" i="19"/>
  <c r="M40" i="19"/>
  <c r="J40" i="19"/>
  <c r="M39" i="19"/>
  <c r="J39" i="19"/>
  <c r="M38" i="19"/>
  <c r="J38" i="19"/>
  <c r="M37" i="19"/>
  <c r="J37" i="19"/>
  <c r="M36" i="19"/>
  <c r="J36" i="19"/>
  <c r="M35" i="19"/>
  <c r="J35" i="19"/>
  <c r="M34" i="19"/>
  <c r="J34" i="19"/>
  <c r="M33" i="19"/>
  <c r="J33" i="19"/>
  <c r="M32" i="19"/>
  <c r="J32" i="19"/>
  <c r="M31" i="19"/>
  <c r="J31" i="19"/>
  <c r="M30" i="19"/>
  <c r="J30" i="19"/>
  <c r="M29" i="19"/>
  <c r="J29" i="19"/>
  <c r="M28" i="19"/>
  <c r="J28" i="19"/>
  <c r="M27" i="19"/>
  <c r="J27" i="19"/>
  <c r="M26" i="19"/>
  <c r="J26" i="19"/>
  <c r="M25" i="19"/>
  <c r="J25" i="19"/>
  <c r="M24" i="19"/>
  <c r="J24" i="19"/>
  <c r="M23" i="19"/>
  <c r="J23" i="19"/>
  <c r="M22" i="19"/>
  <c r="J22" i="19"/>
  <c r="M21" i="19"/>
  <c r="J21" i="19"/>
  <c r="M20" i="19"/>
  <c r="N20" i="19" s="1"/>
  <c r="J20" i="19"/>
  <c r="M19" i="19"/>
  <c r="J19" i="19"/>
  <c r="M18" i="19"/>
  <c r="J18" i="19"/>
  <c r="M17" i="19"/>
  <c r="J17" i="19"/>
  <c r="M16" i="19"/>
  <c r="N16" i="19" s="1"/>
  <c r="J16" i="19"/>
  <c r="M15" i="19"/>
  <c r="J15" i="19"/>
  <c r="M14" i="19"/>
  <c r="J14" i="19"/>
  <c r="M13" i="19"/>
  <c r="J13" i="19"/>
  <c r="M12" i="19"/>
  <c r="N12" i="19" s="1"/>
  <c r="J12" i="19"/>
  <c r="M11" i="19"/>
  <c r="J11" i="19"/>
  <c r="M10" i="19"/>
  <c r="J10" i="19"/>
  <c r="M9" i="19"/>
  <c r="J9" i="19"/>
  <c r="M8" i="19"/>
  <c r="J8" i="19"/>
  <c r="M7" i="19"/>
  <c r="J7" i="19"/>
  <c r="M6" i="19"/>
  <c r="J6" i="19"/>
  <c r="M5" i="19"/>
  <c r="J5" i="19"/>
  <c r="M4" i="19"/>
  <c r="J4" i="19"/>
  <c r="M3" i="19"/>
  <c r="J3" i="19"/>
  <c r="M2" i="19"/>
  <c r="J2" i="19"/>
  <c r="P58" i="13"/>
  <c r="P59" i="13" s="1"/>
  <c r="O58" i="13"/>
  <c r="O59" i="13" s="1"/>
  <c r="L58" i="13"/>
  <c r="K58" i="13"/>
  <c r="K59" i="13" s="1"/>
  <c r="I58" i="13"/>
  <c r="I59" i="13" s="1"/>
  <c r="P57" i="13"/>
  <c r="O57" i="13"/>
  <c r="L57" i="13"/>
  <c r="K57" i="13"/>
  <c r="I57" i="13"/>
  <c r="P54" i="13"/>
  <c r="P55" i="13" s="1"/>
  <c r="O54" i="13"/>
  <c r="O55" i="13" s="1"/>
  <c r="L54" i="13"/>
  <c r="L55" i="13" s="1"/>
  <c r="K54" i="13"/>
  <c r="K55" i="13" s="1"/>
  <c r="I54" i="13"/>
  <c r="I55" i="13" s="1"/>
  <c r="P53" i="13"/>
  <c r="O53" i="13"/>
  <c r="L53" i="13"/>
  <c r="K53" i="13"/>
  <c r="I53" i="13"/>
  <c r="M50" i="13"/>
  <c r="J50" i="13"/>
  <c r="M49" i="13"/>
  <c r="J49" i="13"/>
  <c r="N49" i="13" s="1"/>
  <c r="M48" i="13"/>
  <c r="J48" i="13"/>
  <c r="M47" i="13"/>
  <c r="J47" i="13"/>
  <c r="M46" i="13"/>
  <c r="J46" i="13"/>
  <c r="M45" i="13"/>
  <c r="J45" i="13"/>
  <c r="M44" i="13"/>
  <c r="J44" i="13"/>
  <c r="M43" i="13"/>
  <c r="J43" i="13"/>
  <c r="M42" i="13"/>
  <c r="J42" i="13"/>
  <c r="M41" i="13"/>
  <c r="J41" i="13"/>
  <c r="M40" i="13"/>
  <c r="J40" i="13"/>
  <c r="M39" i="13"/>
  <c r="J39" i="13"/>
  <c r="M38" i="13"/>
  <c r="J38" i="13"/>
  <c r="M37" i="13"/>
  <c r="J37" i="13"/>
  <c r="M36" i="13"/>
  <c r="J36" i="13"/>
  <c r="M35" i="13"/>
  <c r="J35" i="13"/>
  <c r="M34" i="13"/>
  <c r="J34" i="13"/>
  <c r="M33" i="13"/>
  <c r="J33" i="13"/>
  <c r="N33" i="13" s="1"/>
  <c r="M32" i="13"/>
  <c r="J32" i="13"/>
  <c r="M31" i="13"/>
  <c r="J31" i="13"/>
  <c r="N31" i="13" s="1"/>
  <c r="M30" i="13"/>
  <c r="J30" i="13"/>
  <c r="M29" i="13"/>
  <c r="J29" i="13"/>
  <c r="M28" i="13"/>
  <c r="J28" i="13"/>
  <c r="M27" i="13"/>
  <c r="J27" i="13"/>
  <c r="M26" i="13"/>
  <c r="J26" i="13"/>
  <c r="M25" i="13"/>
  <c r="J25" i="13"/>
  <c r="M24" i="13"/>
  <c r="J24" i="13"/>
  <c r="M23" i="13"/>
  <c r="J23" i="13"/>
  <c r="M22" i="13"/>
  <c r="J22" i="13"/>
  <c r="M21" i="13"/>
  <c r="J21" i="13"/>
  <c r="M20" i="13"/>
  <c r="J20" i="13"/>
  <c r="M19" i="13"/>
  <c r="J19" i="13"/>
  <c r="N19" i="13" s="1"/>
  <c r="M18" i="13"/>
  <c r="J18" i="13"/>
  <c r="M17" i="13"/>
  <c r="J17" i="13"/>
  <c r="N17" i="13" s="1"/>
  <c r="M16" i="13"/>
  <c r="J16" i="13"/>
  <c r="M15" i="13"/>
  <c r="J15" i="13"/>
  <c r="N15" i="13" s="1"/>
  <c r="M14" i="13"/>
  <c r="J14" i="13"/>
  <c r="M13" i="13"/>
  <c r="J13" i="13"/>
  <c r="M12" i="13"/>
  <c r="J12" i="13"/>
  <c r="M11" i="13"/>
  <c r="J11" i="13"/>
  <c r="M10" i="13"/>
  <c r="J10" i="13"/>
  <c r="M9" i="13"/>
  <c r="J9" i="13"/>
  <c r="M8" i="13"/>
  <c r="J8" i="13"/>
  <c r="M7" i="13"/>
  <c r="J7" i="13"/>
  <c r="M6" i="13"/>
  <c r="J6" i="13"/>
  <c r="M5" i="13"/>
  <c r="J5" i="13"/>
  <c r="M4" i="13"/>
  <c r="J4" i="13"/>
  <c r="M3" i="13"/>
  <c r="J3" i="13"/>
  <c r="M2" i="13"/>
  <c r="J2" i="13"/>
  <c r="N28" i="19" l="1"/>
  <c r="N42" i="13"/>
  <c r="N3" i="13"/>
  <c r="N17" i="19"/>
  <c r="N25" i="19"/>
  <c r="N41" i="19"/>
  <c r="N49" i="19"/>
  <c r="N36" i="19"/>
  <c r="N14" i="19"/>
  <c r="N22" i="19"/>
  <c r="N26" i="19"/>
  <c r="N30" i="19"/>
  <c r="N38" i="19"/>
  <c r="N9" i="19"/>
  <c r="N4" i="19"/>
  <c r="N43" i="19"/>
  <c r="N44" i="19"/>
  <c r="N33" i="19"/>
  <c r="N6" i="19"/>
  <c r="N46" i="19"/>
  <c r="N50" i="19"/>
  <c r="N35" i="19"/>
  <c r="N3" i="19"/>
  <c r="N13" i="19"/>
  <c r="N23" i="19"/>
  <c r="N40" i="19"/>
  <c r="N47" i="19"/>
  <c r="N10" i="19"/>
  <c r="N27" i="19"/>
  <c r="J57" i="19"/>
  <c r="N37" i="19"/>
  <c r="P59" i="19"/>
  <c r="M54" i="19"/>
  <c r="M55" i="19" s="1"/>
  <c r="N24" i="19"/>
  <c r="N34" i="19"/>
  <c r="N48" i="19"/>
  <c r="N11" i="19"/>
  <c r="N21" i="19"/>
  <c r="N31" i="19"/>
  <c r="N8" i="19"/>
  <c r="N18" i="19"/>
  <c r="N45" i="19"/>
  <c r="J54" i="19"/>
  <c r="J55" i="19" s="1"/>
  <c r="N5" i="19"/>
  <c r="N15" i="19"/>
  <c r="J58" i="19"/>
  <c r="N32" i="19"/>
  <c r="N42" i="19"/>
  <c r="M53" i="19"/>
  <c r="N19" i="19"/>
  <c r="N29" i="19"/>
  <c r="N39" i="19"/>
  <c r="N35" i="13"/>
  <c r="N43" i="13"/>
  <c r="N12" i="13"/>
  <c r="N16" i="13"/>
  <c r="N32" i="13"/>
  <c r="N5" i="13"/>
  <c r="N10" i="13"/>
  <c r="N2" i="13"/>
  <c r="N48" i="13"/>
  <c r="N37" i="13"/>
  <c r="N14" i="13"/>
  <c r="N18" i="13"/>
  <c r="N26" i="13"/>
  <c r="N30" i="13"/>
  <c r="N34" i="13"/>
  <c r="N50" i="13"/>
  <c r="N21" i="13"/>
  <c r="N44" i="13"/>
  <c r="N46" i="13"/>
  <c r="N47" i="13"/>
  <c r="N11" i="13"/>
  <c r="M57" i="13"/>
  <c r="N36" i="13"/>
  <c r="J54" i="13"/>
  <c r="J55" i="13" s="1"/>
  <c r="N9" i="13"/>
  <c r="N23" i="13"/>
  <c r="N41" i="13"/>
  <c r="N40" i="13"/>
  <c r="J57" i="13"/>
  <c r="M58" i="13"/>
  <c r="M59" i="13" s="1"/>
  <c r="N8" i="13"/>
  <c r="N29" i="13"/>
  <c r="N6" i="13"/>
  <c r="N13" i="13"/>
  <c r="N20" i="13"/>
  <c r="N24" i="13"/>
  <c r="N27" i="13"/>
  <c r="N38" i="13"/>
  <c r="N45" i="13"/>
  <c r="M53" i="13"/>
  <c r="N22" i="13"/>
  <c r="N7" i="13"/>
  <c r="N25" i="13"/>
  <c r="N39" i="13"/>
  <c r="J59" i="19"/>
  <c r="N7" i="19"/>
  <c r="I59" i="19"/>
  <c r="N2" i="19"/>
  <c r="M57" i="19"/>
  <c r="K59" i="19"/>
  <c r="J53" i="19"/>
  <c r="M58" i="19"/>
  <c r="L59" i="19"/>
  <c r="J58" i="13"/>
  <c r="M54" i="13"/>
  <c r="M55" i="13" s="1"/>
  <c r="N4" i="13"/>
  <c r="N28" i="13"/>
  <c r="L59" i="13"/>
  <c r="J53" i="13"/>
  <c r="N57" i="19" l="1"/>
  <c r="N58" i="19"/>
  <c r="N59" i="19" s="1"/>
  <c r="N58" i="13"/>
  <c r="N59" i="13" s="1"/>
  <c r="N57" i="13"/>
  <c r="N53" i="13"/>
  <c r="N53" i="19"/>
  <c r="N54" i="19"/>
  <c r="N55" i="19" s="1"/>
  <c r="M59" i="19"/>
  <c r="J59" i="13"/>
  <c r="N54" i="13"/>
  <c r="N55" i="13" s="1"/>
</calcChain>
</file>

<file path=xl/sharedStrings.xml><?xml version="1.0" encoding="utf-8"?>
<sst xmlns="http://schemas.openxmlformats.org/spreadsheetml/2006/main" count="876" uniqueCount="113">
  <si>
    <t>Cell</t>
  </si>
  <si>
    <t>Mouse line</t>
  </si>
  <si>
    <t>Genotype</t>
  </si>
  <si>
    <t>Sex</t>
  </si>
  <si>
    <t>DOB</t>
  </si>
  <si>
    <t>Mouse #</t>
  </si>
  <si>
    <t>Age</t>
  </si>
  <si>
    <t>Amplitude</t>
  </si>
  <si>
    <t>Inter Event interval</t>
  </si>
  <si>
    <t>Frequency</t>
  </si>
  <si>
    <t>AUC</t>
  </si>
  <si>
    <t>AUC/1000</t>
  </si>
  <si>
    <t>Rise</t>
  </si>
  <si>
    <t>Decay</t>
  </si>
  <si>
    <t>File</t>
  </si>
  <si>
    <t>Current injected</t>
  </si>
  <si>
    <t>Ra</t>
  </si>
  <si>
    <t>Anatomy</t>
  </si>
  <si>
    <t>Layer</t>
  </si>
  <si>
    <t>Tag</t>
  </si>
  <si>
    <t>BC</t>
  </si>
  <si>
    <t>GFP</t>
  </si>
  <si>
    <t>cHet</t>
  </si>
  <si>
    <t>SD</t>
  </si>
  <si>
    <t>SE</t>
  </si>
  <si>
    <t>AVG</t>
  </si>
  <si>
    <t>F value</t>
  </si>
  <si>
    <t>p value</t>
  </si>
  <si>
    <t>control</t>
  </si>
  <si>
    <t>AUC x Freq</t>
  </si>
  <si>
    <t>animal 1</t>
  </si>
  <si>
    <t>200122RF2</t>
  </si>
  <si>
    <t>Nkx2.1cre RCE Syngap1 flox</t>
  </si>
  <si>
    <t>M</t>
  </si>
  <si>
    <t>29.10.21</t>
  </si>
  <si>
    <t>M684</t>
  </si>
  <si>
    <t>200122RF3</t>
  </si>
  <si>
    <t>200122RF4</t>
  </si>
  <si>
    <t>animal 2</t>
  </si>
  <si>
    <t>210122RF1</t>
  </si>
  <si>
    <t>M685</t>
  </si>
  <si>
    <t>210122RF3</t>
  </si>
  <si>
    <t>210122RF5</t>
  </si>
  <si>
    <t>animal 3</t>
  </si>
  <si>
    <t>250122RF1</t>
  </si>
  <si>
    <t>M691</t>
  </si>
  <si>
    <t>250122RF2</t>
  </si>
  <si>
    <t>250122RF3b</t>
  </si>
  <si>
    <t>250122RF4</t>
  </si>
  <si>
    <t>250122RF5</t>
  </si>
  <si>
    <t>animal 4</t>
  </si>
  <si>
    <t>040222RF2</t>
  </si>
  <si>
    <t>24.11.21</t>
  </si>
  <si>
    <t>N14</t>
  </si>
  <si>
    <t>animal 5</t>
  </si>
  <si>
    <t>070222RF2</t>
  </si>
  <si>
    <t>N15</t>
  </si>
  <si>
    <t>070222RF4</t>
  </si>
  <si>
    <t>animal 6</t>
  </si>
  <si>
    <t>020522RF1</t>
  </si>
  <si>
    <t>17.02.22</t>
  </si>
  <si>
    <t>020522RF2</t>
  </si>
  <si>
    <t>020522RF3</t>
  </si>
  <si>
    <t>020522RF4</t>
  </si>
  <si>
    <t>020522RF5</t>
  </si>
  <si>
    <t>animal 7</t>
  </si>
  <si>
    <t>030522RF1</t>
  </si>
  <si>
    <t>28.02.22</t>
  </si>
  <si>
    <t>030522RF2</t>
  </si>
  <si>
    <t>030522RF3</t>
  </si>
  <si>
    <t>030522RF4</t>
  </si>
  <si>
    <t>animal 8</t>
  </si>
  <si>
    <t>170522RF1</t>
  </si>
  <si>
    <t>11.03.22</t>
  </si>
  <si>
    <t xml:space="preserve">BC </t>
  </si>
  <si>
    <t>170522RF4</t>
  </si>
  <si>
    <t>animal 9</t>
  </si>
  <si>
    <t>290422RF1</t>
  </si>
  <si>
    <t>cHET</t>
  </si>
  <si>
    <t>290422RF3</t>
  </si>
  <si>
    <t>290422RF4</t>
  </si>
  <si>
    <t>animal 10</t>
  </si>
  <si>
    <t>040522RF2</t>
  </si>
  <si>
    <t>040522RF3</t>
  </si>
  <si>
    <t>040522RF4</t>
  </si>
  <si>
    <t>040522RF5</t>
  </si>
  <si>
    <t>040522RF6</t>
  </si>
  <si>
    <t>aniaml 11</t>
  </si>
  <si>
    <t>050522RF1</t>
  </si>
  <si>
    <t>animal 11</t>
  </si>
  <si>
    <t>050522RF2</t>
  </si>
  <si>
    <t>animal 12</t>
  </si>
  <si>
    <t>180522RF1</t>
  </si>
  <si>
    <t>180522RF3</t>
  </si>
  <si>
    <t>180522RF4</t>
  </si>
  <si>
    <t>180522RF5</t>
  </si>
  <si>
    <t>animal 13</t>
  </si>
  <si>
    <t>041022RF3</t>
  </si>
  <si>
    <t>13.06.22</t>
  </si>
  <si>
    <t>animal 14</t>
  </si>
  <si>
    <t>181022RF1</t>
  </si>
  <si>
    <t>01.08.22</t>
  </si>
  <si>
    <t>181022RF2</t>
  </si>
  <si>
    <t>181022RF4</t>
  </si>
  <si>
    <t>181022RF5</t>
  </si>
  <si>
    <t>181022RF6</t>
  </si>
  <si>
    <t>animal 15</t>
  </si>
  <si>
    <t>191022RF2</t>
  </si>
  <si>
    <t>191022RF3</t>
  </si>
  <si>
    <t>191022RF5</t>
  </si>
  <si>
    <t>191022RF6</t>
  </si>
  <si>
    <t>LMM Statistic</t>
  </si>
  <si>
    <t>*0.009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</si>
</sst>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"/>
    <numFmt numFmtId="165" formatCode="#,##0.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65" fontId="0" fillId="0" borderId="0" xfId="0" applyNumberFormat="1"/>
    <xf numFmtId="0" fontId="2" fillId="0" borderId="0" xfId="0" applyFont="1"/>
    <xf numFmtId="0" fontId="6" fillId="0" borderId="0" xfId="0" applyFont="1"/>
    <xf numFmtId="2" fontId="0" fillId="0" borderId="0" xfId="0" applyNumberFormat="1"/>
    <xf numFmtId="2" fontId="6" fillId="0" borderId="0" xfId="0" applyNumberFormat="1" applyFont="1"/>
    <xf numFmtId="0" fontId="4" fillId="0" borderId="0" xfId="1" applyFill="1"/>
    <xf numFmtId="164" fontId="0" fillId="0" borderId="0" xfId="0" applyNumberFormat="1"/>
    <xf numFmtId="0" fontId="3" fillId="0" borderId="0" xfId="0" applyFont="1"/>
    <xf numFmtId="0" fontId="7" fillId="0" borderId="0" xfId="0" applyFont="1"/>
    <xf numFmtId="0" fontId="5" fillId="0" borderId="0" xfId="0" applyFont="1"/>
    <xf numFmtId="0" fontId="6" fillId="2" borderId="0" xfId="0" applyFont="1" applyFill="1"/>
    <xf numFmtId="166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V163"/>
  <sheetViews>
    <sheetView topLeftCell="A43" workbookViewId="0">
      <selection activeCell="A60" sqref="A60:XFD62"/>
    </sheetView>
  </sheetViews>
  <sheetFormatPr defaultColWidth="8.77734375" defaultRowHeight="14.4" x14ac:dyDescent="0.3"/>
  <cols>
    <col min="1" max="1" width="10.21875" customWidth="1"/>
    <col min="2" max="2" width="11.6640625" customWidth="1"/>
    <col min="3" max="3" width="24.5546875" bestFit="1" customWidth="1"/>
    <col min="4" max="4" width="9.21875" customWidth="1"/>
    <col min="5" max="5" width="4.5546875" customWidth="1"/>
    <col min="6" max="6" width="11.109375" customWidth="1"/>
    <col min="7" max="7" width="8.6640625" style="15" customWidth="1"/>
    <col min="8" max="8" width="5.109375" customWidth="1"/>
    <col min="9" max="9" width="9.44140625" customWidth="1"/>
    <col min="10" max="10" width="10.109375" customWidth="1"/>
    <col min="12" max="12" width="8.77734375" customWidth="1"/>
    <col min="14" max="14" width="9.88671875" bestFit="1" customWidth="1"/>
    <col min="15" max="15" width="6.44140625" customWidth="1"/>
    <col min="16" max="16" width="8.77734375" customWidth="1"/>
    <col min="17" max="17" width="5.109375" customWidth="1"/>
    <col min="19" max="19" width="5.88671875" customWidth="1"/>
    <col min="231" max="231" width="10.21875" customWidth="1"/>
    <col min="232" max="232" width="11.6640625" customWidth="1"/>
    <col min="233" max="233" width="24.5546875" bestFit="1" customWidth="1"/>
    <col min="234" max="234" width="12" customWidth="1"/>
    <col min="235" max="238" width="11.109375" customWidth="1"/>
    <col min="239" max="239" width="9.44140625" customWidth="1"/>
    <col min="240" max="240" width="10.109375" customWidth="1"/>
    <col min="244" max="244" width="9.88671875" bestFit="1" customWidth="1"/>
    <col min="245" max="245" width="14.109375" customWidth="1"/>
    <col min="247" max="247" width="17.77734375" customWidth="1"/>
    <col min="248" max="248" width="9.77734375" customWidth="1"/>
    <col min="250" max="250" width="10.109375" customWidth="1"/>
    <col min="252" max="253" width="14" customWidth="1"/>
    <col min="254" max="254" width="12.33203125" customWidth="1"/>
    <col min="487" max="487" width="10.21875" customWidth="1"/>
    <col min="488" max="488" width="11.6640625" customWidth="1"/>
    <col min="489" max="489" width="24.5546875" bestFit="1" customWidth="1"/>
    <col min="490" max="490" width="12" customWidth="1"/>
    <col min="491" max="494" width="11.109375" customWidth="1"/>
    <col min="495" max="495" width="9.44140625" customWidth="1"/>
    <col min="496" max="496" width="10.109375" customWidth="1"/>
    <col min="500" max="500" width="9.88671875" bestFit="1" customWidth="1"/>
    <col min="501" max="501" width="14.109375" customWidth="1"/>
    <col min="503" max="503" width="17.77734375" customWidth="1"/>
    <col min="504" max="504" width="9.77734375" customWidth="1"/>
    <col min="506" max="506" width="10.109375" customWidth="1"/>
    <col min="508" max="509" width="14" customWidth="1"/>
    <col min="510" max="510" width="12.33203125" customWidth="1"/>
    <col min="743" max="743" width="10.21875" customWidth="1"/>
    <col min="744" max="744" width="11.6640625" customWidth="1"/>
    <col min="745" max="745" width="24.5546875" bestFit="1" customWidth="1"/>
    <col min="746" max="746" width="12" customWidth="1"/>
    <col min="747" max="750" width="11.109375" customWidth="1"/>
    <col min="751" max="751" width="9.44140625" customWidth="1"/>
    <col min="752" max="752" width="10.109375" customWidth="1"/>
    <col min="756" max="756" width="9.88671875" bestFit="1" customWidth="1"/>
    <col min="757" max="757" width="14.109375" customWidth="1"/>
    <col min="759" max="759" width="17.77734375" customWidth="1"/>
    <col min="760" max="760" width="9.77734375" customWidth="1"/>
    <col min="762" max="762" width="10.109375" customWidth="1"/>
    <col min="764" max="765" width="14" customWidth="1"/>
    <col min="766" max="766" width="12.33203125" customWidth="1"/>
    <col min="999" max="999" width="10.21875" customWidth="1"/>
    <col min="1000" max="1000" width="11.6640625" customWidth="1"/>
    <col min="1001" max="1001" width="24.5546875" bestFit="1" customWidth="1"/>
    <col min="1002" max="1002" width="12" customWidth="1"/>
    <col min="1003" max="1006" width="11.109375" customWidth="1"/>
    <col min="1007" max="1007" width="9.44140625" customWidth="1"/>
    <col min="1008" max="1008" width="10.109375" customWidth="1"/>
    <col min="1012" max="1012" width="9.88671875" bestFit="1" customWidth="1"/>
    <col min="1013" max="1013" width="14.109375" customWidth="1"/>
    <col min="1015" max="1015" width="17.77734375" customWidth="1"/>
    <col min="1016" max="1016" width="9.77734375" customWidth="1"/>
    <col min="1018" max="1018" width="10.109375" customWidth="1"/>
    <col min="1020" max="1021" width="14" customWidth="1"/>
    <col min="1022" max="1022" width="12.33203125" customWidth="1"/>
    <col min="1255" max="1255" width="10.21875" customWidth="1"/>
    <col min="1256" max="1256" width="11.6640625" customWidth="1"/>
    <col min="1257" max="1257" width="24.5546875" bestFit="1" customWidth="1"/>
    <col min="1258" max="1258" width="12" customWidth="1"/>
    <col min="1259" max="1262" width="11.109375" customWidth="1"/>
    <col min="1263" max="1263" width="9.44140625" customWidth="1"/>
    <col min="1264" max="1264" width="10.109375" customWidth="1"/>
    <col min="1268" max="1268" width="9.88671875" bestFit="1" customWidth="1"/>
    <col min="1269" max="1269" width="14.109375" customWidth="1"/>
    <col min="1271" max="1271" width="17.77734375" customWidth="1"/>
    <col min="1272" max="1272" width="9.77734375" customWidth="1"/>
    <col min="1274" max="1274" width="10.109375" customWidth="1"/>
    <col min="1276" max="1277" width="14" customWidth="1"/>
    <col min="1278" max="1278" width="12.33203125" customWidth="1"/>
    <col min="1511" max="1511" width="10.21875" customWidth="1"/>
    <col min="1512" max="1512" width="11.6640625" customWidth="1"/>
    <col min="1513" max="1513" width="24.5546875" bestFit="1" customWidth="1"/>
    <col min="1514" max="1514" width="12" customWidth="1"/>
    <col min="1515" max="1518" width="11.109375" customWidth="1"/>
    <col min="1519" max="1519" width="9.44140625" customWidth="1"/>
    <col min="1520" max="1520" width="10.109375" customWidth="1"/>
    <col min="1524" max="1524" width="9.88671875" bestFit="1" customWidth="1"/>
    <col min="1525" max="1525" width="14.109375" customWidth="1"/>
    <col min="1527" max="1527" width="17.77734375" customWidth="1"/>
    <col min="1528" max="1528" width="9.77734375" customWidth="1"/>
    <col min="1530" max="1530" width="10.109375" customWidth="1"/>
    <col min="1532" max="1533" width="14" customWidth="1"/>
    <col min="1534" max="1534" width="12.33203125" customWidth="1"/>
    <col min="1767" max="1767" width="10.21875" customWidth="1"/>
    <col min="1768" max="1768" width="11.6640625" customWidth="1"/>
    <col min="1769" max="1769" width="24.5546875" bestFit="1" customWidth="1"/>
    <col min="1770" max="1770" width="12" customWidth="1"/>
    <col min="1771" max="1774" width="11.109375" customWidth="1"/>
    <col min="1775" max="1775" width="9.44140625" customWidth="1"/>
    <col min="1776" max="1776" width="10.109375" customWidth="1"/>
    <col min="1780" max="1780" width="9.88671875" bestFit="1" customWidth="1"/>
    <col min="1781" max="1781" width="14.109375" customWidth="1"/>
    <col min="1783" max="1783" width="17.77734375" customWidth="1"/>
    <col min="1784" max="1784" width="9.77734375" customWidth="1"/>
    <col min="1786" max="1786" width="10.109375" customWidth="1"/>
    <col min="1788" max="1789" width="14" customWidth="1"/>
    <col min="1790" max="1790" width="12.33203125" customWidth="1"/>
    <col min="2023" max="2023" width="10.21875" customWidth="1"/>
    <col min="2024" max="2024" width="11.6640625" customWidth="1"/>
    <col min="2025" max="2025" width="24.5546875" bestFit="1" customWidth="1"/>
    <col min="2026" max="2026" width="12" customWidth="1"/>
    <col min="2027" max="2030" width="11.109375" customWidth="1"/>
    <col min="2031" max="2031" width="9.44140625" customWidth="1"/>
    <col min="2032" max="2032" width="10.109375" customWidth="1"/>
    <col min="2036" max="2036" width="9.88671875" bestFit="1" customWidth="1"/>
    <col min="2037" max="2037" width="14.109375" customWidth="1"/>
    <col min="2039" max="2039" width="17.77734375" customWidth="1"/>
    <col min="2040" max="2040" width="9.77734375" customWidth="1"/>
    <col min="2042" max="2042" width="10.109375" customWidth="1"/>
    <col min="2044" max="2045" width="14" customWidth="1"/>
    <col min="2046" max="2046" width="12.33203125" customWidth="1"/>
    <col min="2279" max="2279" width="10.21875" customWidth="1"/>
    <col min="2280" max="2280" width="11.6640625" customWidth="1"/>
    <col min="2281" max="2281" width="24.5546875" bestFit="1" customWidth="1"/>
    <col min="2282" max="2282" width="12" customWidth="1"/>
    <col min="2283" max="2286" width="11.109375" customWidth="1"/>
    <col min="2287" max="2287" width="9.44140625" customWidth="1"/>
    <col min="2288" max="2288" width="10.109375" customWidth="1"/>
    <col min="2292" max="2292" width="9.88671875" bestFit="1" customWidth="1"/>
    <col min="2293" max="2293" width="14.109375" customWidth="1"/>
    <col min="2295" max="2295" width="17.77734375" customWidth="1"/>
    <col min="2296" max="2296" width="9.77734375" customWidth="1"/>
    <col min="2298" max="2298" width="10.109375" customWidth="1"/>
    <col min="2300" max="2301" width="14" customWidth="1"/>
    <col min="2302" max="2302" width="12.33203125" customWidth="1"/>
    <col min="2535" max="2535" width="10.21875" customWidth="1"/>
    <col min="2536" max="2536" width="11.6640625" customWidth="1"/>
    <col min="2537" max="2537" width="24.5546875" bestFit="1" customWidth="1"/>
    <col min="2538" max="2538" width="12" customWidth="1"/>
    <col min="2539" max="2542" width="11.109375" customWidth="1"/>
    <col min="2543" max="2543" width="9.44140625" customWidth="1"/>
    <col min="2544" max="2544" width="10.109375" customWidth="1"/>
    <col min="2548" max="2548" width="9.88671875" bestFit="1" customWidth="1"/>
    <col min="2549" max="2549" width="14.109375" customWidth="1"/>
    <col min="2551" max="2551" width="17.77734375" customWidth="1"/>
    <col min="2552" max="2552" width="9.77734375" customWidth="1"/>
    <col min="2554" max="2554" width="10.109375" customWidth="1"/>
    <col min="2556" max="2557" width="14" customWidth="1"/>
    <col min="2558" max="2558" width="12.33203125" customWidth="1"/>
    <col min="2791" max="2791" width="10.21875" customWidth="1"/>
    <col min="2792" max="2792" width="11.6640625" customWidth="1"/>
    <col min="2793" max="2793" width="24.5546875" bestFit="1" customWidth="1"/>
    <col min="2794" max="2794" width="12" customWidth="1"/>
    <col min="2795" max="2798" width="11.109375" customWidth="1"/>
    <col min="2799" max="2799" width="9.44140625" customWidth="1"/>
    <col min="2800" max="2800" width="10.109375" customWidth="1"/>
    <col min="2804" max="2804" width="9.88671875" bestFit="1" customWidth="1"/>
    <col min="2805" max="2805" width="14.109375" customWidth="1"/>
    <col min="2807" max="2807" width="17.77734375" customWidth="1"/>
    <col min="2808" max="2808" width="9.77734375" customWidth="1"/>
    <col min="2810" max="2810" width="10.109375" customWidth="1"/>
    <col min="2812" max="2813" width="14" customWidth="1"/>
    <col min="2814" max="2814" width="12.33203125" customWidth="1"/>
    <col min="3047" max="3047" width="10.21875" customWidth="1"/>
    <col min="3048" max="3048" width="11.6640625" customWidth="1"/>
    <col min="3049" max="3049" width="24.5546875" bestFit="1" customWidth="1"/>
    <col min="3050" max="3050" width="12" customWidth="1"/>
    <col min="3051" max="3054" width="11.109375" customWidth="1"/>
    <col min="3055" max="3055" width="9.44140625" customWidth="1"/>
    <col min="3056" max="3056" width="10.109375" customWidth="1"/>
    <col min="3060" max="3060" width="9.88671875" bestFit="1" customWidth="1"/>
    <col min="3061" max="3061" width="14.109375" customWidth="1"/>
    <col min="3063" max="3063" width="17.77734375" customWidth="1"/>
    <col min="3064" max="3064" width="9.77734375" customWidth="1"/>
    <col min="3066" max="3066" width="10.109375" customWidth="1"/>
    <col min="3068" max="3069" width="14" customWidth="1"/>
    <col min="3070" max="3070" width="12.33203125" customWidth="1"/>
    <col min="3303" max="3303" width="10.21875" customWidth="1"/>
    <col min="3304" max="3304" width="11.6640625" customWidth="1"/>
    <col min="3305" max="3305" width="24.5546875" bestFit="1" customWidth="1"/>
    <col min="3306" max="3306" width="12" customWidth="1"/>
    <col min="3307" max="3310" width="11.109375" customWidth="1"/>
    <col min="3311" max="3311" width="9.44140625" customWidth="1"/>
    <col min="3312" max="3312" width="10.109375" customWidth="1"/>
    <col min="3316" max="3316" width="9.88671875" bestFit="1" customWidth="1"/>
    <col min="3317" max="3317" width="14.109375" customWidth="1"/>
    <col min="3319" max="3319" width="17.77734375" customWidth="1"/>
    <col min="3320" max="3320" width="9.77734375" customWidth="1"/>
    <col min="3322" max="3322" width="10.109375" customWidth="1"/>
    <col min="3324" max="3325" width="14" customWidth="1"/>
    <col min="3326" max="3326" width="12.33203125" customWidth="1"/>
    <col min="3559" max="3559" width="10.21875" customWidth="1"/>
    <col min="3560" max="3560" width="11.6640625" customWidth="1"/>
    <col min="3561" max="3561" width="24.5546875" bestFit="1" customWidth="1"/>
    <col min="3562" max="3562" width="12" customWidth="1"/>
    <col min="3563" max="3566" width="11.109375" customWidth="1"/>
    <col min="3567" max="3567" width="9.44140625" customWidth="1"/>
    <col min="3568" max="3568" width="10.109375" customWidth="1"/>
    <col min="3572" max="3572" width="9.88671875" bestFit="1" customWidth="1"/>
    <col min="3573" max="3573" width="14.109375" customWidth="1"/>
    <col min="3575" max="3575" width="17.77734375" customWidth="1"/>
    <col min="3576" max="3576" width="9.77734375" customWidth="1"/>
    <col min="3578" max="3578" width="10.109375" customWidth="1"/>
    <col min="3580" max="3581" width="14" customWidth="1"/>
    <col min="3582" max="3582" width="12.33203125" customWidth="1"/>
    <col min="3815" max="3815" width="10.21875" customWidth="1"/>
    <col min="3816" max="3816" width="11.6640625" customWidth="1"/>
    <col min="3817" max="3817" width="24.5546875" bestFit="1" customWidth="1"/>
    <col min="3818" max="3818" width="12" customWidth="1"/>
    <col min="3819" max="3822" width="11.109375" customWidth="1"/>
    <col min="3823" max="3823" width="9.44140625" customWidth="1"/>
    <col min="3824" max="3824" width="10.109375" customWidth="1"/>
    <col min="3828" max="3828" width="9.88671875" bestFit="1" customWidth="1"/>
    <col min="3829" max="3829" width="14.109375" customWidth="1"/>
    <col min="3831" max="3831" width="17.77734375" customWidth="1"/>
    <col min="3832" max="3832" width="9.77734375" customWidth="1"/>
    <col min="3834" max="3834" width="10.109375" customWidth="1"/>
    <col min="3836" max="3837" width="14" customWidth="1"/>
    <col min="3838" max="3838" width="12.33203125" customWidth="1"/>
    <col min="4071" max="4071" width="10.21875" customWidth="1"/>
    <col min="4072" max="4072" width="11.6640625" customWidth="1"/>
    <col min="4073" max="4073" width="24.5546875" bestFit="1" customWidth="1"/>
    <col min="4074" max="4074" width="12" customWidth="1"/>
    <col min="4075" max="4078" width="11.109375" customWidth="1"/>
    <col min="4079" max="4079" width="9.44140625" customWidth="1"/>
    <col min="4080" max="4080" width="10.109375" customWidth="1"/>
    <col min="4084" max="4084" width="9.88671875" bestFit="1" customWidth="1"/>
    <col min="4085" max="4085" width="14.109375" customWidth="1"/>
    <col min="4087" max="4087" width="17.77734375" customWidth="1"/>
    <col min="4088" max="4088" width="9.77734375" customWidth="1"/>
    <col min="4090" max="4090" width="10.109375" customWidth="1"/>
    <col min="4092" max="4093" width="14" customWidth="1"/>
    <col min="4094" max="4094" width="12.33203125" customWidth="1"/>
    <col min="4327" max="4327" width="10.21875" customWidth="1"/>
    <col min="4328" max="4328" width="11.6640625" customWidth="1"/>
    <col min="4329" max="4329" width="24.5546875" bestFit="1" customWidth="1"/>
    <col min="4330" max="4330" width="12" customWidth="1"/>
    <col min="4331" max="4334" width="11.109375" customWidth="1"/>
    <col min="4335" max="4335" width="9.44140625" customWidth="1"/>
    <col min="4336" max="4336" width="10.109375" customWidth="1"/>
    <col min="4340" max="4340" width="9.88671875" bestFit="1" customWidth="1"/>
    <col min="4341" max="4341" width="14.109375" customWidth="1"/>
    <col min="4343" max="4343" width="17.77734375" customWidth="1"/>
    <col min="4344" max="4344" width="9.77734375" customWidth="1"/>
    <col min="4346" max="4346" width="10.109375" customWidth="1"/>
    <col min="4348" max="4349" width="14" customWidth="1"/>
    <col min="4350" max="4350" width="12.33203125" customWidth="1"/>
    <col min="4583" max="4583" width="10.21875" customWidth="1"/>
    <col min="4584" max="4584" width="11.6640625" customWidth="1"/>
    <col min="4585" max="4585" width="24.5546875" bestFit="1" customWidth="1"/>
    <col min="4586" max="4586" width="12" customWidth="1"/>
    <col min="4587" max="4590" width="11.109375" customWidth="1"/>
    <col min="4591" max="4591" width="9.44140625" customWidth="1"/>
    <col min="4592" max="4592" width="10.109375" customWidth="1"/>
    <col min="4596" max="4596" width="9.88671875" bestFit="1" customWidth="1"/>
    <col min="4597" max="4597" width="14.109375" customWidth="1"/>
    <col min="4599" max="4599" width="17.77734375" customWidth="1"/>
    <col min="4600" max="4600" width="9.77734375" customWidth="1"/>
    <col min="4602" max="4602" width="10.109375" customWidth="1"/>
    <col min="4604" max="4605" width="14" customWidth="1"/>
    <col min="4606" max="4606" width="12.33203125" customWidth="1"/>
    <col min="4839" max="4839" width="10.21875" customWidth="1"/>
    <col min="4840" max="4840" width="11.6640625" customWidth="1"/>
    <col min="4841" max="4841" width="24.5546875" bestFit="1" customWidth="1"/>
    <col min="4842" max="4842" width="12" customWidth="1"/>
    <col min="4843" max="4846" width="11.109375" customWidth="1"/>
    <col min="4847" max="4847" width="9.44140625" customWidth="1"/>
    <col min="4848" max="4848" width="10.109375" customWidth="1"/>
    <col min="4852" max="4852" width="9.88671875" bestFit="1" customWidth="1"/>
    <col min="4853" max="4853" width="14.109375" customWidth="1"/>
    <col min="4855" max="4855" width="17.77734375" customWidth="1"/>
    <col min="4856" max="4856" width="9.77734375" customWidth="1"/>
    <col min="4858" max="4858" width="10.109375" customWidth="1"/>
    <col min="4860" max="4861" width="14" customWidth="1"/>
    <col min="4862" max="4862" width="12.33203125" customWidth="1"/>
    <col min="5095" max="5095" width="10.21875" customWidth="1"/>
    <col min="5096" max="5096" width="11.6640625" customWidth="1"/>
    <col min="5097" max="5097" width="24.5546875" bestFit="1" customWidth="1"/>
    <col min="5098" max="5098" width="12" customWidth="1"/>
    <col min="5099" max="5102" width="11.109375" customWidth="1"/>
    <col min="5103" max="5103" width="9.44140625" customWidth="1"/>
    <col min="5104" max="5104" width="10.109375" customWidth="1"/>
    <col min="5108" max="5108" width="9.88671875" bestFit="1" customWidth="1"/>
    <col min="5109" max="5109" width="14.109375" customWidth="1"/>
    <col min="5111" max="5111" width="17.77734375" customWidth="1"/>
    <col min="5112" max="5112" width="9.77734375" customWidth="1"/>
    <col min="5114" max="5114" width="10.109375" customWidth="1"/>
    <col min="5116" max="5117" width="14" customWidth="1"/>
    <col min="5118" max="5118" width="12.33203125" customWidth="1"/>
    <col min="5351" max="5351" width="10.21875" customWidth="1"/>
    <col min="5352" max="5352" width="11.6640625" customWidth="1"/>
    <col min="5353" max="5353" width="24.5546875" bestFit="1" customWidth="1"/>
    <col min="5354" max="5354" width="12" customWidth="1"/>
    <col min="5355" max="5358" width="11.109375" customWidth="1"/>
    <col min="5359" max="5359" width="9.44140625" customWidth="1"/>
    <col min="5360" max="5360" width="10.109375" customWidth="1"/>
    <col min="5364" max="5364" width="9.88671875" bestFit="1" customWidth="1"/>
    <col min="5365" max="5365" width="14.109375" customWidth="1"/>
    <col min="5367" max="5367" width="17.77734375" customWidth="1"/>
    <col min="5368" max="5368" width="9.77734375" customWidth="1"/>
    <col min="5370" max="5370" width="10.109375" customWidth="1"/>
    <col min="5372" max="5373" width="14" customWidth="1"/>
    <col min="5374" max="5374" width="12.33203125" customWidth="1"/>
    <col min="5607" max="5607" width="10.21875" customWidth="1"/>
    <col min="5608" max="5608" width="11.6640625" customWidth="1"/>
    <col min="5609" max="5609" width="24.5546875" bestFit="1" customWidth="1"/>
    <col min="5610" max="5610" width="12" customWidth="1"/>
    <col min="5611" max="5614" width="11.109375" customWidth="1"/>
    <col min="5615" max="5615" width="9.44140625" customWidth="1"/>
    <col min="5616" max="5616" width="10.109375" customWidth="1"/>
    <col min="5620" max="5620" width="9.88671875" bestFit="1" customWidth="1"/>
    <col min="5621" max="5621" width="14.109375" customWidth="1"/>
    <col min="5623" max="5623" width="17.77734375" customWidth="1"/>
    <col min="5624" max="5624" width="9.77734375" customWidth="1"/>
    <col min="5626" max="5626" width="10.109375" customWidth="1"/>
    <col min="5628" max="5629" width="14" customWidth="1"/>
    <col min="5630" max="5630" width="12.33203125" customWidth="1"/>
    <col min="5863" max="5863" width="10.21875" customWidth="1"/>
    <col min="5864" max="5864" width="11.6640625" customWidth="1"/>
    <col min="5865" max="5865" width="24.5546875" bestFit="1" customWidth="1"/>
    <col min="5866" max="5866" width="12" customWidth="1"/>
    <col min="5867" max="5870" width="11.109375" customWidth="1"/>
    <col min="5871" max="5871" width="9.44140625" customWidth="1"/>
    <col min="5872" max="5872" width="10.109375" customWidth="1"/>
    <col min="5876" max="5876" width="9.88671875" bestFit="1" customWidth="1"/>
    <col min="5877" max="5877" width="14.109375" customWidth="1"/>
    <col min="5879" max="5879" width="17.77734375" customWidth="1"/>
    <col min="5880" max="5880" width="9.77734375" customWidth="1"/>
    <col min="5882" max="5882" width="10.109375" customWidth="1"/>
    <col min="5884" max="5885" width="14" customWidth="1"/>
    <col min="5886" max="5886" width="12.33203125" customWidth="1"/>
    <col min="6119" max="6119" width="10.21875" customWidth="1"/>
    <col min="6120" max="6120" width="11.6640625" customWidth="1"/>
    <col min="6121" max="6121" width="24.5546875" bestFit="1" customWidth="1"/>
    <col min="6122" max="6122" width="12" customWidth="1"/>
    <col min="6123" max="6126" width="11.109375" customWidth="1"/>
    <col min="6127" max="6127" width="9.44140625" customWidth="1"/>
    <col min="6128" max="6128" width="10.109375" customWidth="1"/>
    <col min="6132" max="6132" width="9.88671875" bestFit="1" customWidth="1"/>
    <col min="6133" max="6133" width="14.109375" customWidth="1"/>
    <col min="6135" max="6135" width="17.77734375" customWidth="1"/>
    <col min="6136" max="6136" width="9.77734375" customWidth="1"/>
    <col min="6138" max="6138" width="10.109375" customWidth="1"/>
    <col min="6140" max="6141" width="14" customWidth="1"/>
    <col min="6142" max="6142" width="12.33203125" customWidth="1"/>
    <col min="6375" max="6375" width="10.21875" customWidth="1"/>
    <col min="6376" max="6376" width="11.6640625" customWidth="1"/>
    <col min="6377" max="6377" width="24.5546875" bestFit="1" customWidth="1"/>
    <col min="6378" max="6378" width="12" customWidth="1"/>
    <col min="6379" max="6382" width="11.109375" customWidth="1"/>
    <col min="6383" max="6383" width="9.44140625" customWidth="1"/>
    <col min="6384" max="6384" width="10.109375" customWidth="1"/>
    <col min="6388" max="6388" width="9.88671875" bestFit="1" customWidth="1"/>
    <col min="6389" max="6389" width="14.109375" customWidth="1"/>
    <col min="6391" max="6391" width="17.77734375" customWidth="1"/>
    <col min="6392" max="6392" width="9.77734375" customWidth="1"/>
    <col min="6394" max="6394" width="10.109375" customWidth="1"/>
    <col min="6396" max="6397" width="14" customWidth="1"/>
    <col min="6398" max="6398" width="12.33203125" customWidth="1"/>
    <col min="6631" max="6631" width="10.21875" customWidth="1"/>
    <col min="6632" max="6632" width="11.6640625" customWidth="1"/>
    <col min="6633" max="6633" width="24.5546875" bestFit="1" customWidth="1"/>
    <col min="6634" max="6634" width="12" customWidth="1"/>
    <col min="6635" max="6638" width="11.109375" customWidth="1"/>
    <col min="6639" max="6639" width="9.44140625" customWidth="1"/>
    <col min="6640" max="6640" width="10.109375" customWidth="1"/>
    <col min="6644" max="6644" width="9.88671875" bestFit="1" customWidth="1"/>
    <col min="6645" max="6645" width="14.109375" customWidth="1"/>
    <col min="6647" max="6647" width="17.77734375" customWidth="1"/>
    <col min="6648" max="6648" width="9.77734375" customWidth="1"/>
    <col min="6650" max="6650" width="10.109375" customWidth="1"/>
    <col min="6652" max="6653" width="14" customWidth="1"/>
    <col min="6654" max="6654" width="12.33203125" customWidth="1"/>
    <col min="6887" max="6887" width="10.21875" customWidth="1"/>
    <col min="6888" max="6888" width="11.6640625" customWidth="1"/>
    <col min="6889" max="6889" width="24.5546875" bestFit="1" customWidth="1"/>
    <col min="6890" max="6890" width="12" customWidth="1"/>
    <col min="6891" max="6894" width="11.109375" customWidth="1"/>
    <col min="6895" max="6895" width="9.44140625" customWidth="1"/>
    <col min="6896" max="6896" width="10.109375" customWidth="1"/>
    <col min="6900" max="6900" width="9.88671875" bestFit="1" customWidth="1"/>
    <col min="6901" max="6901" width="14.109375" customWidth="1"/>
    <col min="6903" max="6903" width="17.77734375" customWidth="1"/>
    <col min="6904" max="6904" width="9.77734375" customWidth="1"/>
    <col min="6906" max="6906" width="10.109375" customWidth="1"/>
    <col min="6908" max="6909" width="14" customWidth="1"/>
    <col min="6910" max="6910" width="12.33203125" customWidth="1"/>
    <col min="7143" max="7143" width="10.21875" customWidth="1"/>
    <col min="7144" max="7144" width="11.6640625" customWidth="1"/>
    <col min="7145" max="7145" width="24.5546875" bestFit="1" customWidth="1"/>
    <col min="7146" max="7146" width="12" customWidth="1"/>
    <col min="7147" max="7150" width="11.109375" customWidth="1"/>
    <col min="7151" max="7151" width="9.44140625" customWidth="1"/>
    <col min="7152" max="7152" width="10.109375" customWidth="1"/>
    <col min="7156" max="7156" width="9.88671875" bestFit="1" customWidth="1"/>
    <col min="7157" max="7157" width="14.109375" customWidth="1"/>
    <col min="7159" max="7159" width="17.77734375" customWidth="1"/>
    <col min="7160" max="7160" width="9.77734375" customWidth="1"/>
    <col min="7162" max="7162" width="10.109375" customWidth="1"/>
    <col min="7164" max="7165" width="14" customWidth="1"/>
    <col min="7166" max="7166" width="12.33203125" customWidth="1"/>
    <col min="7399" max="7399" width="10.21875" customWidth="1"/>
    <col min="7400" max="7400" width="11.6640625" customWidth="1"/>
    <col min="7401" max="7401" width="24.5546875" bestFit="1" customWidth="1"/>
    <col min="7402" max="7402" width="12" customWidth="1"/>
    <col min="7403" max="7406" width="11.109375" customWidth="1"/>
    <col min="7407" max="7407" width="9.44140625" customWidth="1"/>
    <col min="7408" max="7408" width="10.109375" customWidth="1"/>
    <col min="7412" max="7412" width="9.88671875" bestFit="1" customWidth="1"/>
    <col min="7413" max="7413" width="14.109375" customWidth="1"/>
    <col min="7415" max="7415" width="17.77734375" customWidth="1"/>
    <col min="7416" max="7416" width="9.77734375" customWidth="1"/>
    <col min="7418" max="7418" width="10.109375" customWidth="1"/>
    <col min="7420" max="7421" width="14" customWidth="1"/>
    <col min="7422" max="7422" width="12.33203125" customWidth="1"/>
    <col min="7655" max="7655" width="10.21875" customWidth="1"/>
    <col min="7656" max="7656" width="11.6640625" customWidth="1"/>
    <col min="7657" max="7657" width="24.5546875" bestFit="1" customWidth="1"/>
    <col min="7658" max="7658" width="12" customWidth="1"/>
    <col min="7659" max="7662" width="11.109375" customWidth="1"/>
    <col min="7663" max="7663" width="9.44140625" customWidth="1"/>
    <col min="7664" max="7664" width="10.109375" customWidth="1"/>
    <col min="7668" max="7668" width="9.88671875" bestFit="1" customWidth="1"/>
    <col min="7669" max="7669" width="14.109375" customWidth="1"/>
    <col min="7671" max="7671" width="17.77734375" customWidth="1"/>
    <col min="7672" max="7672" width="9.77734375" customWidth="1"/>
    <col min="7674" max="7674" width="10.109375" customWidth="1"/>
    <col min="7676" max="7677" width="14" customWidth="1"/>
    <col min="7678" max="7678" width="12.33203125" customWidth="1"/>
    <col min="7911" max="7911" width="10.21875" customWidth="1"/>
    <col min="7912" max="7912" width="11.6640625" customWidth="1"/>
    <col min="7913" max="7913" width="24.5546875" bestFit="1" customWidth="1"/>
    <col min="7914" max="7914" width="12" customWidth="1"/>
    <col min="7915" max="7918" width="11.109375" customWidth="1"/>
    <col min="7919" max="7919" width="9.44140625" customWidth="1"/>
    <col min="7920" max="7920" width="10.109375" customWidth="1"/>
    <col min="7924" max="7924" width="9.88671875" bestFit="1" customWidth="1"/>
    <col min="7925" max="7925" width="14.109375" customWidth="1"/>
    <col min="7927" max="7927" width="17.77734375" customWidth="1"/>
    <col min="7928" max="7928" width="9.77734375" customWidth="1"/>
    <col min="7930" max="7930" width="10.109375" customWidth="1"/>
    <col min="7932" max="7933" width="14" customWidth="1"/>
    <col min="7934" max="7934" width="12.33203125" customWidth="1"/>
    <col min="8167" max="8167" width="10.21875" customWidth="1"/>
    <col min="8168" max="8168" width="11.6640625" customWidth="1"/>
    <col min="8169" max="8169" width="24.5546875" bestFit="1" customWidth="1"/>
    <col min="8170" max="8170" width="12" customWidth="1"/>
    <col min="8171" max="8174" width="11.109375" customWidth="1"/>
    <col min="8175" max="8175" width="9.44140625" customWidth="1"/>
    <col min="8176" max="8176" width="10.109375" customWidth="1"/>
    <col min="8180" max="8180" width="9.88671875" bestFit="1" customWidth="1"/>
    <col min="8181" max="8181" width="14.109375" customWidth="1"/>
    <col min="8183" max="8183" width="17.77734375" customWidth="1"/>
    <col min="8184" max="8184" width="9.77734375" customWidth="1"/>
    <col min="8186" max="8186" width="10.109375" customWidth="1"/>
    <col min="8188" max="8189" width="14" customWidth="1"/>
    <col min="8190" max="8190" width="12.33203125" customWidth="1"/>
    <col min="8423" max="8423" width="10.21875" customWidth="1"/>
    <col min="8424" max="8424" width="11.6640625" customWidth="1"/>
    <col min="8425" max="8425" width="24.5546875" bestFit="1" customWidth="1"/>
    <col min="8426" max="8426" width="12" customWidth="1"/>
    <col min="8427" max="8430" width="11.109375" customWidth="1"/>
    <col min="8431" max="8431" width="9.44140625" customWidth="1"/>
    <col min="8432" max="8432" width="10.109375" customWidth="1"/>
    <col min="8436" max="8436" width="9.88671875" bestFit="1" customWidth="1"/>
    <col min="8437" max="8437" width="14.109375" customWidth="1"/>
    <col min="8439" max="8439" width="17.77734375" customWidth="1"/>
    <col min="8440" max="8440" width="9.77734375" customWidth="1"/>
    <col min="8442" max="8442" width="10.109375" customWidth="1"/>
    <col min="8444" max="8445" width="14" customWidth="1"/>
    <col min="8446" max="8446" width="12.33203125" customWidth="1"/>
    <col min="8679" max="8679" width="10.21875" customWidth="1"/>
    <col min="8680" max="8680" width="11.6640625" customWidth="1"/>
    <col min="8681" max="8681" width="24.5546875" bestFit="1" customWidth="1"/>
    <col min="8682" max="8682" width="12" customWidth="1"/>
    <col min="8683" max="8686" width="11.109375" customWidth="1"/>
    <col min="8687" max="8687" width="9.44140625" customWidth="1"/>
    <col min="8688" max="8688" width="10.109375" customWidth="1"/>
    <col min="8692" max="8692" width="9.88671875" bestFit="1" customWidth="1"/>
    <col min="8693" max="8693" width="14.109375" customWidth="1"/>
    <col min="8695" max="8695" width="17.77734375" customWidth="1"/>
    <col min="8696" max="8696" width="9.77734375" customWidth="1"/>
    <col min="8698" max="8698" width="10.109375" customWidth="1"/>
    <col min="8700" max="8701" width="14" customWidth="1"/>
    <col min="8702" max="8702" width="12.33203125" customWidth="1"/>
    <col min="8935" max="8935" width="10.21875" customWidth="1"/>
    <col min="8936" max="8936" width="11.6640625" customWidth="1"/>
    <col min="8937" max="8937" width="24.5546875" bestFit="1" customWidth="1"/>
    <col min="8938" max="8938" width="12" customWidth="1"/>
    <col min="8939" max="8942" width="11.109375" customWidth="1"/>
    <col min="8943" max="8943" width="9.44140625" customWidth="1"/>
    <col min="8944" max="8944" width="10.109375" customWidth="1"/>
    <col min="8948" max="8948" width="9.88671875" bestFit="1" customWidth="1"/>
    <col min="8949" max="8949" width="14.109375" customWidth="1"/>
    <col min="8951" max="8951" width="17.77734375" customWidth="1"/>
    <col min="8952" max="8952" width="9.77734375" customWidth="1"/>
    <col min="8954" max="8954" width="10.109375" customWidth="1"/>
    <col min="8956" max="8957" width="14" customWidth="1"/>
    <col min="8958" max="8958" width="12.33203125" customWidth="1"/>
    <col min="9191" max="9191" width="10.21875" customWidth="1"/>
    <col min="9192" max="9192" width="11.6640625" customWidth="1"/>
    <col min="9193" max="9193" width="24.5546875" bestFit="1" customWidth="1"/>
    <col min="9194" max="9194" width="12" customWidth="1"/>
    <col min="9195" max="9198" width="11.109375" customWidth="1"/>
    <col min="9199" max="9199" width="9.44140625" customWidth="1"/>
    <col min="9200" max="9200" width="10.109375" customWidth="1"/>
    <col min="9204" max="9204" width="9.88671875" bestFit="1" customWidth="1"/>
    <col min="9205" max="9205" width="14.109375" customWidth="1"/>
    <col min="9207" max="9207" width="17.77734375" customWidth="1"/>
    <col min="9208" max="9208" width="9.77734375" customWidth="1"/>
    <col min="9210" max="9210" width="10.109375" customWidth="1"/>
    <col min="9212" max="9213" width="14" customWidth="1"/>
    <col min="9214" max="9214" width="12.33203125" customWidth="1"/>
    <col min="9447" max="9447" width="10.21875" customWidth="1"/>
    <col min="9448" max="9448" width="11.6640625" customWidth="1"/>
    <col min="9449" max="9449" width="24.5546875" bestFit="1" customWidth="1"/>
    <col min="9450" max="9450" width="12" customWidth="1"/>
    <col min="9451" max="9454" width="11.109375" customWidth="1"/>
    <col min="9455" max="9455" width="9.44140625" customWidth="1"/>
    <col min="9456" max="9456" width="10.109375" customWidth="1"/>
    <col min="9460" max="9460" width="9.88671875" bestFit="1" customWidth="1"/>
    <col min="9461" max="9461" width="14.109375" customWidth="1"/>
    <col min="9463" max="9463" width="17.77734375" customWidth="1"/>
    <col min="9464" max="9464" width="9.77734375" customWidth="1"/>
    <col min="9466" max="9466" width="10.109375" customWidth="1"/>
    <col min="9468" max="9469" width="14" customWidth="1"/>
    <col min="9470" max="9470" width="12.33203125" customWidth="1"/>
    <col min="9703" max="9703" width="10.21875" customWidth="1"/>
    <col min="9704" max="9704" width="11.6640625" customWidth="1"/>
    <col min="9705" max="9705" width="24.5546875" bestFit="1" customWidth="1"/>
    <col min="9706" max="9706" width="12" customWidth="1"/>
    <col min="9707" max="9710" width="11.109375" customWidth="1"/>
    <col min="9711" max="9711" width="9.44140625" customWidth="1"/>
    <col min="9712" max="9712" width="10.109375" customWidth="1"/>
    <col min="9716" max="9716" width="9.88671875" bestFit="1" customWidth="1"/>
    <col min="9717" max="9717" width="14.109375" customWidth="1"/>
    <col min="9719" max="9719" width="17.77734375" customWidth="1"/>
    <col min="9720" max="9720" width="9.77734375" customWidth="1"/>
    <col min="9722" max="9722" width="10.109375" customWidth="1"/>
    <col min="9724" max="9725" width="14" customWidth="1"/>
    <col min="9726" max="9726" width="12.33203125" customWidth="1"/>
    <col min="9959" max="9959" width="10.21875" customWidth="1"/>
    <col min="9960" max="9960" width="11.6640625" customWidth="1"/>
    <col min="9961" max="9961" width="24.5546875" bestFit="1" customWidth="1"/>
    <col min="9962" max="9962" width="12" customWidth="1"/>
    <col min="9963" max="9966" width="11.109375" customWidth="1"/>
    <col min="9967" max="9967" width="9.44140625" customWidth="1"/>
    <col min="9968" max="9968" width="10.109375" customWidth="1"/>
    <col min="9972" max="9972" width="9.88671875" bestFit="1" customWidth="1"/>
    <col min="9973" max="9973" width="14.109375" customWidth="1"/>
    <col min="9975" max="9975" width="17.77734375" customWidth="1"/>
    <col min="9976" max="9976" width="9.77734375" customWidth="1"/>
    <col min="9978" max="9978" width="10.109375" customWidth="1"/>
    <col min="9980" max="9981" width="14" customWidth="1"/>
    <col min="9982" max="9982" width="12.33203125" customWidth="1"/>
    <col min="10215" max="10215" width="10.21875" customWidth="1"/>
    <col min="10216" max="10216" width="11.6640625" customWidth="1"/>
    <col min="10217" max="10217" width="24.5546875" bestFit="1" customWidth="1"/>
    <col min="10218" max="10218" width="12" customWidth="1"/>
    <col min="10219" max="10222" width="11.109375" customWidth="1"/>
    <col min="10223" max="10223" width="9.44140625" customWidth="1"/>
    <col min="10224" max="10224" width="10.109375" customWidth="1"/>
    <col min="10228" max="10228" width="9.88671875" bestFit="1" customWidth="1"/>
    <col min="10229" max="10229" width="14.109375" customWidth="1"/>
    <col min="10231" max="10231" width="17.77734375" customWidth="1"/>
    <col min="10232" max="10232" width="9.77734375" customWidth="1"/>
    <col min="10234" max="10234" width="10.109375" customWidth="1"/>
    <col min="10236" max="10237" width="14" customWidth="1"/>
    <col min="10238" max="10238" width="12.33203125" customWidth="1"/>
    <col min="10471" max="10471" width="10.21875" customWidth="1"/>
    <col min="10472" max="10472" width="11.6640625" customWidth="1"/>
    <col min="10473" max="10473" width="24.5546875" bestFit="1" customWidth="1"/>
    <col min="10474" max="10474" width="12" customWidth="1"/>
    <col min="10475" max="10478" width="11.109375" customWidth="1"/>
    <col min="10479" max="10479" width="9.44140625" customWidth="1"/>
    <col min="10480" max="10480" width="10.109375" customWidth="1"/>
    <col min="10484" max="10484" width="9.88671875" bestFit="1" customWidth="1"/>
    <col min="10485" max="10485" width="14.109375" customWidth="1"/>
    <col min="10487" max="10487" width="17.77734375" customWidth="1"/>
    <col min="10488" max="10488" width="9.77734375" customWidth="1"/>
    <col min="10490" max="10490" width="10.109375" customWidth="1"/>
    <col min="10492" max="10493" width="14" customWidth="1"/>
    <col min="10494" max="10494" width="12.33203125" customWidth="1"/>
    <col min="10727" max="10727" width="10.21875" customWidth="1"/>
    <col min="10728" max="10728" width="11.6640625" customWidth="1"/>
    <col min="10729" max="10729" width="24.5546875" bestFit="1" customWidth="1"/>
    <col min="10730" max="10730" width="12" customWidth="1"/>
    <col min="10731" max="10734" width="11.109375" customWidth="1"/>
    <col min="10735" max="10735" width="9.44140625" customWidth="1"/>
    <col min="10736" max="10736" width="10.109375" customWidth="1"/>
    <col min="10740" max="10740" width="9.88671875" bestFit="1" customWidth="1"/>
    <col min="10741" max="10741" width="14.109375" customWidth="1"/>
    <col min="10743" max="10743" width="17.77734375" customWidth="1"/>
    <col min="10744" max="10744" width="9.77734375" customWidth="1"/>
    <col min="10746" max="10746" width="10.109375" customWidth="1"/>
    <col min="10748" max="10749" width="14" customWidth="1"/>
    <col min="10750" max="10750" width="12.33203125" customWidth="1"/>
    <col min="10983" max="10983" width="10.21875" customWidth="1"/>
    <col min="10984" max="10984" width="11.6640625" customWidth="1"/>
    <col min="10985" max="10985" width="24.5546875" bestFit="1" customWidth="1"/>
    <col min="10986" max="10986" width="12" customWidth="1"/>
    <col min="10987" max="10990" width="11.109375" customWidth="1"/>
    <col min="10991" max="10991" width="9.44140625" customWidth="1"/>
    <col min="10992" max="10992" width="10.109375" customWidth="1"/>
    <col min="10996" max="10996" width="9.88671875" bestFit="1" customWidth="1"/>
    <col min="10997" max="10997" width="14.109375" customWidth="1"/>
    <col min="10999" max="10999" width="17.77734375" customWidth="1"/>
    <col min="11000" max="11000" width="9.77734375" customWidth="1"/>
    <col min="11002" max="11002" width="10.109375" customWidth="1"/>
    <col min="11004" max="11005" width="14" customWidth="1"/>
    <col min="11006" max="11006" width="12.33203125" customWidth="1"/>
    <col min="11239" max="11239" width="10.21875" customWidth="1"/>
    <col min="11240" max="11240" width="11.6640625" customWidth="1"/>
    <col min="11241" max="11241" width="24.5546875" bestFit="1" customWidth="1"/>
    <col min="11242" max="11242" width="12" customWidth="1"/>
    <col min="11243" max="11246" width="11.109375" customWidth="1"/>
    <col min="11247" max="11247" width="9.44140625" customWidth="1"/>
    <col min="11248" max="11248" width="10.109375" customWidth="1"/>
    <col min="11252" max="11252" width="9.88671875" bestFit="1" customWidth="1"/>
    <col min="11253" max="11253" width="14.109375" customWidth="1"/>
    <col min="11255" max="11255" width="17.77734375" customWidth="1"/>
    <col min="11256" max="11256" width="9.77734375" customWidth="1"/>
    <col min="11258" max="11258" width="10.109375" customWidth="1"/>
    <col min="11260" max="11261" width="14" customWidth="1"/>
    <col min="11262" max="11262" width="12.33203125" customWidth="1"/>
    <col min="11495" max="11495" width="10.21875" customWidth="1"/>
    <col min="11496" max="11496" width="11.6640625" customWidth="1"/>
    <col min="11497" max="11497" width="24.5546875" bestFit="1" customWidth="1"/>
    <col min="11498" max="11498" width="12" customWidth="1"/>
    <col min="11499" max="11502" width="11.109375" customWidth="1"/>
    <col min="11503" max="11503" width="9.44140625" customWidth="1"/>
    <col min="11504" max="11504" width="10.109375" customWidth="1"/>
    <col min="11508" max="11508" width="9.88671875" bestFit="1" customWidth="1"/>
    <col min="11509" max="11509" width="14.109375" customWidth="1"/>
    <col min="11511" max="11511" width="17.77734375" customWidth="1"/>
    <col min="11512" max="11512" width="9.77734375" customWidth="1"/>
    <col min="11514" max="11514" width="10.109375" customWidth="1"/>
    <col min="11516" max="11517" width="14" customWidth="1"/>
    <col min="11518" max="11518" width="12.33203125" customWidth="1"/>
    <col min="11751" max="11751" width="10.21875" customWidth="1"/>
    <col min="11752" max="11752" width="11.6640625" customWidth="1"/>
    <col min="11753" max="11753" width="24.5546875" bestFit="1" customWidth="1"/>
    <col min="11754" max="11754" width="12" customWidth="1"/>
    <col min="11755" max="11758" width="11.109375" customWidth="1"/>
    <col min="11759" max="11759" width="9.44140625" customWidth="1"/>
    <col min="11760" max="11760" width="10.109375" customWidth="1"/>
    <col min="11764" max="11764" width="9.88671875" bestFit="1" customWidth="1"/>
    <col min="11765" max="11765" width="14.109375" customWidth="1"/>
    <col min="11767" max="11767" width="17.77734375" customWidth="1"/>
    <col min="11768" max="11768" width="9.77734375" customWidth="1"/>
    <col min="11770" max="11770" width="10.109375" customWidth="1"/>
    <col min="11772" max="11773" width="14" customWidth="1"/>
    <col min="11774" max="11774" width="12.33203125" customWidth="1"/>
    <col min="12007" max="12007" width="10.21875" customWidth="1"/>
    <col min="12008" max="12008" width="11.6640625" customWidth="1"/>
    <col min="12009" max="12009" width="24.5546875" bestFit="1" customWidth="1"/>
    <col min="12010" max="12010" width="12" customWidth="1"/>
    <col min="12011" max="12014" width="11.109375" customWidth="1"/>
    <col min="12015" max="12015" width="9.44140625" customWidth="1"/>
    <col min="12016" max="12016" width="10.109375" customWidth="1"/>
    <col min="12020" max="12020" width="9.88671875" bestFit="1" customWidth="1"/>
    <col min="12021" max="12021" width="14.109375" customWidth="1"/>
    <col min="12023" max="12023" width="17.77734375" customWidth="1"/>
    <col min="12024" max="12024" width="9.77734375" customWidth="1"/>
    <col min="12026" max="12026" width="10.109375" customWidth="1"/>
    <col min="12028" max="12029" width="14" customWidth="1"/>
    <col min="12030" max="12030" width="12.33203125" customWidth="1"/>
    <col min="12263" max="12263" width="10.21875" customWidth="1"/>
    <col min="12264" max="12264" width="11.6640625" customWidth="1"/>
    <col min="12265" max="12265" width="24.5546875" bestFit="1" customWidth="1"/>
    <col min="12266" max="12266" width="12" customWidth="1"/>
    <col min="12267" max="12270" width="11.109375" customWidth="1"/>
    <col min="12271" max="12271" width="9.44140625" customWidth="1"/>
    <col min="12272" max="12272" width="10.109375" customWidth="1"/>
    <col min="12276" max="12276" width="9.88671875" bestFit="1" customWidth="1"/>
    <col min="12277" max="12277" width="14.109375" customWidth="1"/>
    <col min="12279" max="12279" width="17.77734375" customWidth="1"/>
    <col min="12280" max="12280" width="9.77734375" customWidth="1"/>
    <col min="12282" max="12282" width="10.109375" customWidth="1"/>
    <col min="12284" max="12285" width="14" customWidth="1"/>
    <col min="12286" max="12286" width="12.33203125" customWidth="1"/>
    <col min="12519" max="12519" width="10.21875" customWidth="1"/>
    <col min="12520" max="12520" width="11.6640625" customWidth="1"/>
    <col min="12521" max="12521" width="24.5546875" bestFit="1" customWidth="1"/>
    <col min="12522" max="12522" width="12" customWidth="1"/>
    <col min="12523" max="12526" width="11.109375" customWidth="1"/>
    <col min="12527" max="12527" width="9.44140625" customWidth="1"/>
    <col min="12528" max="12528" width="10.109375" customWidth="1"/>
    <col min="12532" max="12532" width="9.88671875" bestFit="1" customWidth="1"/>
    <col min="12533" max="12533" width="14.109375" customWidth="1"/>
    <col min="12535" max="12535" width="17.77734375" customWidth="1"/>
    <col min="12536" max="12536" width="9.77734375" customWidth="1"/>
    <col min="12538" max="12538" width="10.109375" customWidth="1"/>
    <col min="12540" max="12541" width="14" customWidth="1"/>
    <col min="12542" max="12542" width="12.33203125" customWidth="1"/>
    <col min="12775" max="12775" width="10.21875" customWidth="1"/>
    <col min="12776" max="12776" width="11.6640625" customWidth="1"/>
    <col min="12777" max="12777" width="24.5546875" bestFit="1" customWidth="1"/>
    <col min="12778" max="12778" width="12" customWidth="1"/>
    <col min="12779" max="12782" width="11.109375" customWidth="1"/>
    <col min="12783" max="12783" width="9.44140625" customWidth="1"/>
    <col min="12784" max="12784" width="10.109375" customWidth="1"/>
    <col min="12788" max="12788" width="9.88671875" bestFit="1" customWidth="1"/>
    <col min="12789" max="12789" width="14.109375" customWidth="1"/>
    <col min="12791" max="12791" width="17.77734375" customWidth="1"/>
    <col min="12792" max="12792" width="9.77734375" customWidth="1"/>
    <col min="12794" max="12794" width="10.109375" customWidth="1"/>
    <col min="12796" max="12797" width="14" customWidth="1"/>
    <col min="12798" max="12798" width="12.33203125" customWidth="1"/>
    <col min="13031" max="13031" width="10.21875" customWidth="1"/>
    <col min="13032" max="13032" width="11.6640625" customWidth="1"/>
    <col min="13033" max="13033" width="24.5546875" bestFit="1" customWidth="1"/>
    <col min="13034" max="13034" width="12" customWidth="1"/>
    <col min="13035" max="13038" width="11.109375" customWidth="1"/>
    <col min="13039" max="13039" width="9.44140625" customWidth="1"/>
    <col min="13040" max="13040" width="10.109375" customWidth="1"/>
    <col min="13044" max="13044" width="9.88671875" bestFit="1" customWidth="1"/>
    <col min="13045" max="13045" width="14.109375" customWidth="1"/>
    <col min="13047" max="13047" width="17.77734375" customWidth="1"/>
    <col min="13048" max="13048" width="9.77734375" customWidth="1"/>
    <col min="13050" max="13050" width="10.109375" customWidth="1"/>
    <col min="13052" max="13053" width="14" customWidth="1"/>
    <col min="13054" max="13054" width="12.33203125" customWidth="1"/>
    <col min="13287" max="13287" width="10.21875" customWidth="1"/>
    <col min="13288" max="13288" width="11.6640625" customWidth="1"/>
    <col min="13289" max="13289" width="24.5546875" bestFit="1" customWidth="1"/>
    <col min="13290" max="13290" width="12" customWidth="1"/>
    <col min="13291" max="13294" width="11.109375" customWidth="1"/>
    <col min="13295" max="13295" width="9.44140625" customWidth="1"/>
    <col min="13296" max="13296" width="10.109375" customWidth="1"/>
    <col min="13300" max="13300" width="9.88671875" bestFit="1" customWidth="1"/>
    <col min="13301" max="13301" width="14.109375" customWidth="1"/>
    <col min="13303" max="13303" width="17.77734375" customWidth="1"/>
    <col min="13304" max="13304" width="9.77734375" customWidth="1"/>
    <col min="13306" max="13306" width="10.109375" customWidth="1"/>
    <col min="13308" max="13309" width="14" customWidth="1"/>
    <col min="13310" max="13310" width="12.33203125" customWidth="1"/>
    <col min="13543" max="13543" width="10.21875" customWidth="1"/>
    <col min="13544" max="13544" width="11.6640625" customWidth="1"/>
    <col min="13545" max="13545" width="24.5546875" bestFit="1" customWidth="1"/>
    <col min="13546" max="13546" width="12" customWidth="1"/>
    <col min="13547" max="13550" width="11.109375" customWidth="1"/>
    <col min="13551" max="13551" width="9.44140625" customWidth="1"/>
    <col min="13552" max="13552" width="10.109375" customWidth="1"/>
    <col min="13556" max="13556" width="9.88671875" bestFit="1" customWidth="1"/>
    <col min="13557" max="13557" width="14.109375" customWidth="1"/>
    <col min="13559" max="13559" width="17.77734375" customWidth="1"/>
    <col min="13560" max="13560" width="9.77734375" customWidth="1"/>
    <col min="13562" max="13562" width="10.109375" customWidth="1"/>
    <col min="13564" max="13565" width="14" customWidth="1"/>
    <col min="13566" max="13566" width="12.33203125" customWidth="1"/>
    <col min="13799" max="13799" width="10.21875" customWidth="1"/>
    <col min="13800" max="13800" width="11.6640625" customWidth="1"/>
    <col min="13801" max="13801" width="24.5546875" bestFit="1" customWidth="1"/>
    <col min="13802" max="13802" width="12" customWidth="1"/>
    <col min="13803" max="13806" width="11.109375" customWidth="1"/>
    <col min="13807" max="13807" width="9.44140625" customWidth="1"/>
    <col min="13808" max="13808" width="10.109375" customWidth="1"/>
    <col min="13812" max="13812" width="9.88671875" bestFit="1" customWidth="1"/>
    <col min="13813" max="13813" width="14.109375" customWidth="1"/>
    <col min="13815" max="13815" width="17.77734375" customWidth="1"/>
    <col min="13816" max="13816" width="9.77734375" customWidth="1"/>
    <col min="13818" max="13818" width="10.109375" customWidth="1"/>
    <col min="13820" max="13821" width="14" customWidth="1"/>
    <col min="13822" max="13822" width="12.33203125" customWidth="1"/>
    <col min="14055" max="14055" width="10.21875" customWidth="1"/>
    <col min="14056" max="14056" width="11.6640625" customWidth="1"/>
    <col min="14057" max="14057" width="24.5546875" bestFit="1" customWidth="1"/>
    <col min="14058" max="14058" width="12" customWidth="1"/>
    <col min="14059" max="14062" width="11.109375" customWidth="1"/>
    <col min="14063" max="14063" width="9.44140625" customWidth="1"/>
    <col min="14064" max="14064" width="10.109375" customWidth="1"/>
    <col min="14068" max="14068" width="9.88671875" bestFit="1" customWidth="1"/>
    <col min="14069" max="14069" width="14.109375" customWidth="1"/>
    <col min="14071" max="14071" width="17.77734375" customWidth="1"/>
    <col min="14072" max="14072" width="9.77734375" customWidth="1"/>
    <col min="14074" max="14074" width="10.109375" customWidth="1"/>
    <col min="14076" max="14077" width="14" customWidth="1"/>
    <col min="14078" max="14078" width="12.33203125" customWidth="1"/>
    <col min="14311" max="14311" width="10.21875" customWidth="1"/>
    <col min="14312" max="14312" width="11.6640625" customWidth="1"/>
    <col min="14313" max="14313" width="24.5546875" bestFit="1" customWidth="1"/>
    <col min="14314" max="14314" width="12" customWidth="1"/>
    <col min="14315" max="14318" width="11.109375" customWidth="1"/>
    <col min="14319" max="14319" width="9.44140625" customWidth="1"/>
    <col min="14320" max="14320" width="10.109375" customWidth="1"/>
    <col min="14324" max="14324" width="9.88671875" bestFit="1" customWidth="1"/>
    <col min="14325" max="14325" width="14.109375" customWidth="1"/>
    <col min="14327" max="14327" width="17.77734375" customWidth="1"/>
    <col min="14328" max="14328" width="9.77734375" customWidth="1"/>
    <col min="14330" max="14330" width="10.109375" customWidth="1"/>
    <col min="14332" max="14333" width="14" customWidth="1"/>
    <col min="14334" max="14334" width="12.33203125" customWidth="1"/>
    <col min="14567" max="14567" width="10.21875" customWidth="1"/>
    <col min="14568" max="14568" width="11.6640625" customWidth="1"/>
    <col min="14569" max="14569" width="24.5546875" bestFit="1" customWidth="1"/>
    <col min="14570" max="14570" width="12" customWidth="1"/>
    <col min="14571" max="14574" width="11.109375" customWidth="1"/>
    <col min="14575" max="14575" width="9.44140625" customWidth="1"/>
    <col min="14576" max="14576" width="10.109375" customWidth="1"/>
    <col min="14580" max="14580" width="9.88671875" bestFit="1" customWidth="1"/>
    <col min="14581" max="14581" width="14.109375" customWidth="1"/>
    <col min="14583" max="14583" width="17.77734375" customWidth="1"/>
    <col min="14584" max="14584" width="9.77734375" customWidth="1"/>
    <col min="14586" max="14586" width="10.109375" customWidth="1"/>
    <col min="14588" max="14589" width="14" customWidth="1"/>
    <col min="14590" max="14590" width="12.33203125" customWidth="1"/>
    <col min="14823" max="14823" width="10.21875" customWidth="1"/>
    <col min="14824" max="14824" width="11.6640625" customWidth="1"/>
    <col min="14825" max="14825" width="24.5546875" bestFit="1" customWidth="1"/>
    <col min="14826" max="14826" width="12" customWidth="1"/>
    <col min="14827" max="14830" width="11.109375" customWidth="1"/>
    <col min="14831" max="14831" width="9.44140625" customWidth="1"/>
    <col min="14832" max="14832" width="10.109375" customWidth="1"/>
    <col min="14836" max="14836" width="9.88671875" bestFit="1" customWidth="1"/>
    <col min="14837" max="14837" width="14.109375" customWidth="1"/>
    <col min="14839" max="14839" width="17.77734375" customWidth="1"/>
    <col min="14840" max="14840" width="9.77734375" customWidth="1"/>
    <col min="14842" max="14842" width="10.109375" customWidth="1"/>
    <col min="14844" max="14845" width="14" customWidth="1"/>
    <col min="14846" max="14846" width="12.33203125" customWidth="1"/>
    <col min="15079" max="15079" width="10.21875" customWidth="1"/>
    <col min="15080" max="15080" width="11.6640625" customWidth="1"/>
    <col min="15081" max="15081" width="24.5546875" bestFit="1" customWidth="1"/>
    <col min="15082" max="15082" width="12" customWidth="1"/>
    <col min="15083" max="15086" width="11.109375" customWidth="1"/>
    <col min="15087" max="15087" width="9.44140625" customWidth="1"/>
    <col min="15088" max="15088" width="10.109375" customWidth="1"/>
    <col min="15092" max="15092" width="9.88671875" bestFit="1" customWidth="1"/>
    <col min="15093" max="15093" width="14.109375" customWidth="1"/>
    <col min="15095" max="15095" width="17.77734375" customWidth="1"/>
    <col min="15096" max="15096" width="9.77734375" customWidth="1"/>
    <col min="15098" max="15098" width="10.109375" customWidth="1"/>
    <col min="15100" max="15101" width="14" customWidth="1"/>
    <col min="15102" max="15102" width="12.33203125" customWidth="1"/>
    <col min="15335" max="15335" width="10.21875" customWidth="1"/>
    <col min="15336" max="15336" width="11.6640625" customWidth="1"/>
    <col min="15337" max="15337" width="24.5546875" bestFit="1" customWidth="1"/>
    <col min="15338" max="15338" width="12" customWidth="1"/>
    <col min="15339" max="15342" width="11.109375" customWidth="1"/>
    <col min="15343" max="15343" width="9.44140625" customWidth="1"/>
    <col min="15344" max="15344" width="10.109375" customWidth="1"/>
    <col min="15348" max="15348" width="9.88671875" bestFit="1" customWidth="1"/>
    <col min="15349" max="15349" width="14.109375" customWidth="1"/>
    <col min="15351" max="15351" width="17.77734375" customWidth="1"/>
    <col min="15352" max="15352" width="9.77734375" customWidth="1"/>
    <col min="15354" max="15354" width="10.109375" customWidth="1"/>
    <col min="15356" max="15357" width="14" customWidth="1"/>
    <col min="15358" max="15358" width="12.33203125" customWidth="1"/>
    <col min="15591" max="15591" width="10.21875" customWidth="1"/>
    <col min="15592" max="15592" width="11.6640625" customWidth="1"/>
    <col min="15593" max="15593" width="24.5546875" bestFit="1" customWidth="1"/>
    <col min="15594" max="15594" width="12" customWidth="1"/>
    <col min="15595" max="15598" width="11.109375" customWidth="1"/>
    <col min="15599" max="15599" width="9.44140625" customWidth="1"/>
    <col min="15600" max="15600" width="10.109375" customWidth="1"/>
    <col min="15604" max="15604" width="9.88671875" bestFit="1" customWidth="1"/>
    <col min="15605" max="15605" width="14.109375" customWidth="1"/>
    <col min="15607" max="15607" width="17.77734375" customWidth="1"/>
    <col min="15608" max="15608" width="9.77734375" customWidth="1"/>
    <col min="15610" max="15610" width="10.109375" customWidth="1"/>
    <col min="15612" max="15613" width="14" customWidth="1"/>
    <col min="15614" max="15614" width="12.33203125" customWidth="1"/>
    <col min="15847" max="15847" width="10.21875" customWidth="1"/>
    <col min="15848" max="15848" width="11.6640625" customWidth="1"/>
    <col min="15849" max="15849" width="24.5546875" bestFit="1" customWidth="1"/>
    <col min="15850" max="15850" width="12" customWidth="1"/>
    <col min="15851" max="15854" width="11.109375" customWidth="1"/>
    <col min="15855" max="15855" width="9.44140625" customWidth="1"/>
    <col min="15856" max="15856" width="10.109375" customWidth="1"/>
    <col min="15860" max="15860" width="9.88671875" bestFit="1" customWidth="1"/>
    <col min="15861" max="15861" width="14.109375" customWidth="1"/>
    <col min="15863" max="15863" width="17.77734375" customWidth="1"/>
    <col min="15864" max="15864" width="9.77734375" customWidth="1"/>
    <col min="15866" max="15866" width="10.109375" customWidth="1"/>
    <col min="15868" max="15869" width="14" customWidth="1"/>
    <col min="15870" max="15870" width="12.33203125" customWidth="1"/>
    <col min="16103" max="16103" width="10.21875" customWidth="1"/>
    <col min="16104" max="16104" width="11.6640625" customWidth="1"/>
    <col min="16105" max="16105" width="24.5546875" bestFit="1" customWidth="1"/>
    <col min="16106" max="16106" width="12" customWidth="1"/>
    <col min="16107" max="16110" width="11.109375" customWidth="1"/>
    <col min="16111" max="16111" width="9.44140625" customWidth="1"/>
    <col min="16112" max="16112" width="10.109375" customWidth="1"/>
    <col min="16116" max="16116" width="9.88671875" bestFit="1" customWidth="1"/>
    <col min="16117" max="16117" width="14.109375" customWidth="1"/>
    <col min="16119" max="16119" width="17.77734375" customWidth="1"/>
    <col min="16120" max="16120" width="9.77734375" customWidth="1"/>
    <col min="16122" max="16122" width="10.109375" customWidth="1"/>
    <col min="16124" max="16125" width="14" customWidth="1"/>
    <col min="16126" max="16126" width="12.33203125" customWidth="1"/>
  </cols>
  <sheetData>
    <row r="1" spans="1:22" s="3" customFormat="1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14" t="s">
        <v>5</v>
      </c>
      <c r="H1" s="3" t="s">
        <v>6</v>
      </c>
      <c r="I1" s="3" t="s">
        <v>7</v>
      </c>
      <c r="J1" s="3" t="s">
        <v>9</v>
      </c>
      <c r="K1" s="3" t="s">
        <v>8</v>
      </c>
      <c r="L1" s="3" t="s">
        <v>10</v>
      </c>
      <c r="M1" s="3" t="s">
        <v>11</v>
      </c>
      <c r="N1" s="3" t="s">
        <v>29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</row>
    <row r="2" spans="1:22" x14ac:dyDescent="0.3">
      <c r="A2" t="s">
        <v>30</v>
      </c>
      <c r="B2" t="s">
        <v>31</v>
      </c>
      <c r="C2" t="s">
        <v>32</v>
      </c>
      <c r="D2" t="s">
        <v>28</v>
      </c>
      <c r="E2" t="s">
        <v>33</v>
      </c>
      <c r="F2" t="s">
        <v>34</v>
      </c>
      <c r="G2" s="15" t="s">
        <v>35</v>
      </c>
      <c r="H2">
        <v>83</v>
      </c>
      <c r="I2">
        <v>28.99</v>
      </c>
      <c r="J2">
        <f>1288/120</f>
        <v>10.733333333333333</v>
      </c>
      <c r="K2">
        <v>28.995824684099393</v>
      </c>
      <c r="L2">
        <v>94.53</v>
      </c>
      <c r="M2">
        <f t="shared" ref="M2:M50" si="0">L2/1000</f>
        <v>9.4530000000000003E-2</v>
      </c>
      <c r="N2">
        <f t="shared" ref="N2:N50" si="1">M2*J2</f>
        <v>1.0146219999999999</v>
      </c>
      <c r="O2">
        <v>0.32</v>
      </c>
      <c r="P2">
        <v>2.42</v>
      </c>
      <c r="Q2">
        <v>3</v>
      </c>
      <c r="R2">
        <v>780</v>
      </c>
      <c r="S2">
        <v>11</v>
      </c>
      <c r="T2" t="s">
        <v>20</v>
      </c>
      <c r="U2">
        <v>4</v>
      </c>
      <c r="V2" t="s">
        <v>21</v>
      </c>
    </row>
    <row r="3" spans="1:22" x14ac:dyDescent="0.3">
      <c r="A3" t="s">
        <v>30</v>
      </c>
      <c r="B3" t="s">
        <v>36</v>
      </c>
      <c r="C3" t="s">
        <v>32</v>
      </c>
      <c r="D3" t="s">
        <v>28</v>
      </c>
      <c r="E3" t="s">
        <v>33</v>
      </c>
      <c r="F3" t="s">
        <v>34</v>
      </c>
      <c r="G3" s="15" t="s">
        <v>35</v>
      </c>
      <c r="H3">
        <v>83</v>
      </c>
      <c r="I3">
        <v>19.913602104231888</v>
      </c>
      <c r="J3">
        <f>677/120</f>
        <v>5.6416666666666666</v>
      </c>
      <c r="K3">
        <v>174.58284140738164</v>
      </c>
      <c r="L3">
        <v>114.3</v>
      </c>
      <c r="M3">
        <f t="shared" si="0"/>
        <v>0.1143</v>
      </c>
      <c r="N3">
        <f t="shared" si="1"/>
        <v>0.64484249999999999</v>
      </c>
      <c r="O3">
        <v>0.42</v>
      </c>
      <c r="P3">
        <v>4.16</v>
      </c>
      <c r="Q3">
        <v>5</v>
      </c>
      <c r="R3">
        <v>450</v>
      </c>
      <c r="S3">
        <v>10</v>
      </c>
      <c r="T3" t="s">
        <v>20</v>
      </c>
      <c r="U3">
        <v>4</v>
      </c>
      <c r="V3" t="s">
        <v>21</v>
      </c>
    </row>
    <row r="4" spans="1:22" x14ac:dyDescent="0.3">
      <c r="A4" t="s">
        <v>30</v>
      </c>
      <c r="B4" t="s">
        <v>37</v>
      </c>
      <c r="C4" t="s">
        <v>32</v>
      </c>
      <c r="D4" t="s">
        <v>28</v>
      </c>
      <c r="E4" t="s">
        <v>33</v>
      </c>
      <c r="F4" t="s">
        <v>34</v>
      </c>
      <c r="G4" s="15" t="s">
        <v>35</v>
      </c>
      <c r="H4">
        <v>83</v>
      </c>
      <c r="I4">
        <v>30.49</v>
      </c>
      <c r="J4">
        <f>1795/120</f>
        <v>14.958333333333334</v>
      </c>
      <c r="K4">
        <v>66.539776298016136</v>
      </c>
      <c r="L4">
        <v>104.4</v>
      </c>
      <c r="M4">
        <f t="shared" si="0"/>
        <v>0.10440000000000001</v>
      </c>
      <c r="N4">
        <f t="shared" si="1"/>
        <v>1.5616500000000002</v>
      </c>
      <c r="O4">
        <v>0.32</v>
      </c>
      <c r="P4">
        <v>2.66</v>
      </c>
      <c r="Q4">
        <v>7</v>
      </c>
      <c r="R4">
        <v>400</v>
      </c>
      <c r="S4">
        <v>11</v>
      </c>
      <c r="T4" t="s">
        <v>20</v>
      </c>
      <c r="U4">
        <v>4</v>
      </c>
      <c r="V4" t="s">
        <v>21</v>
      </c>
    </row>
    <row r="5" spans="1:22" x14ac:dyDescent="0.3">
      <c r="A5" t="s">
        <v>38</v>
      </c>
      <c r="B5" t="s">
        <v>39</v>
      </c>
      <c r="C5" t="s">
        <v>32</v>
      </c>
      <c r="D5" t="s">
        <v>28</v>
      </c>
      <c r="E5" t="s">
        <v>33</v>
      </c>
      <c r="F5" t="s">
        <v>34</v>
      </c>
      <c r="G5" s="15" t="s">
        <v>40</v>
      </c>
      <c r="H5">
        <v>84</v>
      </c>
      <c r="I5">
        <v>19.046871553535279</v>
      </c>
      <c r="J5">
        <f>1177/120</f>
        <v>9.8083333333333336</v>
      </c>
      <c r="K5">
        <v>101.26987806136073</v>
      </c>
      <c r="L5">
        <v>223.4</v>
      </c>
      <c r="M5">
        <f t="shared" si="0"/>
        <v>0.22340000000000002</v>
      </c>
      <c r="N5">
        <f t="shared" si="1"/>
        <v>2.191181666666667</v>
      </c>
      <c r="O5">
        <v>0.63</v>
      </c>
      <c r="P5">
        <v>7.54</v>
      </c>
      <c r="Q5">
        <v>0</v>
      </c>
      <c r="R5">
        <v>200</v>
      </c>
      <c r="S5">
        <v>12</v>
      </c>
      <c r="T5" t="s">
        <v>20</v>
      </c>
      <c r="U5">
        <v>4</v>
      </c>
      <c r="V5" t="s">
        <v>21</v>
      </c>
    </row>
    <row r="6" spans="1:22" x14ac:dyDescent="0.3">
      <c r="A6" t="s">
        <v>38</v>
      </c>
      <c r="B6" t="s">
        <v>41</v>
      </c>
      <c r="C6" t="s">
        <v>32</v>
      </c>
      <c r="D6" t="s">
        <v>28</v>
      </c>
      <c r="E6" t="s">
        <v>33</v>
      </c>
      <c r="F6" t="s">
        <v>34</v>
      </c>
      <c r="G6" s="15" t="s">
        <v>40</v>
      </c>
      <c r="H6">
        <v>84</v>
      </c>
      <c r="I6">
        <v>15.989858617861488</v>
      </c>
      <c r="J6">
        <f>361/120</f>
        <v>3.0083333333333333</v>
      </c>
      <c r="K6">
        <v>323.56316519598334</v>
      </c>
      <c r="L6">
        <v>166.2</v>
      </c>
      <c r="M6">
        <f t="shared" si="0"/>
        <v>0.16619999999999999</v>
      </c>
      <c r="N6">
        <f t="shared" si="1"/>
        <v>0.49998499999999996</v>
      </c>
      <c r="O6">
        <v>0.72</v>
      </c>
      <c r="P6">
        <v>9.7799999999999994</v>
      </c>
      <c r="Q6">
        <v>4</v>
      </c>
      <c r="R6">
        <v>100</v>
      </c>
      <c r="S6">
        <v>14</v>
      </c>
      <c r="T6" t="s">
        <v>20</v>
      </c>
      <c r="U6">
        <v>4</v>
      </c>
      <c r="V6" t="s">
        <v>21</v>
      </c>
    </row>
    <row r="7" spans="1:22" x14ac:dyDescent="0.3">
      <c r="A7" t="s">
        <v>38</v>
      </c>
      <c r="B7" t="s">
        <v>42</v>
      </c>
      <c r="C7" t="s">
        <v>32</v>
      </c>
      <c r="D7" t="s">
        <v>28</v>
      </c>
      <c r="E7" t="s">
        <v>33</v>
      </c>
      <c r="F7" t="s">
        <v>34</v>
      </c>
      <c r="G7" s="15" t="s">
        <v>40</v>
      </c>
      <c r="H7">
        <v>84</v>
      </c>
      <c r="I7">
        <v>23.449026538215772</v>
      </c>
      <c r="J7">
        <f>913/120</f>
        <v>7.6083333333333334</v>
      </c>
      <c r="K7">
        <v>130.49308790199106</v>
      </c>
      <c r="L7">
        <v>64.88</v>
      </c>
      <c r="M7">
        <f t="shared" si="0"/>
        <v>6.4879999999999993E-2</v>
      </c>
      <c r="N7">
        <f t="shared" si="1"/>
        <v>0.4936286666666666</v>
      </c>
      <c r="O7">
        <v>0.3</v>
      </c>
      <c r="P7">
        <v>2.09</v>
      </c>
      <c r="Q7">
        <v>8</v>
      </c>
      <c r="R7">
        <v>800</v>
      </c>
      <c r="S7">
        <v>10</v>
      </c>
      <c r="T7" t="s">
        <v>20</v>
      </c>
      <c r="U7">
        <v>4</v>
      </c>
      <c r="V7" t="s">
        <v>21</v>
      </c>
    </row>
    <row r="8" spans="1:22" x14ac:dyDescent="0.3">
      <c r="A8" t="s">
        <v>43</v>
      </c>
      <c r="B8" t="s">
        <v>44</v>
      </c>
      <c r="C8" t="s">
        <v>32</v>
      </c>
      <c r="D8" t="s">
        <v>28</v>
      </c>
      <c r="E8" t="s">
        <v>33</v>
      </c>
      <c r="F8" t="s">
        <v>34</v>
      </c>
      <c r="G8" s="15" t="s">
        <v>45</v>
      </c>
      <c r="H8">
        <v>88</v>
      </c>
      <c r="I8">
        <v>35.643577590344485</v>
      </c>
      <c r="J8">
        <f>3503/120</f>
        <v>29.191666666666666</v>
      </c>
      <c r="K8">
        <v>34.145025918993717</v>
      </c>
      <c r="L8">
        <v>114.1</v>
      </c>
      <c r="M8">
        <f t="shared" si="0"/>
        <v>0.11409999999999999</v>
      </c>
      <c r="N8">
        <f t="shared" si="1"/>
        <v>3.3307691666666663</v>
      </c>
      <c r="O8">
        <v>0.28000000000000003</v>
      </c>
      <c r="P8">
        <v>2.74</v>
      </c>
      <c r="Q8">
        <v>0</v>
      </c>
      <c r="R8">
        <v>200</v>
      </c>
      <c r="T8" t="s">
        <v>20</v>
      </c>
      <c r="U8">
        <v>4</v>
      </c>
      <c r="V8" t="s">
        <v>21</v>
      </c>
    </row>
    <row r="9" spans="1:22" x14ac:dyDescent="0.3">
      <c r="A9" t="s">
        <v>43</v>
      </c>
      <c r="B9" t="s">
        <v>46</v>
      </c>
      <c r="C9" t="s">
        <v>32</v>
      </c>
      <c r="D9" t="s">
        <v>28</v>
      </c>
      <c r="E9" t="s">
        <v>33</v>
      </c>
      <c r="F9" t="s">
        <v>34</v>
      </c>
      <c r="G9" s="15" t="s">
        <v>45</v>
      </c>
      <c r="H9">
        <v>88</v>
      </c>
      <c r="I9">
        <v>23.773054160042914</v>
      </c>
      <c r="J9">
        <f>1142/120</f>
        <v>9.5166666666666675</v>
      </c>
      <c r="K9">
        <v>104.12795081721819</v>
      </c>
      <c r="L9">
        <v>78.099999999999994</v>
      </c>
      <c r="M9">
        <f t="shared" si="0"/>
        <v>7.8099999999999989E-2</v>
      </c>
      <c r="N9">
        <f t="shared" si="1"/>
        <v>0.74325166666666664</v>
      </c>
      <c r="O9">
        <v>0.31</v>
      </c>
      <c r="P9">
        <v>2.37</v>
      </c>
      <c r="Q9">
        <v>2</v>
      </c>
      <c r="R9">
        <v>300</v>
      </c>
      <c r="S9">
        <v>9</v>
      </c>
      <c r="T9" t="s">
        <v>20</v>
      </c>
      <c r="U9">
        <v>4</v>
      </c>
      <c r="V9" t="s">
        <v>21</v>
      </c>
    </row>
    <row r="10" spans="1:22" x14ac:dyDescent="0.3">
      <c r="A10" t="s">
        <v>43</v>
      </c>
      <c r="B10" t="s">
        <v>47</v>
      </c>
      <c r="C10" t="s">
        <v>32</v>
      </c>
      <c r="D10" t="s">
        <v>28</v>
      </c>
      <c r="E10" t="s">
        <v>33</v>
      </c>
      <c r="F10" t="s">
        <v>34</v>
      </c>
      <c r="G10" s="15" t="s">
        <v>45</v>
      </c>
      <c r="H10">
        <v>88</v>
      </c>
      <c r="I10">
        <v>40.29731479624661</v>
      </c>
      <c r="J10">
        <f>1938/120</f>
        <v>16.149999999999999</v>
      </c>
      <c r="K10">
        <v>61.574546688272562</v>
      </c>
      <c r="L10">
        <v>176.4</v>
      </c>
      <c r="M10">
        <f t="shared" si="0"/>
        <v>0.1764</v>
      </c>
      <c r="N10">
        <f t="shared" si="1"/>
        <v>2.8488599999999997</v>
      </c>
      <c r="O10">
        <v>0.32</v>
      </c>
      <c r="P10">
        <v>2.39</v>
      </c>
      <c r="Q10">
        <v>5</v>
      </c>
      <c r="R10">
        <v>300</v>
      </c>
      <c r="S10">
        <v>11</v>
      </c>
      <c r="T10" t="s">
        <v>20</v>
      </c>
      <c r="U10">
        <v>4</v>
      </c>
      <c r="V10" t="s">
        <v>21</v>
      </c>
    </row>
    <row r="11" spans="1:22" x14ac:dyDescent="0.3">
      <c r="A11" t="s">
        <v>43</v>
      </c>
      <c r="B11" t="s">
        <v>48</v>
      </c>
      <c r="C11" t="s">
        <v>32</v>
      </c>
      <c r="D11" t="s">
        <v>28</v>
      </c>
      <c r="E11" t="s">
        <v>33</v>
      </c>
      <c r="F11" t="s">
        <v>34</v>
      </c>
      <c r="G11" s="15" t="s">
        <v>45</v>
      </c>
      <c r="H11">
        <v>88</v>
      </c>
      <c r="I11">
        <v>20.179807538282038</v>
      </c>
      <c r="J11">
        <f>1053/120</f>
        <v>8.7750000000000004</v>
      </c>
      <c r="K11">
        <v>113.14344165535648</v>
      </c>
      <c r="L11">
        <v>91.5</v>
      </c>
      <c r="M11">
        <f t="shared" si="0"/>
        <v>9.1499999999999998E-2</v>
      </c>
      <c r="N11">
        <f t="shared" si="1"/>
        <v>0.80291250000000003</v>
      </c>
      <c r="O11">
        <v>0.34</v>
      </c>
      <c r="P11">
        <v>3.61</v>
      </c>
      <c r="Q11">
        <v>7</v>
      </c>
      <c r="R11">
        <v>300</v>
      </c>
      <c r="S11">
        <v>11</v>
      </c>
      <c r="T11" t="s">
        <v>20</v>
      </c>
      <c r="U11">
        <v>4</v>
      </c>
      <c r="V11" t="s">
        <v>21</v>
      </c>
    </row>
    <row r="12" spans="1:22" x14ac:dyDescent="0.3">
      <c r="A12" t="s">
        <v>43</v>
      </c>
      <c r="B12" t="s">
        <v>49</v>
      </c>
      <c r="C12" t="s">
        <v>32</v>
      </c>
      <c r="D12" t="s">
        <v>28</v>
      </c>
      <c r="E12" t="s">
        <v>33</v>
      </c>
      <c r="F12" t="s">
        <v>34</v>
      </c>
      <c r="G12" s="15" t="s">
        <v>45</v>
      </c>
      <c r="H12">
        <v>88</v>
      </c>
      <c r="I12">
        <v>23.017013000196965</v>
      </c>
      <c r="J12">
        <f>396/120</f>
        <v>3.3</v>
      </c>
      <c r="K12">
        <v>301.20303618312431</v>
      </c>
      <c r="L12">
        <v>139</v>
      </c>
      <c r="M12">
        <f t="shared" si="0"/>
        <v>0.13900000000000001</v>
      </c>
      <c r="N12">
        <f t="shared" si="1"/>
        <v>0.4587</v>
      </c>
      <c r="O12">
        <v>0.38</v>
      </c>
      <c r="P12">
        <v>3.64</v>
      </c>
      <c r="Q12">
        <v>9</v>
      </c>
      <c r="R12">
        <v>400</v>
      </c>
      <c r="S12">
        <v>10</v>
      </c>
      <c r="T12" t="s">
        <v>20</v>
      </c>
      <c r="U12">
        <v>4</v>
      </c>
      <c r="V12" t="s">
        <v>21</v>
      </c>
    </row>
    <row r="13" spans="1:22" x14ac:dyDescent="0.3">
      <c r="A13" t="s">
        <v>50</v>
      </c>
      <c r="B13" t="s">
        <v>51</v>
      </c>
      <c r="C13" t="s">
        <v>32</v>
      </c>
      <c r="D13" t="s">
        <v>28</v>
      </c>
      <c r="E13" t="s">
        <v>33</v>
      </c>
      <c r="F13" t="s">
        <v>52</v>
      </c>
      <c r="G13" s="15" t="s">
        <v>53</v>
      </c>
      <c r="H13">
        <v>83</v>
      </c>
      <c r="I13">
        <v>20.09</v>
      </c>
      <c r="J13">
        <f>566/120</f>
        <v>4.7166666666666668</v>
      </c>
      <c r="K13">
        <v>207.88603980756181</v>
      </c>
      <c r="L13">
        <v>143.80000000000001</v>
      </c>
      <c r="M13">
        <f t="shared" si="0"/>
        <v>0.14380000000000001</v>
      </c>
      <c r="N13">
        <f t="shared" si="1"/>
        <v>0.67825666666666673</v>
      </c>
      <c r="O13">
        <v>0.44</v>
      </c>
      <c r="P13">
        <v>5.71</v>
      </c>
      <c r="Q13">
        <v>2</v>
      </c>
      <c r="R13">
        <v>200</v>
      </c>
      <c r="T13" t="s">
        <v>20</v>
      </c>
      <c r="U13">
        <v>4</v>
      </c>
      <c r="V13" t="s">
        <v>21</v>
      </c>
    </row>
    <row r="14" spans="1:22" x14ac:dyDescent="0.3">
      <c r="A14" t="s">
        <v>54</v>
      </c>
      <c r="B14" t="s">
        <v>55</v>
      </c>
      <c r="C14" t="s">
        <v>32</v>
      </c>
      <c r="D14" t="s">
        <v>28</v>
      </c>
      <c r="E14" t="s">
        <v>33</v>
      </c>
      <c r="F14" t="s">
        <v>52</v>
      </c>
      <c r="G14" s="15" t="s">
        <v>56</v>
      </c>
      <c r="H14">
        <v>86</v>
      </c>
      <c r="I14">
        <v>17.57</v>
      </c>
      <c r="J14">
        <f>263/120</f>
        <v>2.1916666666666669</v>
      </c>
      <c r="K14">
        <v>446.05286713935362</v>
      </c>
      <c r="L14">
        <v>167</v>
      </c>
      <c r="M14">
        <f t="shared" si="0"/>
        <v>0.16700000000000001</v>
      </c>
      <c r="N14">
        <f t="shared" si="1"/>
        <v>0.36600833333333338</v>
      </c>
      <c r="O14">
        <v>0.45</v>
      </c>
      <c r="P14">
        <v>6.65</v>
      </c>
      <c r="Q14">
        <v>2</v>
      </c>
      <c r="R14">
        <v>220</v>
      </c>
      <c r="S14">
        <v>10</v>
      </c>
      <c r="T14" t="s">
        <v>20</v>
      </c>
      <c r="U14">
        <v>4</v>
      </c>
      <c r="V14" t="s">
        <v>21</v>
      </c>
    </row>
    <row r="15" spans="1:22" x14ac:dyDescent="0.3">
      <c r="A15" t="s">
        <v>54</v>
      </c>
      <c r="B15" t="s">
        <v>57</v>
      </c>
      <c r="C15" t="s">
        <v>32</v>
      </c>
      <c r="D15" t="s">
        <v>28</v>
      </c>
      <c r="E15" t="s">
        <v>33</v>
      </c>
      <c r="F15" t="s">
        <v>52</v>
      </c>
      <c r="G15" s="15" t="s">
        <v>56</v>
      </c>
      <c r="H15">
        <v>86</v>
      </c>
      <c r="I15">
        <v>39.909999999999997</v>
      </c>
      <c r="J15">
        <f>1261/120</f>
        <v>10.508333333333333</v>
      </c>
      <c r="K15">
        <v>94.736587716007136</v>
      </c>
      <c r="L15">
        <v>173</v>
      </c>
      <c r="M15">
        <f t="shared" si="0"/>
        <v>0.17299999999999999</v>
      </c>
      <c r="N15">
        <f t="shared" si="1"/>
        <v>1.8179416666666663</v>
      </c>
      <c r="O15">
        <v>0.33</v>
      </c>
      <c r="P15">
        <v>3.54</v>
      </c>
      <c r="Q15">
        <v>6</v>
      </c>
      <c r="R15">
        <v>300</v>
      </c>
      <c r="S15">
        <v>12</v>
      </c>
      <c r="T15" t="s">
        <v>20</v>
      </c>
      <c r="U15">
        <v>4</v>
      </c>
      <c r="V15" t="s">
        <v>21</v>
      </c>
    </row>
    <row r="16" spans="1:22" x14ac:dyDescent="0.3">
      <c r="A16" t="s">
        <v>58</v>
      </c>
      <c r="B16" t="s">
        <v>59</v>
      </c>
      <c r="C16" t="s">
        <v>32</v>
      </c>
      <c r="D16" t="s">
        <v>28</v>
      </c>
      <c r="E16" t="s">
        <v>33</v>
      </c>
      <c r="F16" t="s">
        <v>60</v>
      </c>
      <c r="G16" s="15">
        <v>3</v>
      </c>
      <c r="H16">
        <v>74</v>
      </c>
      <c r="I16">
        <v>22.020056866374002</v>
      </c>
      <c r="J16">
        <f>1722/120</f>
        <v>14.35</v>
      </c>
      <c r="K16">
        <v>69.343976993265542</v>
      </c>
      <c r="L16">
        <v>122.4</v>
      </c>
      <c r="M16">
        <f t="shared" si="0"/>
        <v>0.12240000000000001</v>
      </c>
      <c r="N16">
        <f t="shared" si="1"/>
        <v>1.75644</v>
      </c>
      <c r="O16">
        <v>0.34</v>
      </c>
      <c r="P16">
        <v>3.05</v>
      </c>
      <c r="Q16">
        <v>0</v>
      </c>
      <c r="R16">
        <v>300</v>
      </c>
      <c r="S16">
        <v>14</v>
      </c>
      <c r="T16" t="s">
        <v>20</v>
      </c>
      <c r="U16">
        <v>4</v>
      </c>
      <c r="V16" t="s">
        <v>21</v>
      </c>
    </row>
    <row r="17" spans="1:22" x14ac:dyDescent="0.3">
      <c r="A17" t="s">
        <v>58</v>
      </c>
      <c r="B17" t="s">
        <v>61</v>
      </c>
      <c r="C17" t="s">
        <v>32</v>
      </c>
      <c r="D17" t="s">
        <v>28</v>
      </c>
      <c r="E17" t="s">
        <v>33</v>
      </c>
      <c r="F17" t="s">
        <v>60</v>
      </c>
      <c r="G17" s="15">
        <v>3</v>
      </c>
      <c r="H17">
        <v>74</v>
      </c>
      <c r="I17">
        <v>32.806016518034845</v>
      </c>
      <c r="J17">
        <f>3382/120</f>
        <v>28.183333333333334</v>
      </c>
      <c r="K17">
        <v>35.329506515753756</v>
      </c>
      <c r="L17">
        <v>125.4</v>
      </c>
      <c r="M17">
        <f t="shared" si="0"/>
        <v>0.12540000000000001</v>
      </c>
      <c r="N17">
        <f t="shared" si="1"/>
        <v>3.5341900000000002</v>
      </c>
      <c r="O17">
        <v>0.34</v>
      </c>
      <c r="P17">
        <v>3.84</v>
      </c>
      <c r="Q17">
        <v>2</v>
      </c>
      <c r="R17">
        <v>200</v>
      </c>
      <c r="S17">
        <v>14</v>
      </c>
      <c r="T17" t="s">
        <v>20</v>
      </c>
      <c r="U17">
        <v>4</v>
      </c>
      <c r="V17" t="s">
        <v>21</v>
      </c>
    </row>
    <row r="18" spans="1:22" x14ac:dyDescent="0.3">
      <c r="A18" t="s">
        <v>58</v>
      </c>
      <c r="B18" t="s">
        <v>62</v>
      </c>
      <c r="C18" t="s">
        <v>32</v>
      </c>
      <c r="D18" t="s">
        <v>28</v>
      </c>
      <c r="E18" t="s">
        <v>33</v>
      </c>
      <c r="F18" t="s">
        <v>60</v>
      </c>
      <c r="G18" s="15">
        <v>3</v>
      </c>
      <c r="H18">
        <v>74</v>
      </c>
      <c r="I18">
        <v>26.744613126254695</v>
      </c>
      <c r="J18">
        <f>958/120</f>
        <v>7.9833333333333334</v>
      </c>
      <c r="K18">
        <v>123.99121386367177</v>
      </c>
      <c r="L18">
        <v>127.3</v>
      </c>
      <c r="M18">
        <f t="shared" si="0"/>
        <v>0.1273</v>
      </c>
      <c r="N18">
        <f t="shared" si="1"/>
        <v>1.0162783333333334</v>
      </c>
      <c r="O18">
        <v>0.35</v>
      </c>
      <c r="P18">
        <v>3.55</v>
      </c>
      <c r="Q18">
        <v>4</v>
      </c>
      <c r="R18">
        <v>200</v>
      </c>
      <c r="S18">
        <v>13</v>
      </c>
      <c r="T18" t="s">
        <v>20</v>
      </c>
      <c r="U18">
        <v>4</v>
      </c>
      <c r="V18" t="s">
        <v>21</v>
      </c>
    </row>
    <row r="19" spans="1:22" x14ac:dyDescent="0.3">
      <c r="A19" t="s">
        <v>58</v>
      </c>
      <c r="B19" t="s">
        <v>63</v>
      </c>
      <c r="C19" t="s">
        <v>32</v>
      </c>
      <c r="D19" t="s">
        <v>28</v>
      </c>
      <c r="E19" t="s">
        <v>33</v>
      </c>
      <c r="F19" t="s">
        <v>60</v>
      </c>
      <c r="G19" s="15">
        <v>3</v>
      </c>
      <c r="H19">
        <v>74</v>
      </c>
      <c r="I19">
        <v>21.776789271605523</v>
      </c>
      <c r="J19">
        <f>1014/120</f>
        <v>8.4499999999999993</v>
      </c>
      <c r="K19">
        <v>117.73209161754467</v>
      </c>
      <c r="L19">
        <v>157.5</v>
      </c>
      <c r="M19">
        <f t="shared" si="0"/>
        <v>0.1575</v>
      </c>
      <c r="N19">
        <f t="shared" si="1"/>
        <v>1.3308749999999998</v>
      </c>
      <c r="O19">
        <v>0.38</v>
      </c>
      <c r="P19">
        <v>4.88</v>
      </c>
      <c r="Q19">
        <v>6</v>
      </c>
      <c r="R19">
        <v>260</v>
      </c>
      <c r="S19">
        <v>14</v>
      </c>
      <c r="T19" t="s">
        <v>20</v>
      </c>
      <c r="U19">
        <v>4</v>
      </c>
      <c r="V19" t="s">
        <v>21</v>
      </c>
    </row>
    <row r="20" spans="1:22" x14ac:dyDescent="0.3">
      <c r="A20" t="s">
        <v>58</v>
      </c>
      <c r="B20" t="s">
        <v>64</v>
      </c>
      <c r="C20" t="s">
        <v>32</v>
      </c>
      <c r="D20" t="s">
        <v>28</v>
      </c>
      <c r="E20" t="s">
        <v>33</v>
      </c>
      <c r="F20" t="s">
        <v>60</v>
      </c>
      <c r="G20" s="15">
        <v>3</v>
      </c>
      <c r="H20">
        <v>74</v>
      </c>
      <c r="I20">
        <v>28.466575188280515</v>
      </c>
      <c r="J20">
        <f>1679/120</f>
        <v>13.991666666666667</v>
      </c>
      <c r="K20">
        <v>71.326802305961891</v>
      </c>
      <c r="L20">
        <v>110</v>
      </c>
      <c r="M20">
        <f t="shared" si="0"/>
        <v>0.11</v>
      </c>
      <c r="N20">
        <f t="shared" si="1"/>
        <v>1.5390833333333334</v>
      </c>
      <c r="O20">
        <v>0.32</v>
      </c>
      <c r="P20">
        <v>2.96</v>
      </c>
      <c r="Q20">
        <v>8</v>
      </c>
      <c r="R20">
        <v>260</v>
      </c>
      <c r="S20">
        <v>14</v>
      </c>
      <c r="T20" t="s">
        <v>20</v>
      </c>
      <c r="U20">
        <v>4</v>
      </c>
      <c r="V20" t="s">
        <v>21</v>
      </c>
    </row>
    <row r="21" spans="1:22" x14ac:dyDescent="0.3">
      <c r="A21" t="s">
        <v>65</v>
      </c>
      <c r="B21" t="s">
        <v>66</v>
      </c>
      <c r="C21" t="s">
        <v>32</v>
      </c>
      <c r="D21" t="s">
        <v>28</v>
      </c>
      <c r="E21" t="s">
        <v>33</v>
      </c>
      <c r="F21" t="s">
        <v>67</v>
      </c>
      <c r="G21" s="15">
        <v>2</v>
      </c>
      <c r="H21">
        <v>64</v>
      </c>
      <c r="I21">
        <v>24.447987636694197</v>
      </c>
      <c r="J21">
        <f>1308/120</f>
        <v>10.9</v>
      </c>
      <c r="K21">
        <v>91.620382916563173</v>
      </c>
      <c r="L21">
        <v>121.2</v>
      </c>
      <c r="M21">
        <f t="shared" si="0"/>
        <v>0.1212</v>
      </c>
      <c r="N21">
        <f t="shared" si="1"/>
        <v>1.32108</v>
      </c>
      <c r="O21">
        <v>0.35</v>
      </c>
      <c r="P21">
        <v>3.46</v>
      </c>
      <c r="Q21">
        <v>0</v>
      </c>
      <c r="R21">
        <v>290</v>
      </c>
      <c r="S21">
        <v>12</v>
      </c>
      <c r="T21" t="s">
        <v>20</v>
      </c>
      <c r="U21">
        <v>4</v>
      </c>
      <c r="V21" t="s">
        <v>21</v>
      </c>
    </row>
    <row r="22" spans="1:22" x14ac:dyDescent="0.3">
      <c r="A22" t="s">
        <v>65</v>
      </c>
      <c r="B22" t="s">
        <v>68</v>
      </c>
      <c r="C22" t="s">
        <v>32</v>
      </c>
      <c r="D22" t="s">
        <v>28</v>
      </c>
      <c r="E22" t="s">
        <v>33</v>
      </c>
      <c r="F22" t="s">
        <v>67</v>
      </c>
      <c r="G22" s="15">
        <v>2</v>
      </c>
      <c r="H22">
        <v>64</v>
      </c>
      <c r="I22">
        <v>15.806548780622059</v>
      </c>
      <c r="J22">
        <f>1450/120</f>
        <v>12.083333333333334</v>
      </c>
      <c r="K22">
        <v>82.510920162706142</v>
      </c>
      <c r="L22">
        <v>93.06</v>
      </c>
      <c r="M22">
        <f t="shared" si="0"/>
        <v>9.3060000000000004E-2</v>
      </c>
      <c r="N22">
        <f t="shared" si="1"/>
        <v>1.1244750000000001</v>
      </c>
      <c r="O22">
        <v>0.36</v>
      </c>
      <c r="P22">
        <v>4.5</v>
      </c>
      <c r="Q22">
        <v>2</v>
      </c>
      <c r="R22">
        <v>390</v>
      </c>
      <c r="S22">
        <v>11</v>
      </c>
      <c r="T22" t="s">
        <v>20</v>
      </c>
      <c r="U22">
        <v>4</v>
      </c>
      <c r="V22" t="s">
        <v>21</v>
      </c>
    </row>
    <row r="23" spans="1:22" x14ac:dyDescent="0.3">
      <c r="A23" t="s">
        <v>65</v>
      </c>
      <c r="B23" t="s">
        <v>69</v>
      </c>
      <c r="C23" t="s">
        <v>32</v>
      </c>
      <c r="D23" t="s">
        <v>28</v>
      </c>
      <c r="E23" t="s">
        <v>33</v>
      </c>
      <c r="F23" t="s">
        <v>67</v>
      </c>
      <c r="G23" s="15">
        <v>2</v>
      </c>
      <c r="H23">
        <v>64</v>
      </c>
      <c r="I23">
        <v>27.691734483487433</v>
      </c>
      <c r="J23">
        <f>675/120</f>
        <v>5.625</v>
      </c>
      <c r="K23">
        <v>175.73427772909193</v>
      </c>
      <c r="L23">
        <v>136</v>
      </c>
      <c r="M23">
        <f t="shared" si="0"/>
        <v>0.13600000000000001</v>
      </c>
      <c r="N23">
        <f t="shared" si="1"/>
        <v>0.76500000000000001</v>
      </c>
      <c r="O23">
        <v>0.35</v>
      </c>
      <c r="P23">
        <v>3.65</v>
      </c>
      <c r="Q23">
        <v>4</v>
      </c>
      <c r="R23">
        <v>350</v>
      </c>
      <c r="S23">
        <v>13</v>
      </c>
      <c r="T23" t="s">
        <v>20</v>
      </c>
      <c r="U23">
        <v>4</v>
      </c>
      <c r="V23" t="s">
        <v>21</v>
      </c>
    </row>
    <row r="24" spans="1:22" x14ac:dyDescent="0.3">
      <c r="A24" t="s">
        <v>65</v>
      </c>
      <c r="B24" t="s">
        <v>70</v>
      </c>
      <c r="C24" t="s">
        <v>32</v>
      </c>
      <c r="D24" t="s">
        <v>28</v>
      </c>
      <c r="E24" t="s">
        <v>33</v>
      </c>
      <c r="F24" t="s">
        <v>67</v>
      </c>
      <c r="G24" s="15">
        <v>2</v>
      </c>
      <c r="H24">
        <v>64</v>
      </c>
      <c r="I24">
        <v>23.941938729416531</v>
      </c>
      <c r="J24">
        <f>617/120</f>
        <v>5.1416666666666666</v>
      </c>
      <c r="K24">
        <v>192.13668398746748</v>
      </c>
      <c r="L24">
        <v>153</v>
      </c>
      <c r="M24">
        <f t="shared" si="0"/>
        <v>0.153</v>
      </c>
      <c r="N24">
        <f t="shared" si="1"/>
        <v>0.78667500000000001</v>
      </c>
      <c r="O24">
        <v>0.46</v>
      </c>
      <c r="P24">
        <v>6.53</v>
      </c>
      <c r="Q24">
        <v>6</v>
      </c>
      <c r="R24">
        <v>190</v>
      </c>
      <c r="S24">
        <v>13</v>
      </c>
      <c r="T24" t="s">
        <v>20</v>
      </c>
      <c r="U24">
        <v>4</v>
      </c>
      <c r="V24" t="s">
        <v>21</v>
      </c>
    </row>
    <row r="25" spans="1:22" x14ac:dyDescent="0.3">
      <c r="A25" t="s">
        <v>71</v>
      </c>
      <c r="B25" t="s">
        <v>72</v>
      </c>
      <c r="C25" t="s">
        <v>32</v>
      </c>
      <c r="D25" t="s">
        <v>28</v>
      </c>
      <c r="E25" t="s">
        <v>33</v>
      </c>
      <c r="F25" t="s">
        <v>73</v>
      </c>
      <c r="G25" s="15">
        <v>1</v>
      </c>
      <c r="H25">
        <v>67</v>
      </c>
      <c r="I25">
        <v>30.236902145865706</v>
      </c>
      <c r="J25">
        <f>566/120</f>
        <v>4.7166666666666668</v>
      </c>
      <c r="K25">
        <v>207.99134379097191</v>
      </c>
      <c r="L25">
        <v>297.3</v>
      </c>
      <c r="M25">
        <f>L25/1000</f>
        <v>0.29730000000000001</v>
      </c>
      <c r="N25">
        <f>M25*J25</f>
        <v>1.4022650000000001</v>
      </c>
      <c r="O25">
        <v>0.43</v>
      </c>
      <c r="P25">
        <v>7.19</v>
      </c>
      <c r="Q25">
        <v>0</v>
      </c>
      <c r="R25">
        <v>320</v>
      </c>
      <c r="S25">
        <v>13</v>
      </c>
      <c r="T25" t="s">
        <v>74</v>
      </c>
      <c r="U25">
        <v>4</v>
      </c>
      <c r="V25" t="s">
        <v>21</v>
      </c>
    </row>
    <row r="26" spans="1:22" x14ac:dyDescent="0.3">
      <c r="A26" t="s">
        <v>71</v>
      </c>
      <c r="B26" t="s">
        <v>75</v>
      </c>
      <c r="C26" t="s">
        <v>32</v>
      </c>
      <c r="D26" t="s">
        <v>28</v>
      </c>
      <c r="E26" t="s">
        <v>33</v>
      </c>
      <c r="F26" t="s">
        <v>73</v>
      </c>
      <c r="G26" s="15">
        <v>1</v>
      </c>
      <c r="H26">
        <v>67</v>
      </c>
      <c r="I26">
        <v>16.350149793361528</v>
      </c>
      <c r="J26">
        <f>780/120</f>
        <v>6.5</v>
      </c>
      <c r="K26">
        <v>152.42003174223743</v>
      </c>
      <c r="L26">
        <v>126.9</v>
      </c>
      <c r="M26">
        <f>L26/1000</f>
        <v>0.12690000000000001</v>
      </c>
      <c r="N26">
        <f>M26*J26</f>
        <v>0.82485000000000008</v>
      </c>
      <c r="O26">
        <v>0.42</v>
      </c>
      <c r="P26">
        <v>4.72</v>
      </c>
      <c r="Q26">
        <v>6</v>
      </c>
      <c r="R26">
        <v>150</v>
      </c>
      <c r="S26">
        <v>16</v>
      </c>
      <c r="T26" t="s">
        <v>20</v>
      </c>
      <c r="U26">
        <v>4</v>
      </c>
      <c r="V26" t="s">
        <v>21</v>
      </c>
    </row>
    <row r="27" spans="1:22" s="1" customFormat="1" x14ac:dyDescent="0.3">
      <c r="A27" s="1" t="s">
        <v>76</v>
      </c>
      <c r="B27" s="1" t="s">
        <v>77</v>
      </c>
      <c r="C27" s="1" t="s">
        <v>32</v>
      </c>
      <c r="D27" s="1" t="s">
        <v>22</v>
      </c>
      <c r="E27" s="1" t="s">
        <v>33</v>
      </c>
      <c r="F27" s="1" t="s">
        <v>60</v>
      </c>
      <c r="G27" s="16">
        <v>4</v>
      </c>
      <c r="H27" s="1">
        <v>71</v>
      </c>
      <c r="I27" s="1">
        <v>25.31706650259072</v>
      </c>
      <c r="J27" s="1">
        <f>1378/120</f>
        <v>11.483333333333333</v>
      </c>
      <c r="K27" s="1">
        <v>86.680756171217809</v>
      </c>
      <c r="L27" s="1">
        <v>110.6</v>
      </c>
      <c r="M27" s="1">
        <f t="shared" si="0"/>
        <v>0.11059999999999999</v>
      </c>
      <c r="N27" s="1">
        <f t="shared" si="1"/>
        <v>1.2700566666666664</v>
      </c>
      <c r="O27" s="1">
        <v>0.33</v>
      </c>
      <c r="P27" s="1">
        <v>3.78</v>
      </c>
      <c r="Q27" s="1">
        <v>0</v>
      </c>
      <c r="R27" s="1">
        <v>230</v>
      </c>
      <c r="S27" s="1">
        <v>12</v>
      </c>
      <c r="T27" s="1" t="s">
        <v>20</v>
      </c>
      <c r="U27" s="1">
        <v>4</v>
      </c>
      <c r="V27" s="1" t="s">
        <v>21</v>
      </c>
    </row>
    <row r="28" spans="1:22" s="1" customFormat="1" x14ac:dyDescent="0.3">
      <c r="A28" s="1" t="s">
        <v>76</v>
      </c>
      <c r="B28" s="1" t="s">
        <v>79</v>
      </c>
      <c r="C28" s="1" t="s">
        <v>32</v>
      </c>
      <c r="D28" s="1" t="s">
        <v>22</v>
      </c>
      <c r="E28" s="1" t="s">
        <v>33</v>
      </c>
      <c r="F28" s="1" t="s">
        <v>60</v>
      </c>
      <c r="G28" s="16">
        <v>4</v>
      </c>
      <c r="H28" s="1">
        <v>71</v>
      </c>
      <c r="I28" s="1">
        <v>14.386813854810319</v>
      </c>
      <c r="J28" s="1">
        <f>912/120</f>
        <v>7.6</v>
      </c>
      <c r="K28" s="1">
        <v>130.58715235461466</v>
      </c>
      <c r="L28" s="1">
        <v>91.79</v>
      </c>
      <c r="M28" s="1">
        <f t="shared" si="0"/>
        <v>9.179000000000001E-2</v>
      </c>
      <c r="N28" s="1">
        <f t="shared" si="1"/>
        <v>0.697604</v>
      </c>
      <c r="O28" s="1">
        <v>0.31</v>
      </c>
      <c r="P28" s="1">
        <v>4.71</v>
      </c>
      <c r="Q28" s="1">
        <v>4</v>
      </c>
      <c r="R28" s="1">
        <v>130</v>
      </c>
      <c r="S28" s="1">
        <v>13</v>
      </c>
      <c r="T28" s="1" t="s">
        <v>20</v>
      </c>
      <c r="U28" s="1">
        <v>4</v>
      </c>
      <c r="V28" s="1" t="s">
        <v>21</v>
      </c>
    </row>
    <row r="29" spans="1:22" s="1" customFormat="1" x14ac:dyDescent="0.3">
      <c r="A29" s="1" t="s">
        <v>76</v>
      </c>
      <c r="B29" s="1" t="s">
        <v>80</v>
      </c>
      <c r="C29" s="1" t="s">
        <v>32</v>
      </c>
      <c r="D29" s="1" t="s">
        <v>22</v>
      </c>
      <c r="E29" s="1" t="s">
        <v>33</v>
      </c>
      <c r="F29" s="1" t="s">
        <v>60</v>
      </c>
      <c r="G29" s="16">
        <v>4</v>
      </c>
      <c r="H29" s="1">
        <v>71</v>
      </c>
      <c r="I29" s="1">
        <v>21.803969556034744</v>
      </c>
      <c r="J29" s="1">
        <f>1553/120</f>
        <v>12.941666666666666</v>
      </c>
      <c r="K29" s="1">
        <v>76.544047783639442</v>
      </c>
      <c r="L29" s="1">
        <v>123.1</v>
      </c>
      <c r="M29" s="1">
        <f t="shared" si="0"/>
        <v>0.1231</v>
      </c>
      <c r="N29" s="1">
        <f t="shared" si="1"/>
        <v>1.5931191666666666</v>
      </c>
      <c r="O29" s="1">
        <v>0.41</v>
      </c>
      <c r="P29" s="1">
        <v>4.16</v>
      </c>
      <c r="Q29" s="1">
        <v>6</v>
      </c>
      <c r="R29" s="1">
        <v>287</v>
      </c>
      <c r="S29" s="1">
        <v>12</v>
      </c>
      <c r="T29" s="1" t="s">
        <v>20</v>
      </c>
      <c r="U29" s="1">
        <v>4</v>
      </c>
      <c r="V29" s="1" t="s">
        <v>21</v>
      </c>
    </row>
    <row r="30" spans="1:22" s="1" customFormat="1" x14ac:dyDescent="0.3">
      <c r="A30" s="1" t="s">
        <v>81</v>
      </c>
      <c r="B30" s="1" t="s">
        <v>82</v>
      </c>
      <c r="C30" s="1" t="s">
        <v>32</v>
      </c>
      <c r="D30" s="1" t="s">
        <v>22</v>
      </c>
      <c r="E30" s="1" t="s">
        <v>33</v>
      </c>
      <c r="F30" s="1" t="s">
        <v>67</v>
      </c>
      <c r="G30" s="16">
        <v>0</v>
      </c>
      <c r="H30" s="1">
        <v>65</v>
      </c>
      <c r="I30" s="1">
        <v>33.670813389764866</v>
      </c>
      <c r="J30" s="1">
        <f>2896/120</f>
        <v>24.133333333333333</v>
      </c>
      <c r="K30" s="1">
        <v>41.370672810689832</v>
      </c>
      <c r="L30" s="1">
        <v>129.9</v>
      </c>
      <c r="M30" s="1">
        <f t="shared" si="0"/>
        <v>0.12990000000000002</v>
      </c>
      <c r="N30" s="1">
        <f t="shared" si="1"/>
        <v>3.1349200000000002</v>
      </c>
      <c r="O30" s="1">
        <v>0.35</v>
      </c>
      <c r="P30" s="1">
        <v>3.63</v>
      </c>
      <c r="Q30" s="1">
        <v>2</v>
      </c>
      <c r="R30" s="1">
        <v>175</v>
      </c>
      <c r="S30" s="1">
        <v>13</v>
      </c>
      <c r="T30" s="1" t="s">
        <v>74</v>
      </c>
      <c r="U30" s="1">
        <v>4</v>
      </c>
      <c r="V30" s="1" t="s">
        <v>21</v>
      </c>
    </row>
    <row r="31" spans="1:22" s="1" customFormat="1" x14ac:dyDescent="0.3">
      <c r="A31" s="1" t="s">
        <v>81</v>
      </c>
      <c r="B31" s="1" t="s">
        <v>83</v>
      </c>
      <c r="C31" s="1" t="s">
        <v>32</v>
      </c>
      <c r="D31" s="1" t="s">
        <v>22</v>
      </c>
      <c r="E31" s="1" t="s">
        <v>33</v>
      </c>
      <c r="F31" s="1" t="s">
        <v>67</v>
      </c>
      <c r="G31" s="16">
        <v>0</v>
      </c>
      <c r="H31" s="1">
        <v>65</v>
      </c>
      <c r="I31" s="1">
        <v>16.066040572949795</v>
      </c>
      <c r="J31" s="1">
        <f>1714/120</f>
        <v>14.283333333333333</v>
      </c>
      <c r="K31" s="1">
        <v>69.877295579479849</v>
      </c>
      <c r="L31" s="1">
        <v>129.5</v>
      </c>
      <c r="M31" s="1">
        <f t="shared" si="0"/>
        <v>0.1295</v>
      </c>
      <c r="N31" s="1">
        <f t="shared" si="1"/>
        <v>1.8496916666666667</v>
      </c>
      <c r="O31" s="1">
        <v>0.44</v>
      </c>
      <c r="P31" s="1">
        <v>5.96</v>
      </c>
      <c r="Q31" s="1">
        <v>4</v>
      </c>
      <c r="R31" s="1">
        <v>240</v>
      </c>
      <c r="S31" s="1">
        <v>14</v>
      </c>
      <c r="T31" s="1" t="s">
        <v>20</v>
      </c>
      <c r="U31" s="1">
        <v>4</v>
      </c>
      <c r="V31" s="1" t="s">
        <v>21</v>
      </c>
    </row>
    <row r="32" spans="1:22" s="1" customFormat="1" x14ac:dyDescent="0.3">
      <c r="A32" s="1" t="s">
        <v>81</v>
      </c>
      <c r="B32" s="1" t="s">
        <v>84</v>
      </c>
      <c r="C32" s="1" t="s">
        <v>32</v>
      </c>
      <c r="D32" s="1" t="s">
        <v>22</v>
      </c>
      <c r="E32" s="1" t="s">
        <v>33</v>
      </c>
      <c r="F32" s="1" t="s">
        <v>67</v>
      </c>
      <c r="G32" s="16">
        <v>0</v>
      </c>
      <c r="H32" s="1">
        <v>65</v>
      </c>
      <c r="I32" s="1">
        <v>18.825981429981088</v>
      </c>
      <c r="J32" s="1">
        <f>4383/120</f>
        <v>36.524999999999999</v>
      </c>
      <c r="K32" s="1">
        <v>27.322323272229855</v>
      </c>
      <c r="L32" s="1">
        <v>56.39</v>
      </c>
      <c r="M32" s="1">
        <f t="shared" si="0"/>
        <v>5.6390000000000003E-2</v>
      </c>
      <c r="N32" s="1">
        <f t="shared" si="1"/>
        <v>2.0596447499999999</v>
      </c>
      <c r="O32" s="1">
        <v>0.32</v>
      </c>
      <c r="P32" s="1">
        <v>2.2799999999999998</v>
      </c>
      <c r="Q32" s="1">
        <v>6</v>
      </c>
      <c r="R32" s="1">
        <v>470</v>
      </c>
      <c r="S32" s="1">
        <v>12</v>
      </c>
      <c r="T32" s="1" t="s">
        <v>74</v>
      </c>
      <c r="U32" s="1">
        <v>4</v>
      </c>
      <c r="V32" s="1" t="s">
        <v>21</v>
      </c>
    </row>
    <row r="33" spans="1:22" s="1" customFormat="1" x14ac:dyDescent="0.3">
      <c r="A33" s="1" t="s">
        <v>81</v>
      </c>
      <c r="B33" s="1" t="s">
        <v>85</v>
      </c>
      <c r="C33" s="1" t="s">
        <v>32</v>
      </c>
      <c r="D33" s="1" t="s">
        <v>22</v>
      </c>
      <c r="E33" s="1" t="s">
        <v>33</v>
      </c>
      <c r="F33" s="1" t="s">
        <v>67</v>
      </c>
      <c r="G33" s="16">
        <v>0</v>
      </c>
      <c r="H33" s="1">
        <v>65</v>
      </c>
      <c r="I33" s="1">
        <v>31.037036302019331</v>
      </c>
      <c r="J33" s="1">
        <f>2065/120</f>
        <v>17.208333333333332</v>
      </c>
      <c r="K33" s="1">
        <v>58.011790263180458</v>
      </c>
      <c r="L33" s="1">
        <v>143.80000000000001</v>
      </c>
      <c r="M33" s="1">
        <f t="shared" si="0"/>
        <v>0.14380000000000001</v>
      </c>
      <c r="N33" s="1">
        <f t="shared" si="1"/>
        <v>2.4745583333333334</v>
      </c>
      <c r="O33" s="1">
        <v>0.34</v>
      </c>
      <c r="P33" s="1">
        <v>3.51</v>
      </c>
      <c r="Q33" s="1">
        <v>8</v>
      </c>
      <c r="R33" s="1">
        <v>320</v>
      </c>
      <c r="S33" s="1">
        <v>12</v>
      </c>
      <c r="T33" s="1" t="s">
        <v>20</v>
      </c>
      <c r="U33" s="1">
        <v>4</v>
      </c>
      <c r="V33" s="1" t="s">
        <v>21</v>
      </c>
    </row>
    <row r="34" spans="1:22" s="1" customFormat="1" x14ac:dyDescent="0.3">
      <c r="A34" s="1" t="s">
        <v>81</v>
      </c>
      <c r="B34" s="1" t="s">
        <v>86</v>
      </c>
      <c r="C34" s="1" t="s">
        <v>32</v>
      </c>
      <c r="D34" s="1" t="s">
        <v>22</v>
      </c>
      <c r="E34" s="1" t="s">
        <v>33</v>
      </c>
      <c r="F34" s="1" t="s">
        <v>67</v>
      </c>
      <c r="G34" s="16">
        <v>0</v>
      </c>
      <c r="H34" s="1">
        <v>65</v>
      </c>
      <c r="I34" s="1">
        <v>19.073652609591868</v>
      </c>
      <c r="J34" s="1">
        <f>1257/120</f>
        <v>10.475</v>
      </c>
      <c r="K34" s="1">
        <v>95.220913278949013</v>
      </c>
      <c r="L34" s="1">
        <v>136.5</v>
      </c>
      <c r="M34" s="1">
        <f t="shared" si="0"/>
        <v>0.13650000000000001</v>
      </c>
      <c r="N34" s="1">
        <f t="shared" si="1"/>
        <v>1.4298375000000001</v>
      </c>
      <c r="O34" s="1">
        <v>0.38</v>
      </c>
      <c r="P34" s="1">
        <v>4.6399999999999997</v>
      </c>
      <c r="Q34" s="1">
        <v>10</v>
      </c>
      <c r="R34" s="1">
        <v>270</v>
      </c>
      <c r="S34" s="1">
        <v>13</v>
      </c>
      <c r="T34" s="1" t="s">
        <v>74</v>
      </c>
      <c r="U34" s="1">
        <v>4</v>
      </c>
      <c r="V34" s="1" t="s">
        <v>21</v>
      </c>
    </row>
    <row r="35" spans="1:22" s="1" customFormat="1" x14ac:dyDescent="0.3">
      <c r="A35" s="1" t="s">
        <v>87</v>
      </c>
      <c r="B35" s="1" t="s">
        <v>88</v>
      </c>
      <c r="C35" s="1" t="s">
        <v>32</v>
      </c>
      <c r="D35" s="1" t="s">
        <v>22</v>
      </c>
      <c r="E35" s="1" t="s">
        <v>33</v>
      </c>
      <c r="F35" s="1" t="s">
        <v>67</v>
      </c>
      <c r="G35" s="16">
        <v>0</v>
      </c>
      <c r="H35" s="1">
        <v>66</v>
      </c>
      <c r="I35" s="1">
        <v>18.429901645196782</v>
      </c>
      <c r="J35" s="1">
        <f>1417/120</f>
        <v>11.808333333333334</v>
      </c>
      <c r="K35" s="1">
        <v>84.388469329361442</v>
      </c>
      <c r="L35" s="1">
        <v>121.5</v>
      </c>
      <c r="M35" s="1">
        <f t="shared" si="0"/>
        <v>0.1215</v>
      </c>
      <c r="N35" s="1">
        <f t="shared" si="1"/>
        <v>1.4347125000000001</v>
      </c>
      <c r="O35" s="1">
        <v>0.39</v>
      </c>
      <c r="P35" s="1">
        <v>4.4400000000000004</v>
      </c>
      <c r="Q35" s="1">
        <v>0</v>
      </c>
      <c r="R35" s="1">
        <v>250</v>
      </c>
      <c r="S35" s="1">
        <v>13</v>
      </c>
      <c r="T35" s="1" t="s">
        <v>20</v>
      </c>
      <c r="U35" s="1">
        <v>4</v>
      </c>
      <c r="V35" s="1" t="s">
        <v>21</v>
      </c>
    </row>
    <row r="36" spans="1:22" s="1" customFormat="1" x14ac:dyDescent="0.3">
      <c r="A36" s="1" t="s">
        <v>89</v>
      </c>
      <c r="B36" s="1" t="s">
        <v>90</v>
      </c>
      <c r="C36" s="1" t="s">
        <v>32</v>
      </c>
      <c r="D36" s="1" t="s">
        <v>22</v>
      </c>
      <c r="E36" s="1" t="s">
        <v>33</v>
      </c>
      <c r="F36" s="1" t="s">
        <v>67</v>
      </c>
      <c r="G36" s="16">
        <v>0</v>
      </c>
      <c r="H36" s="1">
        <v>66</v>
      </c>
      <c r="I36" s="1">
        <v>15.38317111900211</v>
      </c>
      <c r="J36" s="1">
        <f>473/120</f>
        <v>3.9416666666666669</v>
      </c>
      <c r="K36" s="1">
        <v>250.44989267767446</v>
      </c>
      <c r="L36" s="1">
        <v>87.4</v>
      </c>
      <c r="M36" s="1">
        <f t="shared" si="0"/>
        <v>8.7400000000000005E-2</v>
      </c>
      <c r="N36" s="1">
        <f t="shared" si="1"/>
        <v>0.34450166666666671</v>
      </c>
      <c r="O36" s="1">
        <v>0.56999999999999995</v>
      </c>
      <c r="P36" s="1">
        <v>3</v>
      </c>
      <c r="Q36" s="1">
        <v>2</v>
      </c>
      <c r="R36" s="1">
        <v>320</v>
      </c>
      <c r="S36" s="1">
        <v>14</v>
      </c>
      <c r="T36" s="1" t="s">
        <v>74</v>
      </c>
      <c r="U36" s="1">
        <v>4</v>
      </c>
      <c r="V36" s="1" t="s">
        <v>21</v>
      </c>
    </row>
    <row r="37" spans="1:22" s="1" customFormat="1" x14ac:dyDescent="0.3">
      <c r="A37" s="1" t="s">
        <v>91</v>
      </c>
      <c r="B37" s="1" t="s">
        <v>92</v>
      </c>
      <c r="C37" s="1" t="s">
        <v>32</v>
      </c>
      <c r="D37" s="1" t="s">
        <v>22</v>
      </c>
      <c r="E37" s="1" t="s">
        <v>33</v>
      </c>
      <c r="F37" s="1" t="s">
        <v>73</v>
      </c>
      <c r="G37" s="16">
        <v>3</v>
      </c>
      <c r="H37" s="1">
        <v>68</v>
      </c>
      <c r="I37" s="1">
        <v>16.19404706631251</v>
      </c>
      <c r="J37" s="1">
        <f>4173/120</f>
        <v>34.774999999999999</v>
      </c>
      <c r="K37" s="1">
        <v>28.730702634545693</v>
      </c>
      <c r="L37" s="1">
        <v>80.400000000000006</v>
      </c>
      <c r="M37" s="1">
        <f t="shared" si="0"/>
        <v>8.0399999999999999E-2</v>
      </c>
      <c r="N37" s="1">
        <f t="shared" si="1"/>
        <v>2.7959099999999997</v>
      </c>
      <c r="O37" s="1">
        <v>0.38</v>
      </c>
      <c r="P37" s="1">
        <v>2.5299999999999998</v>
      </c>
      <c r="Q37" s="1">
        <v>0</v>
      </c>
      <c r="R37" s="1">
        <v>560</v>
      </c>
      <c r="S37" s="1">
        <v>10</v>
      </c>
      <c r="T37" s="1" t="s">
        <v>20</v>
      </c>
      <c r="U37" s="1">
        <v>4</v>
      </c>
      <c r="V37" s="1" t="s">
        <v>21</v>
      </c>
    </row>
    <row r="38" spans="1:22" s="1" customFormat="1" x14ac:dyDescent="0.3">
      <c r="A38" s="1" t="s">
        <v>91</v>
      </c>
      <c r="B38" s="1" t="s">
        <v>93</v>
      </c>
      <c r="C38" s="1" t="s">
        <v>32</v>
      </c>
      <c r="D38" s="1" t="s">
        <v>22</v>
      </c>
      <c r="E38" s="1" t="s">
        <v>33</v>
      </c>
      <c r="F38" s="1" t="s">
        <v>73</v>
      </c>
      <c r="G38" s="16">
        <v>3</v>
      </c>
      <c r="H38" s="1">
        <v>68</v>
      </c>
      <c r="I38" s="1">
        <v>16.331538696070105</v>
      </c>
      <c r="J38" s="1">
        <f>2410/120</f>
        <v>20.083333333333332</v>
      </c>
      <c r="K38" s="1">
        <v>49.611493528775938</v>
      </c>
      <c r="L38" s="1">
        <v>69.319999999999993</v>
      </c>
      <c r="M38" s="1">
        <f t="shared" si="0"/>
        <v>6.9319999999999993E-2</v>
      </c>
      <c r="N38" s="1">
        <f t="shared" si="1"/>
        <v>1.3921766666666664</v>
      </c>
      <c r="O38" s="1">
        <v>0.33</v>
      </c>
      <c r="P38" s="1">
        <v>3.5</v>
      </c>
      <c r="Q38" s="1">
        <v>4</v>
      </c>
      <c r="R38" s="1">
        <v>210</v>
      </c>
      <c r="S38" s="1">
        <v>14</v>
      </c>
      <c r="T38" s="1" t="s">
        <v>74</v>
      </c>
      <c r="U38" s="1">
        <v>4</v>
      </c>
      <c r="V38" s="1" t="s">
        <v>21</v>
      </c>
    </row>
    <row r="39" spans="1:22" s="1" customFormat="1" x14ac:dyDescent="0.3">
      <c r="A39" s="1" t="s">
        <v>91</v>
      </c>
      <c r="B39" s="1" t="s">
        <v>94</v>
      </c>
      <c r="C39" s="1" t="s">
        <v>32</v>
      </c>
      <c r="D39" s="1" t="s">
        <v>22</v>
      </c>
      <c r="E39" s="1" t="s">
        <v>33</v>
      </c>
      <c r="F39" s="1" t="s">
        <v>73</v>
      </c>
      <c r="G39" s="16">
        <v>3</v>
      </c>
      <c r="H39" s="1">
        <v>68</v>
      </c>
      <c r="I39" s="1">
        <v>24.740644756131537</v>
      </c>
      <c r="J39" s="1">
        <f>1186/120</f>
        <v>9.8833333333333329</v>
      </c>
      <c r="K39" s="1">
        <v>100.95232279766275</v>
      </c>
      <c r="L39" s="1">
        <v>208.5</v>
      </c>
      <c r="M39" s="1">
        <f t="shared" si="0"/>
        <v>0.20849999999999999</v>
      </c>
      <c r="N39" s="1">
        <f t="shared" si="1"/>
        <v>2.0606749999999998</v>
      </c>
      <c r="O39" s="1">
        <v>0.53</v>
      </c>
      <c r="P39" s="1">
        <v>6.08</v>
      </c>
      <c r="Q39" s="1">
        <v>6</v>
      </c>
      <c r="R39" s="1">
        <v>180</v>
      </c>
      <c r="S39" s="1">
        <v>15</v>
      </c>
      <c r="T39" s="1" t="s">
        <v>20</v>
      </c>
      <c r="U39" s="1">
        <v>4</v>
      </c>
      <c r="V39" s="1" t="s">
        <v>21</v>
      </c>
    </row>
    <row r="40" spans="1:22" s="1" customFormat="1" x14ac:dyDescent="0.3">
      <c r="A40" s="1" t="s">
        <v>91</v>
      </c>
      <c r="B40" s="1" t="s">
        <v>95</v>
      </c>
      <c r="C40" s="1" t="s">
        <v>32</v>
      </c>
      <c r="D40" s="1" t="s">
        <v>22</v>
      </c>
      <c r="E40" s="1" t="s">
        <v>33</v>
      </c>
      <c r="F40" s="1" t="s">
        <v>73</v>
      </c>
      <c r="G40" s="16">
        <v>3</v>
      </c>
      <c r="H40" s="1">
        <v>68</v>
      </c>
      <c r="I40" s="1">
        <v>14.577828063419146</v>
      </c>
      <c r="J40" s="1">
        <f>3006/120</f>
        <v>25.05</v>
      </c>
      <c r="K40" s="1">
        <v>39.812115451270529</v>
      </c>
      <c r="L40" s="1">
        <v>47.74</v>
      </c>
      <c r="M40" s="1">
        <f t="shared" si="0"/>
        <v>4.7740000000000005E-2</v>
      </c>
      <c r="N40" s="1">
        <f t="shared" si="1"/>
        <v>1.1958870000000001</v>
      </c>
      <c r="O40" s="1">
        <v>0.3</v>
      </c>
      <c r="P40" s="1">
        <v>2.2000000000000002</v>
      </c>
      <c r="Q40" s="1">
        <v>8</v>
      </c>
      <c r="R40" s="1">
        <v>255</v>
      </c>
      <c r="S40" s="1">
        <v>13</v>
      </c>
      <c r="T40" s="1" t="s">
        <v>74</v>
      </c>
      <c r="U40" s="1">
        <v>4</v>
      </c>
      <c r="V40" s="1" t="s">
        <v>21</v>
      </c>
    </row>
    <row r="41" spans="1:22" s="1" customFormat="1" x14ac:dyDescent="0.3">
      <c r="A41" s="1" t="s">
        <v>96</v>
      </c>
      <c r="B41" s="1" t="s">
        <v>97</v>
      </c>
      <c r="C41" s="1" t="s">
        <v>32</v>
      </c>
      <c r="D41" s="1" t="s">
        <v>22</v>
      </c>
      <c r="E41" s="1" t="s">
        <v>33</v>
      </c>
      <c r="F41" s="1" t="s">
        <v>98</v>
      </c>
      <c r="G41" s="16">
        <v>0</v>
      </c>
      <c r="H41" s="1">
        <v>81</v>
      </c>
      <c r="I41" s="1">
        <v>11.616647362520789</v>
      </c>
      <c r="J41" s="1">
        <f>1010/120</f>
        <v>8.4166666666666661</v>
      </c>
      <c r="K41" s="1">
        <v>117.41555701857877</v>
      </c>
      <c r="L41" s="1">
        <v>87.61</v>
      </c>
      <c r="M41" s="1">
        <f t="shared" si="0"/>
        <v>8.7609999999999993E-2</v>
      </c>
      <c r="N41" s="1">
        <f t="shared" si="1"/>
        <v>0.73738416666666651</v>
      </c>
      <c r="O41" s="1">
        <v>0.6</v>
      </c>
      <c r="P41" s="1">
        <v>3.88</v>
      </c>
      <c r="Q41" s="1">
        <v>4</v>
      </c>
      <c r="R41" s="1">
        <v>110</v>
      </c>
      <c r="S41" s="1">
        <v>14</v>
      </c>
      <c r="T41" s="1" t="s">
        <v>20</v>
      </c>
      <c r="U41" s="1">
        <v>4</v>
      </c>
      <c r="V41" s="1" t="s">
        <v>21</v>
      </c>
    </row>
    <row r="42" spans="1:22" s="12" customFormat="1" x14ac:dyDescent="0.3">
      <c r="A42" s="1" t="s">
        <v>99</v>
      </c>
      <c r="B42" s="12" t="s">
        <v>100</v>
      </c>
      <c r="C42" s="1" t="s">
        <v>32</v>
      </c>
      <c r="D42" s="1" t="s">
        <v>22</v>
      </c>
      <c r="E42" s="1" t="s">
        <v>33</v>
      </c>
      <c r="F42" s="1" t="s">
        <v>101</v>
      </c>
      <c r="G42" s="16">
        <v>3</v>
      </c>
      <c r="H42" s="1">
        <v>78</v>
      </c>
      <c r="I42" s="12">
        <v>15.603595924451923</v>
      </c>
      <c r="J42" s="12">
        <f>998/120</f>
        <v>8.3166666666666664</v>
      </c>
      <c r="K42" s="12">
        <v>119.02647550568</v>
      </c>
      <c r="L42" s="12">
        <v>112.2</v>
      </c>
      <c r="M42" s="1">
        <f t="shared" si="0"/>
        <v>0.11220000000000001</v>
      </c>
      <c r="N42" s="1">
        <f t="shared" si="1"/>
        <v>0.93313000000000001</v>
      </c>
      <c r="O42" s="1">
        <v>0.5</v>
      </c>
      <c r="P42" s="1">
        <v>4.33</v>
      </c>
      <c r="Q42" s="12">
        <v>0</v>
      </c>
      <c r="R42" s="1">
        <v>140</v>
      </c>
      <c r="S42" s="1">
        <v>15</v>
      </c>
      <c r="T42" s="1" t="s">
        <v>74</v>
      </c>
      <c r="U42" s="1">
        <v>4</v>
      </c>
      <c r="V42" s="1" t="s">
        <v>21</v>
      </c>
    </row>
    <row r="43" spans="1:22" s="12" customFormat="1" x14ac:dyDescent="0.3">
      <c r="A43" s="1" t="s">
        <v>99</v>
      </c>
      <c r="B43" s="12" t="s">
        <v>102</v>
      </c>
      <c r="C43" s="1" t="s">
        <v>32</v>
      </c>
      <c r="D43" s="1" t="s">
        <v>22</v>
      </c>
      <c r="E43" s="1" t="s">
        <v>33</v>
      </c>
      <c r="F43" s="1" t="s">
        <v>101</v>
      </c>
      <c r="G43" s="16">
        <v>3</v>
      </c>
      <c r="H43" s="1">
        <v>78</v>
      </c>
      <c r="I43" s="12">
        <v>23.80830206091418</v>
      </c>
      <c r="J43" s="12">
        <f>536/120</f>
        <v>4.4666666666666668</v>
      </c>
      <c r="K43" s="12">
        <v>221.74137621059919</v>
      </c>
      <c r="L43" s="12">
        <v>236.6</v>
      </c>
      <c r="M43" s="1">
        <f t="shared" si="0"/>
        <v>0.2366</v>
      </c>
      <c r="N43" s="1">
        <f t="shared" si="1"/>
        <v>1.0568133333333334</v>
      </c>
      <c r="O43" s="1">
        <v>1.1399999999999999</v>
      </c>
      <c r="P43" s="1">
        <v>6.94</v>
      </c>
      <c r="Q43" s="12">
        <v>2</v>
      </c>
      <c r="R43" s="12">
        <v>170</v>
      </c>
      <c r="S43" s="12">
        <v>15</v>
      </c>
      <c r="T43" s="1" t="s">
        <v>20</v>
      </c>
      <c r="U43" s="1">
        <v>4</v>
      </c>
      <c r="V43" s="1" t="s">
        <v>21</v>
      </c>
    </row>
    <row r="44" spans="1:22" s="12" customFormat="1" x14ac:dyDescent="0.3">
      <c r="A44" s="1" t="s">
        <v>99</v>
      </c>
      <c r="B44" s="12" t="s">
        <v>103</v>
      </c>
      <c r="C44" s="1" t="s">
        <v>32</v>
      </c>
      <c r="D44" s="1" t="s">
        <v>22</v>
      </c>
      <c r="E44" s="1" t="s">
        <v>33</v>
      </c>
      <c r="F44" s="1" t="s">
        <v>101</v>
      </c>
      <c r="G44" s="16">
        <v>3</v>
      </c>
      <c r="H44" s="1">
        <v>78</v>
      </c>
      <c r="I44" s="12">
        <v>21.418831620334576</v>
      </c>
      <c r="J44" s="12">
        <f>810/120</f>
        <v>6.75</v>
      </c>
      <c r="K44" s="12">
        <v>146.93185671664597</v>
      </c>
      <c r="L44" s="12">
        <v>162.19999999999999</v>
      </c>
      <c r="M44" s="1">
        <f t="shared" si="0"/>
        <v>0.16219999999999998</v>
      </c>
      <c r="N44" s="1">
        <f t="shared" si="1"/>
        <v>1.0948499999999999</v>
      </c>
      <c r="O44" s="1">
        <v>0.62</v>
      </c>
      <c r="P44" s="1">
        <v>4.25</v>
      </c>
      <c r="Q44" s="12">
        <v>6</v>
      </c>
      <c r="R44" s="12">
        <v>290</v>
      </c>
      <c r="S44" s="12">
        <v>13</v>
      </c>
      <c r="T44" s="1" t="s">
        <v>20</v>
      </c>
      <c r="U44" s="1">
        <v>4</v>
      </c>
      <c r="V44" s="1" t="s">
        <v>21</v>
      </c>
    </row>
    <row r="45" spans="1:22" s="12" customFormat="1" x14ac:dyDescent="0.3">
      <c r="A45" s="1" t="s">
        <v>99</v>
      </c>
      <c r="B45" s="12" t="s">
        <v>104</v>
      </c>
      <c r="C45" s="1" t="s">
        <v>32</v>
      </c>
      <c r="D45" s="1" t="s">
        <v>22</v>
      </c>
      <c r="E45" s="1" t="s">
        <v>33</v>
      </c>
      <c r="F45" s="1" t="s">
        <v>101</v>
      </c>
      <c r="G45" s="16">
        <v>3</v>
      </c>
      <c r="H45" s="1">
        <v>78</v>
      </c>
      <c r="I45" s="12">
        <v>17.167206593788446</v>
      </c>
      <c r="J45" s="12">
        <f>780/120</f>
        <v>6.5</v>
      </c>
      <c r="K45" s="12">
        <v>151.72873022253529</v>
      </c>
      <c r="L45" s="12">
        <v>135.5</v>
      </c>
      <c r="M45" s="1">
        <f t="shared" si="0"/>
        <v>0.13550000000000001</v>
      </c>
      <c r="N45" s="1">
        <f t="shared" si="1"/>
        <v>0.88075000000000003</v>
      </c>
      <c r="O45" s="1">
        <v>0.6</v>
      </c>
      <c r="P45" s="1">
        <v>4.53</v>
      </c>
      <c r="Q45" s="12">
        <v>9</v>
      </c>
      <c r="R45" s="12">
        <v>230</v>
      </c>
      <c r="S45" s="12">
        <v>15</v>
      </c>
      <c r="T45" s="1" t="s">
        <v>74</v>
      </c>
      <c r="U45" s="1">
        <v>4</v>
      </c>
      <c r="V45" s="1" t="s">
        <v>21</v>
      </c>
    </row>
    <row r="46" spans="1:22" s="12" customFormat="1" x14ac:dyDescent="0.3">
      <c r="A46" s="1" t="s">
        <v>99</v>
      </c>
      <c r="B46" s="12" t="s">
        <v>105</v>
      </c>
      <c r="C46" s="1" t="s">
        <v>32</v>
      </c>
      <c r="D46" s="1" t="s">
        <v>22</v>
      </c>
      <c r="E46" s="1" t="s">
        <v>33</v>
      </c>
      <c r="F46" s="1" t="s">
        <v>101</v>
      </c>
      <c r="G46" s="16">
        <v>3</v>
      </c>
      <c r="H46" s="1">
        <v>78</v>
      </c>
      <c r="I46" s="12">
        <v>16.28514722164746</v>
      </c>
      <c r="J46" s="12">
        <f>2516/120</f>
        <v>20.966666666666665</v>
      </c>
      <c r="K46" s="12">
        <v>47.550475444156604</v>
      </c>
      <c r="L46" s="12">
        <v>121.4</v>
      </c>
      <c r="M46" s="1">
        <f t="shared" si="0"/>
        <v>0.12140000000000001</v>
      </c>
      <c r="N46" s="1">
        <f t="shared" si="1"/>
        <v>2.5453533333333334</v>
      </c>
      <c r="O46" s="1">
        <v>0.52</v>
      </c>
      <c r="P46" s="1">
        <v>3.13</v>
      </c>
      <c r="Q46" s="12">
        <v>11</v>
      </c>
      <c r="R46" s="12">
        <v>370</v>
      </c>
      <c r="S46" s="12">
        <v>15</v>
      </c>
      <c r="T46" s="1" t="s">
        <v>20</v>
      </c>
      <c r="U46" s="1">
        <v>4</v>
      </c>
      <c r="V46" s="1" t="s">
        <v>21</v>
      </c>
    </row>
    <row r="47" spans="1:22" s="12" customFormat="1" x14ac:dyDescent="0.3">
      <c r="A47" s="1" t="s">
        <v>106</v>
      </c>
      <c r="B47" s="12" t="s">
        <v>107</v>
      </c>
      <c r="C47" s="1" t="s">
        <v>32</v>
      </c>
      <c r="D47" s="1" t="s">
        <v>22</v>
      </c>
      <c r="E47" s="1" t="s">
        <v>33</v>
      </c>
      <c r="F47" s="1" t="s">
        <v>101</v>
      </c>
      <c r="G47" s="16">
        <v>2</v>
      </c>
      <c r="H47" s="1">
        <v>79</v>
      </c>
      <c r="I47" s="12">
        <v>21.286090227848366</v>
      </c>
      <c r="J47" s="12">
        <f>943/120</f>
        <v>7.8583333333333334</v>
      </c>
      <c r="K47" s="12">
        <v>126.105739524117</v>
      </c>
      <c r="L47" s="12">
        <v>157.80000000000001</v>
      </c>
      <c r="M47" s="1">
        <f t="shared" si="0"/>
        <v>0.15780000000000002</v>
      </c>
      <c r="N47" s="1">
        <f t="shared" si="1"/>
        <v>1.2400450000000003</v>
      </c>
      <c r="O47" s="1">
        <v>0.5</v>
      </c>
      <c r="P47" s="1">
        <v>3.3</v>
      </c>
      <c r="Q47" s="12">
        <v>3</v>
      </c>
      <c r="R47" s="1">
        <v>165</v>
      </c>
      <c r="S47" s="1">
        <v>14</v>
      </c>
      <c r="T47" s="1" t="s">
        <v>20</v>
      </c>
      <c r="U47" s="1">
        <v>4</v>
      </c>
      <c r="V47" s="1" t="s">
        <v>21</v>
      </c>
    </row>
    <row r="48" spans="1:22" s="12" customFormat="1" x14ac:dyDescent="0.3">
      <c r="A48" s="1" t="s">
        <v>106</v>
      </c>
      <c r="B48" s="12" t="s">
        <v>108</v>
      </c>
      <c r="C48" s="1" t="s">
        <v>32</v>
      </c>
      <c r="D48" s="1" t="s">
        <v>22</v>
      </c>
      <c r="E48" s="1" t="s">
        <v>33</v>
      </c>
      <c r="F48" s="1" t="s">
        <v>101</v>
      </c>
      <c r="G48" s="16">
        <v>2</v>
      </c>
      <c r="H48" s="1">
        <v>79</v>
      </c>
      <c r="I48" s="12">
        <v>23.148708772374288</v>
      </c>
      <c r="J48" s="12">
        <f>2672/120</f>
        <v>22.266666666666666</v>
      </c>
      <c r="K48" s="12">
        <v>44.72222963765703</v>
      </c>
      <c r="L48" s="12">
        <v>125.9</v>
      </c>
      <c r="M48" s="1">
        <f t="shared" si="0"/>
        <v>0.12590000000000001</v>
      </c>
      <c r="N48" s="1">
        <f t="shared" si="1"/>
        <v>2.8033733333333335</v>
      </c>
      <c r="O48" s="1">
        <v>0.45</v>
      </c>
      <c r="P48" s="1">
        <v>2.84</v>
      </c>
      <c r="Q48" s="12">
        <v>5</v>
      </c>
      <c r="R48" s="1">
        <v>275</v>
      </c>
      <c r="S48" s="1">
        <v>14</v>
      </c>
      <c r="T48" s="1" t="s">
        <v>74</v>
      </c>
      <c r="U48" s="1">
        <v>4</v>
      </c>
      <c r="V48" s="1" t="s">
        <v>21</v>
      </c>
    </row>
    <row r="49" spans="1:22" s="12" customFormat="1" x14ac:dyDescent="0.3">
      <c r="A49" s="1" t="s">
        <v>106</v>
      </c>
      <c r="B49" s="12" t="s">
        <v>109</v>
      </c>
      <c r="C49" s="1" t="s">
        <v>32</v>
      </c>
      <c r="D49" s="1" t="s">
        <v>22</v>
      </c>
      <c r="E49" s="1" t="s">
        <v>33</v>
      </c>
      <c r="F49" s="1" t="s">
        <v>101</v>
      </c>
      <c r="G49" s="16">
        <v>2</v>
      </c>
      <c r="H49" s="1">
        <v>79</v>
      </c>
      <c r="I49" s="12">
        <v>15.573847871156124</v>
      </c>
      <c r="J49" s="12">
        <f>474/120</f>
        <v>3.95</v>
      </c>
      <c r="K49" s="12">
        <v>249.06970207045552</v>
      </c>
      <c r="L49" s="12">
        <v>132.69999999999999</v>
      </c>
      <c r="M49" s="1">
        <f t="shared" si="0"/>
        <v>0.13269999999999998</v>
      </c>
      <c r="N49" s="1">
        <f t="shared" si="1"/>
        <v>0.52416499999999999</v>
      </c>
      <c r="O49" s="1">
        <v>0.8</v>
      </c>
      <c r="P49" s="1">
        <v>6.76</v>
      </c>
      <c r="Q49" s="12">
        <v>9</v>
      </c>
      <c r="R49" s="1">
        <v>145</v>
      </c>
      <c r="S49" s="1">
        <v>13</v>
      </c>
      <c r="T49" s="1" t="s">
        <v>74</v>
      </c>
      <c r="U49" s="1">
        <v>4</v>
      </c>
      <c r="V49" s="1" t="s">
        <v>21</v>
      </c>
    </row>
    <row r="50" spans="1:22" s="12" customFormat="1" x14ac:dyDescent="0.3">
      <c r="A50" s="1" t="s">
        <v>106</v>
      </c>
      <c r="B50" s="12" t="s">
        <v>110</v>
      </c>
      <c r="C50" s="1" t="s">
        <v>32</v>
      </c>
      <c r="D50" s="1" t="s">
        <v>22</v>
      </c>
      <c r="E50" s="1" t="s">
        <v>33</v>
      </c>
      <c r="F50" s="1" t="s">
        <v>101</v>
      </c>
      <c r="G50" s="16">
        <v>2</v>
      </c>
      <c r="H50" s="1">
        <v>79</v>
      </c>
      <c r="I50" s="12">
        <v>18.349773669327526</v>
      </c>
      <c r="J50" s="12">
        <f>1603/120</f>
        <v>13.358333333333333</v>
      </c>
      <c r="K50" s="12">
        <v>74.684319123676431</v>
      </c>
      <c r="L50" s="12">
        <v>81.8</v>
      </c>
      <c r="M50" s="1">
        <f t="shared" si="0"/>
        <v>8.1799999999999998E-2</v>
      </c>
      <c r="N50" s="1">
        <f t="shared" si="1"/>
        <v>1.0927116666666665</v>
      </c>
      <c r="O50" s="1">
        <v>0.52</v>
      </c>
      <c r="P50" s="1">
        <v>3.36</v>
      </c>
      <c r="Q50" s="12">
        <v>11</v>
      </c>
      <c r="R50" s="1">
        <v>270</v>
      </c>
      <c r="S50" s="1">
        <v>13</v>
      </c>
      <c r="T50" s="1" t="s">
        <v>20</v>
      </c>
      <c r="U50" s="1">
        <v>4</v>
      </c>
      <c r="V50" s="1" t="s">
        <v>21</v>
      </c>
    </row>
    <row r="51" spans="1:22" s="4" customFormat="1" x14ac:dyDescent="0.3">
      <c r="G51" s="17"/>
    </row>
    <row r="52" spans="1:22" s="4" customFormat="1" x14ac:dyDescent="0.3">
      <c r="G52" s="17"/>
    </row>
    <row r="53" spans="1:22" x14ac:dyDescent="0.3">
      <c r="G53" s="15" t="s">
        <v>28</v>
      </c>
      <c r="H53" t="s">
        <v>25</v>
      </c>
      <c r="I53" s="5">
        <f t="shared" ref="I53:P53" si="2">AVERAGE(I2:I12,I13:I26)</f>
        <v>25.145977537558174</v>
      </c>
      <c r="J53" s="5">
        <f t="shared" si="2"/>
        <v>10.161333333333335</v>
      </c>
      <c r="K53" s="5">
        <f t="shared" si="2"/>
        <v>140.33805204399823</v>
      </c>
      <c r="L53" s="5">
        <f t="shared" si="2"/>
        <v>136.82679999999999</v>
      </c>
      <c r="M53" s="5">
        <f t="shared" si="2"/>
        <v>0.1368268</v>
      </c>
      <c r="N53" s="5">
        <f t="shared" si="2"/>
        <v>1.3141528599999999</v>
      </c>
      <c r="O53" s="5">
        <f t="shared" si="2"/>
        <v>0.38640000000000002</v>
      </c>
      <c r="P53" s="5">
        <f t="shared" si="2"/>
        <v>4.3051999999999992</v>
      </c>
    </row>
    <row r="54" spans="1:22" x14ac:dyDescent="0.3">
      <c r="H54" t="s">
        <v>23</v>
      </c>
      <c r="I54" s="5">
        <f t="shared" ref="I54:P54" si="3">STDEV(I2:I12,I13:I26)</f>
        <v>6.9483555899810741</v>
      </c>
      <c r="J54" s="5">
        <f t="shared" si="3"/>
        <v>6.7701341006468061</v>
      </c>
      <c r="K54" s="5">
        <f t="shared" si="3"/>
        <v>99.101679430251409</v>
      </c>
      <c r="L54" s="5">
        <f t="shared" si="3"/>
        <v>48.557907416472005</v>
      </c>
      <c r="M54" s="5">
        <f t="shared" si="3"/>
        <v>4.8557907416472069E-2</v>
      </c>
      <c r="N54" s="5">
        <f t="shared" si="3"/>
        <v>0.86913174017774819</v>
      </c>
      <c r="O54" s="5">
        <f t="shared" si="3"/>
        <v>0.10078359654890953</v>
      </c>
      <c r="P54" s="5">
        <f t="shared" si="3"/>
        <v>1.9321795120191805</v>
      </c>
    </row>
    <row r="55" spans="1:22" s="4" customFormat="1" x14ac:dyDescent="0.3">
      <c r="A55"/>
      <c r="G55" s="17"/>
      <c r="H55" s="4" t="s">
        <v>24</v>
      </c>
      <c r="I55" s="6">
        <f>I54/SQRT(25)</f>
        <v>1.3896711179962149</v>
      </c>
      <c r="J55" s="6">
        <f t="shared" ref="J55:P55" si="4">J54/SQRT(25)</f>
        <v>1.3540268201293613</v>
      </c>
      <c r="K55" s="6">
        <f t="shared" si="4"/>
        <v>19.82033588605028</v>
      </c>
      <c r="L55" s="6">
        <f t="shared" si="4"/>
        <v>9.7115814832944007</v>
      </c>
      <c r="M55" s="6">
        <f t="shared" si="4"/>
        <v>9.7115814832944135E-3</v>
      </c>
      <c r="N55" s="6">
        <f t="shared" si="4"/>
        <v>0.17382634803554964</v>
      </c>
      <c r="O55" s="6">
        <f t="shared" si="4"/>
        <v>2.0156719309781905E-2</v>
      </c>
      <c r="P55" s="6">
        <f t="shared" si="4"/>
        <v>0.38643590240383607</v>
      </c>
    </row>
    <row r="56" spans="1:22" s="4" customFormat="1" x14ac:dyDescent="0.3">
      <c r="G56" s="17"/>
      <c r="I56" s="6"/>
      <c r="J56" s="6"/>
      <c r="K56" s="6"/>
      <c r="L56" s="6"/>
      <c r="M56" s="6"/>
      <c r="N56" s="6"/>
      <c r="O56" s="6"/>
      <c r="P56" s="6"/>
    </row>
    <row r="57" spans="1:22" x14ac:dyDescent="0.3">
      <c r="G57" s="15" t="s">
        <v>22</v>
      </c>
      <c r="H57" t="s">
        <v>25</v>
      </c>
      <c r="I57" s="5">
        <f>AVERAGE(I27:I29,I30:I50)</f>
        <v>19.587360703676609</v>
      </c>
      <c r="J57" s="5">
        <f t="shared" ref="J57:P57" si="5">AVERAGE(J27:J29,J30:J50)</f>
        <v>14.293402777777777</v>
      </c>
      <c r="K57" s="5">
        <f t="shared" si="5"/>
        <v>101.60568372530805</v>
      </c>
      <c r="L57" s="5">
        <f>AVERAGE(L27:L29,L30:L50)</f>
        <v>120.42291666666667</v>
      </c>
      <c r="M57" s="5">
        <f t="shared" si="5"/>
        <v>0.12042291666666664</v>
      </c>
      <c r="N57" s="5">
        <f t="shared" si="5"/>
        <v>1.5267446145833334</v>
      </c>
      <c r="O57" s="5">
        <f t="shared" si="5"/>
        <v>0.4845833333333332</v>
      </c>
      <c r="P57" s="5">
        <f t="shared" si="5"/>
        <v>4.0725000000000007</v>
      </c>
    </row>
    <row r="58" spans="1:22" x14ac:dyDescent="0.3">
      <c r="H58" t="s">
        <v>23</v>
      </c>
      <c r="I58" s="5">
        <f t="shared" ref="I58:P58" si="6">STDEV(I27:I29,I29:I50)</f>
        <v>5.226187486152968</v>
      </c>
      <c r="J58" s="5">
        <f t="shared" si="6"/>
        <v>8.9297465462144867</v>
      </c>
      <c r="K58" s="5">
        <f t="shared" si="6"/>
        <v>63.722409285881355</v>
      </c>
      <c r="L58" s="5">
        <f t="shared" si="6"/>
        <v>42.835769612945349</v>
      </c>
      <c r="M58" s="5">
        <f t="shared" si="6"/>
        <v>4.2835769612945419E-2</v>
      </c>
      <c r="N58" s="5">
        <f t="shared" si="6"/>
        <v>0.75875689118524625</v>
      </c>
      <c r="O58" s="5">
        <f t="shared" si="6"/>
        <v>0.18368179006096405</v>
      </c>
      <c r="P58" s="5">
        <f t="shared" si="6"/>
        <v>1.2738851334925496</v>
      </c>
    </row>
    <row r="59" spans="1:22" x14ac:dyDescent="0.3">
      <c r="H59" t="s">
        <v>24</v>
      </c>
      <c r="I59" s="5">
        <f>I58/SQRT(24)</f>
        <v>1.0667910534327916</v>
      </c>
      <c r="J59" s="5">
        <f t="shared" ref="J59:P59" si="7">J58/SQRT(24)</f>
        <v>1.8227768808838247</v>
      </c>
      <c r="K59" s="5">
        <f t="shared" si="7"/>
        <v>13.007282327599828</v>
      </c>
      <c r="L59" s="5">
        <f t="shared" si="7"/>
        <v>8.7438148575944155</v>
      </c>
      <c r="M59" s="5">
        <f t="shared" si="7"/>
        <v>8.7438148575944303E-3</v>
      </c>
      <c r="N59" s="5">
        <f t="shared" si="7"/>
        <v>0.15488060185202607</v>
      </c>
      <c r="O59" s="5">
        <f t="shared" si="7"/>
        <v>3.7493888390865385E-2</v>
      </c>
      <c r="P59" s="5">
        <f t="shared" si="7"/>
        <v>0.26003071399783168</v>
      </c>
    </row>
    <row r="61" spans="1:22" x14ac:dyDescent="0.3">
      <c r="G61" s="15" t="s">
        <v>111</v>
      </c>
      <c r="Q61" s="7"/>
    </row>
    <row r="62" spans="1:22" x14ac:dyDescent="0.3">
      <c r="G62" s="15" t="s">
        <v>26</v>
      </c>
      <c r="I62" s="2">
        <v>5.2290000000000001</v>
      </c>
      <c r="J62" s="2">
        <v>1.4019999999999999</v>
      </c>
      <c r="K62">
        <v>1.994</v>
      </c>
      <c r="L62" s="2">
        <v>0.97599999999999998</v>
      </c>
      <c r="N62" s="2">
        <v>0.53800000000000003</v>
      </c>
      <c r="O62" s="2">
        <v>1.45</v>
      </c>
      <c r="P62" s="8">
        <v>0.188</v>
      </c>
    </row>
    <row r="63" spans="1:22" x14ac:dyDescent="0.3">
      <c r="C63" s="9"/>
      <c r="G63" s="15" t="s">
        <v>27</v>
      </c>
      <c r="I63" s="1" t="s">
        <v>112</v>
      </c>
      <c r="J63">
        <v>0.27600000000000002</v>
      </c>
      <c r="K63">
        <v>0.185</v>
      </c>
      <c r="L63">
        <v>0.38500000000000001</v>
      </c>
      <c r="N63">
        <v>0.58699999999999997</v>
      </c>
      <c r="O63">
        <v>0.26200000000000001</v>
      </c>
      <c r="P63">
        <v>0.83099999999999996</v>
      </c>
    </row>
    <row r="64" spans="1:22" x14ac:dyDescent="0.3">
      <c r="C64" s="9"/>
    </row>
    <row r="66" spans="3:17" x14ac:dyDescent="0.3">
      <c r="C66" s="9"/>
    </row>
    <row r="74" spans="3:17" x14ac:dyDescent="0.3">
      <c r="C74" s="9"/>
    </row>
    <row r="75" spans="3:17" x14ac:dyDescent="0.3">
      <c r="C75" s="9"/>
    </row>
    <row r="76" spans="3:17" x14ac:dyDescent="0.3">
      <c r="F76" s="9"/>
      <c r="G76" s="18"/>
      <c r="H76" s="9"/>
      <c r="I76" s="9"/>
      <c r="J76" s="9"/>
      <c r="K76" s="9"/>
      <c r="L76" s="9"/>
      <c r="M76" s="9"/>
    </row>
    <row r="78" spans="3:17" x14ac:dyDescent="0.3">
      <c r="C78" s="9"/>
      <c r="Q78" s="9"/>
    </row>
    <row r="80" spans="3:17" x14ac:dyDescent="0.3">
      <c r="Q80" s="9"/>
    </row>
    <row r="81" spans="3:17" x14ac:dyDescent="0.3">
      <c r="C81" s="9"/>
    </row>
    <row r="84" spans="3:17" x14ac:dyDescent="0.3">
      <c r="F84" s="4"/>
      <c r="G84" s="17"/>
      <c r="H84" s="4"/>
      <c r="I84" s="4"/>
    </row>
    <row r="85" spans="3:17" x14ac:dyDescent="0.3">
      <c r="F85" s="4"/>
      <c r="G85" s="17"/>
      <c r="H85" s="4"/>
      <c r="I85" s="4"/>
    </row>
    <row r="86" spans="3:17" x14ac:dyDescent="0.3">
      <c r="F86" s="4"/>
      <c r="G86" s="17"/>
      <c r="H86" s="4"/>
      <c r="I86" s="4"/>
    </row>
    <row r="87" spans="3:17" x14ac:dyDescent="0.3">
      <c r="F87" s="4"/>
      <c r="G87" s="17"/>
      <c r="H87" s="4"/>
      <c r="I87" s="4"/>
    </row>
    <row r="88" spans="3:17" x14ac:dyDescent="0.3">
      <c r="F88" s="4"/>
      <c r="G88" s="17"/>
      <c r="H88" s="4"/>
      <c r="I88" s="4"/>
      <c r="Q88" s="9"/>
    </row>
    <row r="89" spans="3:17" x14ac:dyDescent="0.3">
      <c r="F89" s="4"/>
      <c r="G89" s="17"/>
      <c r="H89" s="4"/>
      <c r="I89" s="4"/>
      <c r="Q89" s="9"/>
    </row>
    <row r="90" spans="3:17" x14ac:dyDescent="0.3">
      <c r="F90" s="4"/>
      <c r="G90" s="17"/>
      <c r="H90" s="4"/>
      <c r="I90" s="4"/>
    </row>
    <row r="91" spans="3:17" x14ac:dyDescent="0.3">
      <c r="F91" s="4"/>
      <c r="G91" s="17"/>
      <c r="H91" s="4"/>
      <c r="I91" s="4"/>
    </row>
    <row r="92" spans="3:17" x14ac:dyDescent="0.3">
      <c r="F92" s="4"/>
      <c r="G92" s="17"/>
      <c r="H92" s="4"/>
      <c r="I92" s="4"/>
      <c r="Q92" s="9"/>
    </row>
    <row r="95" spans="3:17" x14ac:dyDescent="0.3">
      <c r="Q95" s="9"/>
    </row>
    <row r="109" spans="3:3" x14ac:dyDescent="0.3">
      <c r="C109" s="9"/>
    </row>
    <row r="111" spans="3:3" x14ac:dyDescent="0.3">
      <c r="C111" s="9"/>
    </row>
    <row r="119" spans="3:3" x14ac:dyDescent="0.3">
      <c r="C119" s="9"/>
    </row>
    <row r="120" spans="3:3" x14ac:dyDescent="0.3">
      <c r="C120" s="9"/>
    </row>
    <row r="123" spans="3:3" x14ac:dyDescent="0.3">
      <c r="C123" s="9"/>
    </row>
    <row r="126" spans="3:3" x14ac:dyDescent="0.3">
      <c r="C126" s="9"/>
    </row>
    <row r="136" spans="2:3" x14ac:dyDescent="0.3">
      <c r="B136" s="9"/>
      <c r="C136" s="9"/>
    </row>
    <row r="161" spans="1:21" s="10" customFormat="1" x14ac:dyDescent="0.3">
      <c r="A161" s="9"/>
      <c r="C161" s="11"/>
      <c r="D161" s="9"/>
      <c r="E161" s="9"/>
      <c r="F161" s="9"/>
      <c r="G161" s="18"/>
      <c r="H161" s="9"/>
      <c r="M161" s="9"/>
      <c r="N161" s="9"/>
      <c r="O161" s="9"/>
      <c r="P161" s="9"/>
      <c r="T161" s="9"/>
      <c r="U161" s="9"/>
    </row>
    <row r="162" spans="1:21" s="10" customFormat="1" x14ac:dyDescent="0.3">
      <c r="A162" s="9"/>
      <c r="C162" s="11"/>
      <c r="D162" s="9"/>
      <c r="E162" s="9"/>
      <c r="F162" s="9"/>
      <c r="G162" s="18"/>
      <c r="H162" s="9"/>
      <c r="M162" s="9"/>
      <c r="N162" s="9"/>
      <c r="O162" s="9"/>
      <c r="P162" s="9"/>
      <c r="R162" s="9"/>
      <c r="S162" s="9"/>
      <c r="T162" s="9"/>
      <c r="U162" s="9"/>
    </row>
    <row r="163" spans="1:21" s="10" customFormat="1" x14ac:dyDescent="0.3">
      <c r="A163" s="9"/>
      <c r="C163" s="11"/>
      <c r="D163" s="9"/>
      <c r="E163" s="9"/>
      <c r="F163" s="9"/>
      <c r="G163" s="18"/>
      <c r="H163" s="9"/>
      <c r="M163" s="9"/>
      <c r="N163" s="9"/>
      <c r="O163" s="9"/>
      <c r="P163" s="9"/>
      <c r="R163" s="9"/>
      <c r="S163" s="9"/>
      <c r="T163" s="9"/>
      <c r="U163" s="9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BDE03-499C-4C97-9728-3F46D31339B1}">
  <dimension ref="A1:V202"/>
  <sheetViews>
    <sheetView tabSelected="1" topLeftCell="C46" workbookViewId="0">
      <selection activeCell="C61" sqref="A61:XFD62"/>
    </sheetView>
  </sheetViews>
  <sheetFormatPr defaultColWidth="8.77734375" defaultRowHeight="14.4" x14ac:dyDescent="0.3"/>
  <cols>
    <col min="2" max="2" width="11.6640625" customWidth="1"/>
    <col min="3" max="3" width="24.5546875" bestFit="1" customWidth="1"/>
    <col min="4" max="4" width="11.6640625" customWidth="1"/>
    <col min="5" max="5" width="5.21875" customWidth="1"/>
    <col min="6" max="6" width="11.109375" customWidth="1"/>
    <col min="7" max="7" width="8.44140625" style="15" customWidth="1"/>
    <col min="8" max="8" width="6.88671875" customWidth="1"/>
    <col min="9" max="9" width="9.44140625" customWidth="1"/>
    <col min="10" max="10" width="10.109375" customWidth="1"/>
    <col min="13" max="13" width="10" customWidth="1"/>
    <col min="14" max="14" width="9.88671875" bestFit="1" customWidth="1"/>
    <col min="15" max="15" width="7.77734375" customWidth="1"/>
    <col min="17" max="17" width="7.5546875" customWidth="1"/>
    <col min="19" max="19" width="10.109375" customWidth="1"/>
    <col min="248" max="248" width="11.44140625" customWidth="1"/>
    <col min="249" max="249" width="11.6640625" customWidth="1"/>
    <col min="250" max="250" width="24.5546875" bestFit="1" customWidth="1"/>
    <col min="251" max="251" width="28.33203125" customWidth="1"/>
    <col min="252" max="255" width="11.109375" customWidth="1"/>
    <col min="256" max="256" width="9.44140625" customWidth="1"/>
    <col min="257" max="257" width="10.109375" customWidth="1"/>
    <col min="261" max="261" width="9.88671875" bestFit="1" customWidth="1"/>
    <col min="262" max="262" width="7.77734375" customWidth="1"/>
    <col min="264" max="265" width="13.5546875" customWidth="1"/>
    <col min="266" max="266" width="7.5546875" customWidth="1"/>
    <col min="267" max="267" width="8.44140625" customWidth="1"/>
    <col min="269" max="269" width="10.109375" customWidth="1"/>
    <col min="504" max="504" width="11.44140625" customWidth="1"/>
    <col min="505" max="505" width="11.6640625" customWidth="1"/>
    <col min="506" max="506" width="24.5546875" bestFit="1" customWidth="1"/>
    <col min="507" max="507" width="28.33203125" customWidth="1"/>
    <col min="508" max="511" width="11.109375" customWidth="1"/>
    <col min="512" max="512" width="9.44140625" customWidth="1"/>
    <col min="513" max="513" width="10.109375" customWidth="1"/>
    <col min="517" max="517" width="9.88671875" bestFit="1" customWidth="1"/>
    <col min="518" max="518" width="7.77734375" customWidth="1"/>
    <col min="520" max="521" width="13.5546875" customWidth="1"/>
    <col min="522" max="522" width="7.5546875" customWidth="1"/>
    <col min="523" max="523" width="8.44140625" customWidth="1"/>
    <col min="525" max="525" width="10.109375" customWidth="1"/>
    <col min="760" max="760" width="11.44140625" customWidth="1"/>
    <col min="761" max="761" width="11.6640625" customWidth="1"/>
    <col min="762" max="762" width="24.5546875" bestFit="1" customWidth="1"/>
    <col min="763" max="763" width="28.33203125" customWidth="1"/>
    <col min="764" max="767" width="11.109375" customWidth="1"/>
    <col min="768" max="768" width="9.44140625" customWidth="1"/>
    <col min="769" max="769" width="10.109375" customWidth="1"/>
    <col min="773" max="773" width="9.88671875" bestFit="1" customWidth="1"/>
    <col min="774" max="774" width="7.77734375" customWidth="1"/>
    <col min="776" max="777" width="13.5546875" customWidth="1"/>
    <col min="778" max="778" width="7.5546875" customWidth="1"/>
    <col min="779" max="779" width="8.44140625" customWidth="1"/>
    <col min="781" max="781" width="10.109375" customWidth="1"/>
    <col min="1016" max="1016" width="11.44140625" customWidth="1"/>
    <col min="1017" max="1017" width="11.6640625" customWidth="1"/>
    <col min="1018" max="1018" width="24.5546875" bestFit="1" customWidth="1"/>
    <col min="1019" max="1019" width="28.33203125" customWidth="1"/>
    <col min="1020" max="1023" width="11.109375" customWidth="1"/>
    <col min="1024" max="1024" width="9.44140625" customWidth="1"/>
    <col min="1025" max="1025" width="10.109375" customWidth="1"/>
    <col min="1029" max="1029" width="9.88671875" bestFit="1" customWidth="1"/>
    <col min="1030" max="1030" width="7.77734375" customWidth="1"/>
    <col min="1032" max="1033" width="13.5546875" customWidth="1"/>
    <col min="1034" max="1034" width="7.5546875" customWidth="1"/>
    <col min="1035" max="1035" width="8.44140625" customWidth="1"/>
    <col min="1037" max="1037" width="10.109375" customWidth="1"/>
    <col min="1272" max="1272" width="11.44140625" customWidth="1"/>
    <col min="1273" max="1273" width="11.6640625" customWidth="1"/>
    <col min="1274" max="1274" width="24.5546875" bestFit="1" customWidth="1"/>
    <col min="1275" max="1275" width="28.33203125" customWidth="1"/>
    <col min="1276" max="1279" width="11.109375" customWidth="1"/>
    <col min="1280" max="1280" width="9.44140625" customWidth="1"/>
    <col min="1281" max="1281" width="10.109375" customWidth="1"/>
    <col min="1285" max="1285" width="9.88671875" bestFit="1" customWidth="1"/>
    <col min="1286" max="1286" width="7.77734375" customWidth="1"/>
    <col min="1288" max="1289" width="13.5546875" customWidth="1"/>
    <col min="1290" max="1290" width="7.5546875" customWidth="1"/>
    <col min="1291" max="1291" width="8.44140625" customWidth="1"/>
    <col min="1293" max="1293" width="10.109375" customWidth="1"/>
    <col min="1528" max="1528" width="11.44140625" customWidth="1"/>
    <col min="1529" max="1529" width="11.6640625" customWidth="1"/>
    <col min="1530" max="1530" width="24.5546875" bestFit="1" customWidth="1"/>
    <col min="1531" max="1531" width="28.33203125" customWidth="1"/>
    <col min="1532" max="1535" width="11.109375" customWidth="1"/>
    <col min="1536" max="1536" width="9.44140625" customWidth="1"/>
    <col min="1537" max="1537" width="10.109375" customWidth="1"/>
    <col min="1541" max="1541" width="9.88671875" bestFit="1" customWidth="1"/>
    <col min="1542" max="1542" width="7.77734375" customWidth="1"/>
    <col min="1544" max="1545" width="13.5546875" customWidth="1"/>
    <col min="1546" max="1546" width="7.5546875" customWidth="1"/>
    <col min="1547" max="1547" width="8.44140625" customWidth="1"/>
    <col min="1549" max="1549" width="10.109375" customWidth="1"/>
    <col min="1784" max="1784" width="11.44140625" customWidth="1"/>
    <col min="1785" max="1785" width="11.6640625" customWidth="1"/>
    <col min="1786" max="1786" width="24.5546875" bestFit="1" customWidth="1"/>
    <col min="1787" max="1787" width="28.33203125" customWidth="1"/>
    <col min="1788" max="1791" width="11.109375" customWidth="1"/>
    <col min="1792" max="1792" width="9.44140625" customWidth="1"/>
    <col min="1793" max="1793" width="10.109375" customWidth="1"/>
    <col min="1797" max="1797" width="9.88671875" bestFit="1" customWidth="1"/>
    <col min="1798" max="1798" width="7.77734375" customWidth="1"/>
    <col min="1800" max="1801" width="13.5546875" customWidth="1"/>
    <col min="1802" max="1802" width="7.5546875" customWidth="1"/>
    <col min="1803" max="1803" width="8.44140625" customWidth="1"/>
    <col min="1805" max="1805" width="10.109375" customWidth="1"/>
    <col min="2040" max="2040" width="11.44140625" customWidth="1"/>
    <col min="2041" max="2041" width="11.6640625" customWidth="1"/>
    <col min="2042" max="2042" width="24.5546875" bestFit="1" customWidth="1"/>
    <col min="2043" max="2043" width="28.33203125" customWidth="1"/>
    <col min="2044" max="2047" width="11.109375" customWidth="1"/>
    <col min="2048" max="2048" width="9.44140625" customWidth="1"/>
    <col min="2049" max="2049" width="10.109375" customWidth="1"/>
    <col min="2053" max="2053" width="9.88671875" bestFit="1" customWidth="1"/>
    <col min="2054" max="2054" width="7.77734375" customWidth="1"/>
    <col min="2056" max="2057" width="13.5546875" customWidth="1"/>
    <col min="2058" max="2058" width="7.5546875" customWidth="1"/>
    <col min="2059" max="2059" width="8.44140625" customWidth="1"/>
    <col min="2061" max="2061" width="10.109375" customWidth="1"/>
    <col min="2296" max="2296" width="11.44140625" customWidth="1"/>
    <col min="2297" max="2297" width="11.6640625" customWidth="1"/>
    <col min="2298" max="2298" width="24.5546875" bestFit="1" customWidth="1"/>
    <col min="2299" max="2299" width="28.33203125" customWidth="1"/>
    <col min="2300" max="2303" width="11.109375" customWidth="1"/>
    <col min="2304" max="2304" width="9.44140625" customWidth="1"/>
    <col min="2305" max="2305" width="10.109375" customWidth="1"/>
    <col min="2309" max="2309" width="9.88671875" bestFit="1" customWidth="1"/>
    <col min="2310" max="2310" width="7.77734375" customWidth="1"/>
    <col min="2312" max="2313" width="13.5546875" customWidth="1"/>
    <col min="2314" max="2314" width="7.5546875" customWidth="1"/>
    <col min="2315" max="2315" width="8.44140625" customWidth="1"/>
    <col min="2317" max="2317" width="10.109375" customWidth="1"/>
    <col min="2552" max="2552" width="11.44140625" customWidth="1"/>
    <col min="2553" max="2553" width="11.6640625" customWidth="1"/>
    <col min="2554" max="2554" width="24.5546875" bestFit="1" customWidth="1"/>
    <col min="2555" max="2555" width="28.33203125" customWidth="1"/>
    <col min="2556" max="2559" width="11.109375" customWidth="1"/>
    <col min="2560" max="2560" width="9.44140625" customWidth="1"/>
    <col min="2561" max="2561" width="10.109375" customWidth="1"/>
    <col min="2565" max="2565" width="9.88671875" bestFit="1" customWidth="1"/>
    <col min="2566" max="2566" width="7.77734375" customWidth="1"/>
    <col min="2568" max="2569" width="13.5546875" customWidth="1"/>
    <col min="2570" max="2570" width="7.5546875" customWidth="1"/>
    <col min="2571" max="2571" width="8.44140625" customWidth="1"/>
    <col min="2573" max="2573" width="10.109375" customWidth="1"/>
    <col min="2808" max="2808" width="11.44140625" customWidth="1"/>
    <col min="2809" max="2809" width="11.6640625" customWidth="1"/>
    <col min="2810" max="2810" width="24.5546875" bestFit="1" customWidth="1"/>
    <col min="2811" max="2811" width="28.33203125" customWidth="1"/>
    <col min="2812" max="2815" width="11.109375" customWidth="1"/>
    <col min="2816" max="2816" width="9.44140625" customWidth="1"/>
    <col min="2817" max="2817" width="10.109375" customWidth="1"/>
    <col min="2821" max="2821" width="9.88671875" bestFit="1" customWidth="1"/>
    <col min="2822" max="2822" width="7.77734375" customWidth="1"/>
    <col min="2824" max="2825" width="13.5546875" customWidth="1"/>
    <col min="2826" max="2826" width="7.5546875" customWidth="1"/>
    <col min="2827" max="2827" width="8.44140625" customWidth="1"/>
    <col min="2829" max="2829" width="10.109375" customWidth="1"/>
    <col min="3064" max="3064" width="11.44140625" customWidth="1"/>
    <col min="3065" max="3065" width="11.6640625" customWidth="1"/>
    <col min="3066" max="3066" width="24.5546875" bestFit="1" customWidth="1"/>
    <col min="3067" max="3067" width="28.33203125" customWidth="1"/>
    <col min="3068" max="3071" width="11.109375" customWidth="1"/>
    <col min="3072" max="3072" width="9.44140625" customWidth="1"/>
    <col min="3073" max="3073" width="10.109375" customWidth="1"/>
    <col min="3077" max="3077" width="9.88671875" bestFit="1" customWidth="1"/>
    <col min="3078" max="3078" width="7.77734375" customWidth="1"/>
    <col min="3080" max="3081" width="13.5546875" customWidth="1"/>
    <col min="3082" max="3082" width="7.5546875" customWidth="1"/>
    <col min="3083" max="3083" width="8.44140625" customWidth="1"/>
    <col min="3085" max="3085" width="10.109375" customWidth="1"/>
    <col min="3320" max="3320" width="11.44140625" customWidth="1"/>
    <col min="3321" max="3321" width="11.6640625" customWidth="1"/>
    <col min="3322" max="3322" width="24.5546875" bestFit="1" customWidth="1"/>
    <col min="3323" max="3323" width="28.33203125" customWidth="1"/>
    <col min="3324" max="3327" width="11.109375" customWidth="1"/>
    <col min="3328" max="3328" width="9.44140625" customWidth="1"/>
    <col min="3329" max="3329" width="10.109375" customWidth="1"/>
    <col min="3333" max="3333" width="9.88671875" bestFit="1" customWidth="1"/>
    <col min="3334" max="3334" width="7.77734375" customWidth="1"/>
    <col min="3336" max="3337" width="13.5546875" customWidth="1"/>
    <col min="3338" max="3338" width="7.5546875" customWidth="1"/>
    <col min="3339" max="3339" width="8.44140625" customWidth="1"/>
    <col min="3341" max="3341" width="10.109375" customWidth="1"/>
    <col min="3576" max="3576" width="11.44140625" customWidth="1"/>
    <col min="3577" max="3577" width="11.6640625" customWidth="1"/>
    <col min="3578" max="3578" width="24.5546875" bestFit="1" customWidth="1"/>
    <col min="3579" max="3579" width="28.33203125" customWidth="1"/>
    <col min="3580" max="3583" width="11.109375" customWidth="1"/>
    <col min="3584" max="3584" width="9.44140625" customWidth="1"/>
    <col min="3585" max="3585" width="10.109375" customWidth="1"/>
    <col min="3589" max="3589" width="9.88671875" bestFit="1" customWidth="1"/>
    <col min="3590" max="3590" width="7.77734375" customWidth="1"/>
    <col min="3592" max="3593" width="13.5546875" customWidth="1"/>
    <col min="3594" max="3594" width="7.5546875" customWidth="1"/>
    <col min="3595" max="3595" width="8.44140625" customWidth="1"/>
    <col min="3597" max="3597" width="10.109375" customWidth="1"/>
    <col min="3832" max="3832" width="11.44140625" customWidth="1"/>
    <col min="3833" max="3833" width="11.6640625" customWidth="1"/>
    <col min="3834" max="3834" width="24.5546875" bestFit="1" customWidth="1"/>
    <col min="3835" max="3835" width="28.33203125" customWidth="1"/>
    <col min="3836" max="3839" width="11.109375" customWidth="1"/>
    <col min="3840" max="3840" width="9.44140625" customWidth="1"/>
    <col min="3841" max="3841" width="10.109375" customWidth="1"/>
    <col min="3845" max="3845" width="9.88671875" bestFit="1" customWidth="1"/>
    <col min="3846" max="3846" width="7.77734375" customWidth="1"/>
    <col min="3848" max="3849" width="13.5546875" customWidth="1"/>
    <col min="3850" max="3850" width="7.5546875" customWidth="1"/>
    <col min="3851" max="3851" width="8.44140625" customWidth="1"/>
    <col min="3853" max="3853" width="10.109375" customWidth="1"/>
    <col min="4088" max="4088" width="11.44140625" customWidth="1"/>
    <col min="4089" max="4089" width="11.6640625" customWidth="1"/>
    <col min="4090" max="4090" width="24.5546875" bestFit="1" customWidth="1"/>
    <col min="4091" max="4091" width="28.33203125" customWidth="1"/>
    <col min="4092" max="4095" width="11.109375" customWidth="1"/>
    <col min="4096" max="4096" width="9.44140625" customWidth="1"/>
    <col min="4097" max="4097" width="10.109375" customWidth="1"/>
    <col min="4101" max="4101" width="9.88671875" bestFit="1" customWidth="1"/>
    <col min="4102" max="4102" width="7.77734375" customWidth="1"/>
    <col min="4104" max="4105" width="13.5546875" customWidth="1"/>
    <col min="4106" max="4106" width="7.5546875" customWidth="1"/>
    <col min="4107" max="4107" width="8.44140625" customWidth="1"/>
    <col min="4109" max="4109" width="10.109375" customWidth="1"/>
    <col min="4344" max="4344" width="11.44140625" customWidth="1"/>
    <col min="4345" max="4345" width="11.6640625" customWidth="1"/>
    <col min="4346" max="4346" width="24.5546875" bestFit="1" customWidth="1"/>
    <col min="4347" max="4347" width="28.33203125" customWidth="1"/>
    <col min="4348" max="4351" width="11.109375" customWidth="1"/>
    <col min="4352" max="4352" width="9.44140625" customWidth="1"/>
    <col min="4353" max="4353" width="10.109375" customWidth="1"/>
    <col min="4357" max="4357" width="9.88671875" bestFit="1" customWidth="1"/>
    <col min="4358" max="4358" width="7.77734375" customWidth="1"/>
    <col min="4360" max="4361" width="13.5546875" customWidth="1"/>
    <col min="4362" max="4362" width="7.5546875" customWidth="1"/>
    <col min="4363" max="4363" width="8.44140625" customWidth="1"/>
    <col min="4365" max="4365" width="10.109375" customWidth="1"/>
    <col min="4600" max="4600" width="11.44140625" customWidth="1"/>
    <col min="4601" max="4601" width="11.6640625" customWidth="1"/>
    <col min="4602" max="4602" width="24.5546875" bestFit="1" customWidth="1"/>
    <col min="4603" max="4603" width="28.33203125" customWidth="1"/>
    <col min="4604" max="4607" width="11.109375" customWidth="1"/>
    <col min="4608" max="4608" width="9.44140625" customWidth="1"/>
    <col min="4609" max="4609" width="10.109375" customWidth="1"/>
    <col min="4613" max="4613" width="9.88671875" bestFit="1" customWidth="1"/>
    <col min="4614" max="4614" width="7.77734375" customWidth="1"/>
    <col min="4616" max="4617" width="13.5546875" customWidth="1"/>
    <col min="4618" max="4618" width="7.5546875" customWidth="1"/>
    <col min="4619" max="4619" width="8.44140625" customWidth="1"/>
    <col min="4621" max="4621" width="10.109375" customWidth="1"/>
    <col min="4856" max="4856" width="11.44140625" customWidth="1"/>
    <col min="4857" max="4857" width="11.6640625" customWidth="1"/>
    <col min="4858" max="4858" width="24.5546875" bestFit="1" customWidth="1"/>
    <col min="4859" max="4859" width="28.33203125" customWidth="1"/>
    <col min="4860" max="4863" width="11.109375" customWidth="1"/>
    <col min="4864" max="4864" width="9.44140625" customWidth="1"/>
    <col min="4865" max="4865" width="10.109375" customWidth="1"/>
    <col min="4869" max="4869" width="9.88671875" bestFit="1" customWidth="1"/>
    <col min="4870" max="4870" width="7.77734375" customWidth="1"/>
    <col min="4872" max="4873" width="13.5546875" customWidth="1"/>
    <col min="4874" max="4874" width="7.5546875" customWidth="1"/>
    <col min="4875" max="4875" width="8.44140625" customWidth="1"/>
    <col min="4877" max="4877" width="10.109375" customWidth="1"/>
    <col min="5112" max="5112" width="11.44140625" customWidth="1"/>
    <col min="5113" max="5113" width="11.6640625" customWidth="1"/>
    <col min="5114" max="5114" width="24.5546875" bestFit="1" customWidth="1"/>
    <col min="5115" max="5115" width="28.33203125" customWidth="1"/>
    <col min="5116" max="5119" width="11.109375" customWidth="1"/>
    <col min="5120" max="5120" width="9.44140625" customWidth="1"/>
    <col min="5121" max="5121" width="10.109375" customWidth="1"/>
    <col min="5125" max="5125" width="9.88671875" bestFit="1" customWidth="1"/>
    <col min="5126" max="5126" width="7.77734375" customWidth="1"/>
    <col min="5128" max="5129" width="13.5546875" customWidth="1"/>
    <col min="5130" max="5130" width="7.5546875" customWidth="1"/>
    <col min="5131" max="5131" width="8.44140625" customWidth="1"/>
    <col min="5133" max="5133" width="10.109375" customWidth="1"/>
    <col min="5368" max="5368" width="11.44140625" customWidth="1"/>
    <col min="5369" max="5369" width="11.6640625" customWidth="1"/>
    <col min="5370" max="5370" width="24.5546875" bestFit="1" customWidth="1"/>
    <col min="5371" max="5371" width="28.33203125" customWidth="1"/>
    <col min="5372" max="5375" width="11.109375" customWidth="1"/>
    <col min="5376" max="5376" width="9.44140625" customWidth="1"/>
    <col min="5377" max="5377" width="10.109375" customWidth="1"/>
    <col min="5381" max="5381" width="9.88671875" bestFit="1" customWidth="1"/>
    <col min="5382" max="5382" width="7.77734375" customWidth="1"/>
    <col min="5384" max="5385" width="13.5546875" customWidth="1"/>
    <col min="5386" max="5386" width="7.5546875" customWidth="1"/>
    <col min="5387" max="5387" width="8.44140625" customWidth="1"/>
    <col min="5389" max="5389" width="10.109375" customWidth="1"/>
    <col min="5624" max="5624" width="11.44140625" customWidth="1"/>
    <col min="5625" max="5625" width="11.6640625" customWidth="1"/>
    <col min="5626" max="5626" width="24.5546875" bestFit="1" customWidth="1"/>
    <col min="5627" max="5627" width="28.33203125" customWidth="1"/>
    <col min="5628" max="5631" width="11.109375" customWidth="1"/>
    <col min="5632" max="5632" width="9.44140625" customWidth="1"/>
    <col min="5633" max="5633" width="10.109375" customWidth="1"/>
    <col min="5637" max="5637" width="9.88671875" bestFit="1" customWidth="1"/>
    <col min="5638" max="5638" width="7.77734375" customWidth="1"/>
    <col min="5640" max="5641" width="13.5546875" customWidth="1"/>
    <col min="5642" max="5642" width="7.5546875" customWidth="1"/>
    <col min="5643" max="5643" width="8.44140625" customWidth="1"/>
    <col min="5645" max="5645" width="10.109375" customWidth="1"/>
    <col min="5880" max="5880" width="11.44140625" customWidth="1"/>
    <col min="5881" max="5881" width="11.6640625" customWidth="1"/>
    <col min="5882" max="5882" width="24.5546875" bestFit="1" customWidth="1"/>
    <col min="5883" max="5883" width="28.33203125" customWidth="1"/>
    <col min="5884" max="5887" width="11.109375" customWidth="1"/>
    <col min="5888" max="5888" width="9.44140625" customWidth="1"/>
    <col min="5889" max="5889" width="10.109375" customWidth="1"/>
    <col min="5893" max="5893" width="9.88671875" bestFit="1" customWidth="1"/>
    <col min="5894" max="5894" width="7.77734375" customWidth="1"/>
    <col min="5896" max="5897" width="13.5546875" customWidth="1"/>
    <col min="5898" max="5898" width="7.5546875" customWidth="1"/>
    <col min="5899" max="5899" width="8.44140625" customWidth="1"/>
    <col min="5901" max="5901" width="10.109375" customWidth="1"/>
    <col min="6136" max="6136" width="11.44140625" customWidth="1"/>
    <col min="6137" max="6137" width="11.6640625" customWidth="1"/>
    <col min="6138" max="6138" width="24.5546875" bestFit="1" customWidth="1"/>
    <col min="6139" max="6139" width="28.33203125" customWidth="1"/>
    <col min="6140" max="6143" width="11.109375" customWidth="1"/>
    <col min="6144" max="6144" width="9.44140625" customWidth="1"/>
    <col min="6145" max="6145" width="10.109375" customWidth="1"/>
    <col min="6149" max="6149" width="9.88671875" bestFit="1" customWidth="1"/>
    <col min="6150" max="6150" width="7.77734375" customWidth="1"/>
    <col min="6152" max="6153" width="13.5546875" customWidth="1"/>
    <col min="6154" max="6154" width="7.5546875" customWidth="1"/>
    <col min="6155" max="6155" width="8.44140625" customWidth="1"/>
    <col min="6157" max="6157" width="10.109375" customWidth="1"/>
    <col min="6392" max="6392" width="11.44140625" customWidth="1"/>
    <col min="6393" max="6393" width="11.6640625" customWidth="1"/>
    <col min="6394" max="6394" width="24.5546875" bestFit="1" customWidth="1"/>
    <col min="6395" max="6395" width="28.33203125" customWidth="1"/>
    <col min="6396" max="6399" width="11.109375" customWidth="1"/>
    <col min="6400" max="6400" width="9.44140625" customWidth="1"/>
    <col min="6401" max="6401" width="10.109375" customWidth="1"/>
    <col min="6405" max="6405" width="9.88671875" bestFit="1" customWidth="1"/>
    <col min="6406" max="6406" width="7.77734375" customWidth="1"/>
    <col min="6408" max="6409" width="13.5546875" customWidth="1"/>
    <col min="6410" max="6410" width="7.5546875" customWidth="1"/>
    <col min="6411" max="6411" width="8.44140625" customWidth="1"/>
    <col min="6413" max="6413" width="10.109375" customWidth="1"/>
    <col min="6648" max="6648" width="11.44140625" customWidth="1"/>
    <col min="6649" max="6649" width="11.6640625" customWidth="1"/>
    <col min="6650" max="6650" width="24.5546875" bestFit="1" customWidth="1"/>
    <col min="6651" max="6651" width="28.33203125" customWidth="1"/>
    <col min="6652" max="6655" width="11.109375" customWidth="1"/>
    <col min="6656" max="6656" width="9.44140625" customWidth="1"/>
    <col min="6657" max="6657" width="10.109375" customWidth="1"/>
    <col min="6661" max="6661" width="9.88671875" bestFit="1" customWidth="1"/>
    <col min="6662" max="6662" width="7.77734375" customWidth="1"/>
    <col min="6664" max="6665" width="13.5546875" customWidth="1"/>
    <col min="6666" max="6666" width="7.5546875" customWidth="1"/>
    <col min="6667" max="6667" width="8.44140625" customWidth="1"/>
    <col min="6669" max="6669" width="10.109375" customWidth="1"/>
    <col min="6904" max="6904" width="11.44140625" customWidth="1"/>
    <col min="6905" max="6905" width="11.6640625" customWidth="1"/>
    <col min="6906" max="6906" width="24.5546875" bestFit="1" customWidth="1"/>
    <col min="6907" max="6907" width="28.33203125" customWidth="1"/>
    <col min="6908" max="6911" width="11.109375" customWidth="1"/>
    <col min="6912" max="6912" width="9.44140625" customWidth="1"/>
    <col min="6913" max="6913" width="10.109375" customWidth="1"/>
    <col min="6917" max="6917" width="9.88671875" bestFit="1" customWidth="1"/>
    <col min="6918" max="6918" width="7.77734375" customWidth="1"/>
    <col min="6920" max="6921" width="13.5546875" customWidth="1"/>
    <col min="6922" max="6922" width="7.5546875" customWidth="1"/>
    <col min="6923" max="6923" width="8.44140625" customWidth="1"/>
    <col min="6925" max="6925" width="10.109375" customWidth="1"/>
    <col min="7160" max="7160" width="11.44140625" customWidth="1"/>
    <col min="7161" max="7161" width="11.6640625" customWidth="1"/>
    <col min="7162" max="7162" width="24.5546875" bestFit="1" customWidth="1"/>
    <col min="7163" max="7163" width="28.33203125" customWidth="1"/>
    <col min="7164" max="7167" width="11.109375" customWidth="1"/>
    <col min="7168" max="7168" width="9.44140625" customWidth="1"/>
    <col min="7169" max="7169" width="10.109375" customWidth="1"/>
    <col min="7173" max="7173" width="9.88671875" bestFit="1" customWidth="1"/>
    <col min="7174" max="7174" width="7.77734375" customWidth="1"/>
    <col min="7176" max="7177" width="13.5546875" customWidth="1"/>
    <col min="7178" max="7178" width="7.5546875" customWidth="1"/>
    <col min="7179" max="7179" width="8.44140625" customWidth="1"/>
    <col min="7181" max="7181" width="10.109375" customWidth="1"/>
    <col min="7416" max="7416" width="11.44140625" customWidth="1"/>
    <col min="7417" max="7417" width="11.6640625" customWidth="1"/>
    <col min="7418" max="7418" width="24.5546875" bestFit="1" customWidth="1"/>
    <col min="7419" max="7419" width="28.33203125" customWidth="1"/>
    <col min="7420" max="7423" width="11.109375" customWidth="1"/>
    <col min="7424" max="7424" width="9.44140625" customWidth="1"/>
    <col min="7425" max="7425" width="10.109375" customWidth="1"/>
    <col min="7429" max="7429" width="9.88671875" bestFit="1" customWidth="1"/>
    <col min="7430" max="7430" width="7.77734375" customWidth="1"/>
    <col min="7432" max="7433" width="13.5546875" customWidth="1"/>
    <col min="7434" max="7434" width="7.5546875" customWidth="1"/>
    <col min="7435" max="7435" width="8.44140625" customWidth="1"/>
    <col min="7437" max="7437" width="10.109375" customWidth="1"/>
    <col min="7672" max="7672" width="11.44140625" customWidth="1"/>
    <col min="7673" max="7673" width="11.6640625" customWidth="1"/>
    <col min="7674" max="7674" width="24.5546875" bestFit="1" customWidth="1"/>
    <col min="7675" max="7675" width="28.33203125" customWidth="1"/>
    <col min="7676" max="7679" width="11.109375" customWidth="1"/>
    <col min="7680" max="7680" width="9.44140625" customWidth="1"/>
    <col min="7681" max="7681" width="10.109375" customWidth="1"/>
    <col min="7685" max="7685" width="9.88671875" bestFit="1" customWidth="1"/>
    <col min="7686" max="7686" width="7.77734375" customWidth="1"/>
    <col min="7688" max="7689" width="13.5546875" customWidth="1"/>
    <col min="7690" max="7690" width="7.5546875" customWidth="1"/>
    <col min="7691" max="7691" width="8.44140625" customWidth="1"/>
    <col min="7693" max="7693" width="10.109375" customWidth="1"/>
    <col min="7928" max="7928" width="11.44140625" customWidth="1"/>
    <col min="7929" max="7929" width="11.6640625" customWidth="1"/>
    <col min="7930" max="7930" width="24.5546875" bestFit="1" customWidth="1"/>
    <col min="7931" max="7931" width="28.33203125" customWidth="1"/>
    <col min="7932" max="7935" width="11.109375" customWidth="1"/>
    <col min="7936" max="7936" width="9.44140625" customWidth="1"/>
    <col min="7937" max="7937" width="10.109375" customWidth="1"/>
    <col min="7941" max="7941" width="9.88671875" bestFit="1" customWidth="1"/>
    <col min="7942" max="7942" width="7.77734375" customWidth="1"/>
    <col min="7944" max="7945" width="13.5546875" customWidth="1"/>
    <col min="7946" max="7946" width="7.5546875" customWidth="1"/>
    <col min="7947" max="7947" width="8.44140625" customWidth="1"/>
    <col min="7949" max="7949" width="10.109375" customWidth="1"/>
    <col min="8184" max="8184" width="11.44140625" customWidth="1"/>
    <col min="8185" max="8185" width="11.6640625" customWidth="1"/>
    <col min="8186" max="8186" width="24.5546875" bestFit="1" customWidth="1"/>
    <col min="8187" max="8187" width="28.33203125" customWidth="1"/>
    <col min="8188" max="8191" width="11.109375" customWidth="1"/>
    <col min="8192" max="8192" width="9.44140625" customWidth="1"/>
    <col min="8193" max="8193" width="10.109375" customWidth="1"/>
    <col min="8197" max="8197" width="9.88671875" bestFit="1" customWidth="1"/>
    <col min="8198" max="8198" width="7.77734375" customWidth="1"/>
    <col min="8200" max="8201" width="13.5546875" customWidth="1"/>
    <col min="8202" max="8202" width="7.5546875" customWidth="1"/>
    <col min="8203" max="8203" width="8.44140625" customWidth="1"/>
    <col min="8205" max="8205" width="10.109375" customWidth="1"/>
    <col min="8440" max="8440" width="11.44140625" customWidth="1"/>
    <col min="8441" max="8441" width="11.6640625" customWidth="1"/>
    <col min="8442" max="8442" width="24.5546875" bestFit="1" customWidth="1"/>
    <col min="8443" max="8443" width="28.33203125" customWidth="1"/>
    <col min="8444" max="8447" width="11.109375" customWidth="1"/>
    <col min="8448" max="8448" width="9.44140625" customWidth="1"/>
    <col min="8449" max="8449" width="10.109375" customWidth="1"/>
    <col min="8453" max="8453" width="9.88671875" bestFit="1" customWidth="1"/>
    <col min="8454" max="8454" width="7.77734375" customWidth="1"/>
    <col min="8456" max="8457" width="13.5546875" customWidth="1"/>
    <col min="8458" max="8458" width="7.5546875" customWidth="1"/>
    <col min="8459" max="8459" width="8.44140625" customWidth="1"/>
    <col min="8461" max="8461" width="10.109375" customWidth="1"/>
    <col min="8696" max="8696" width="11.44140625" customWidth="1"/>
    <col min="8697" max="8697" width="11.6640625" customWidth="1"/>
    <col min="8698" max="8698" width="24.5546875" bestFit="1" customWidth="1"/>
    <col min="8699" max="8699" width="28.33203125" customWidth="1"/>
    <col min="8700" max="8703" width="11.109375" customWidth="1"/>
    <col min="8704" max="8704" width="9.44140625" customWidth="1"/>
    <col min="8705" max="8705" width="10.109375" customWidth="1"/>
    <col min="8709" max="8709" width="9.88671875" bestFit="1" customWidth="1"/>
    <col min="8710" max="8710" width="7.77734375" customWidth="1"/>
    <col min="8712" max="8713" width="13.5546875" customWidth="1"/>
    <col min="8714" max="8714" width="7.5546875" customWidth="1"/>
    <col min="8715" max="8715" width="8.44140625" customWidth="1"/>
    <col min="8717" max="8717" width="10.109375" customWidth="1"/>
    <col min="8952" max="8952" width="11.44140625" customWidth="1"/>
    <col min="8953" max="8953" width="11.6640625" customWidth="1"/>
    <col min="8954" max="8954" width="24.5546875" bestFit="1" customWidth="1"/>
    <col min="8955" max="8955" width="28.33203125" customWidth="1"/>
    <col min="8956" max="8959" width="11.109375" customWidth="1"/>
    <col min="8960" max="8960" width="9.44140625" customWidth="1"/>
    <col min="8961" max="8961" width="10.109375" customWidth="1"/>
    <col min="8965" max="8965" width="9.88671875" bestFit="1" customWidth="1"/>
    <col min="8966" max="8966" width="7.77734375" customWidth="1"/>
    <col min="8968" max="8969" width="13.5546875" customWidth="1"/>
    <col min="8970" max="8970" width="7.5546875" customWidth="1"/>
    <col min="8971" max="8971" width="8.44140625" customWidth="1"/>
    <col min="8973" max="8973" width="10.109375" customWidth="1"/>
    <col min="9208" max="9208" width="11.44140625" customWidth="1"/>
    <col min="9209" max="9209" width="11.6640625" customWidth="1"/>
    <col min="9210" max="9210" width="24.5546875" bestFit="1" customWidth="1"/>
    <col min="9211" max="9211" width="28.33203125" customWidth="1"/>
    <col min="9212" max="9215" width="11.109375" customWidth="1"/>
    <col min="9216" max="9216" width="9.44140625" customWidth="1"/>
    <col min="9217" max="9217" width="10.109375" customWidth="1"/>
    <col min="9221" max="9221" width="9.88671875" bestFit="1" customWidth="1"/>
    <col min="9222" max="9222" width="7.77734375" customWidth="1"/>
    <col min="9224" max="9225" width="13.5546875" customWidth="1"/>
    <col min="9226" max="9226" width="7.5546875" customWidth="1"/>
    <col min="9227" max="9227" width="8.44140625" customWidth="1"/>
    <col min="9229" max="9229" width="10.109375" customWidth="1"/>
    <col min="9464" max="9464" width="11.44140625" customWidth="1"/>
    <col min="9465" max="9465" width="11.6640625" customWidth="1"/>
    <col min="9466" max="9466" width="24.5546875" bestFit="1" customWidth="1"/>
    <col min="9467" max="9467" width="28.33203125" customWidth="1"/>
    <col min="9468" max="9471" width="11.109375" customWidth="1"/>
    <col min="9472" max="9472" width="9.44140625" customWidth="1"/>
    <col min="9473" max="9473" width="10.109375" customWidth="1"/>
    <col min="9477" max="9477" width="9.88671875" bestFit="1" customWidth="1"/>
    <col min="9478" max="9478" width="7.77734375" customWidth="1"/>
    <col min="9480" max="9481" width="13.5546875" customWidth="1"/>
    <col min="9482" max="9482" width="7.5546875" customWidth="1"/>
    <col min="9483" max="9483" width="8.44140625" customWidth="1"/>
    <col min="9485" max="9485" width="10.109375" customWidth="1"/>
    <col min="9720" max="9720" width="11.44140625" customWidth="1"/>
    <col min="9721" max="9721" width="11.6640625" customWidth="1"/>
    <col min="9722" max="9722" width="24.5546875" bestFit="1" customWidth="1"/>
    <col min="9723" max="9723" width="28.33203125" customWidth="1"/>
    <col min="9724" max="9727" width="11.109375" customWidth="1"/>
    <col min="9728" max="9728" width="9.44140625" customWidth="1"/>
    <col min="9729" max="9729" width="10.109375" customWidth="1"/>
    <col min="9733" max="9733" width="9.88671875" bestFit="1" customWidth="1"/>
    <col min="9734" max="9734" width="7.77734375" customWidth="1"/>
    <col min="9736" max="9737" width="13.5546875" customWidth="1"/>
    <col min="9738" max="9738" width="7.5546875" customWidth="1"/>
    <col min="9739" max="9739" width="8.44140625" customWidth="1"/>
    <col min="9741" max="9741" width="10.109375" customWidth="1"/>
    <col min="9976" max="9976" width="11.44140625" customWidth="1"/>
    <col min="9977" max="9977" width="11.6640625" customWidth="1"/>
    <col min="9978" max="9978" width="24.5546875" bestFit="1" customWidth="1"/>
    <col min="9979" max="9979" width="28.33203125" customWidth="1"/>
    <col min="9980" max="9983" width="11.109375" customWidth="1"/>
    <col min="9984" max="9984" width="9.44140625" customWidth="1"/>
    <col min="9985" max="9985" width="10.109375" customWidth="1"/>
    <col min="9989" max="9989" width="9.88671875" bestFit="1" customWidth="1"/>
    <col min="9990" max="9990" width="7.77734375" customWidth="1"/>
    <col min="9992" max="9993" width="13.5546875" customWidth="1"/>
    <col min="9994" max="9994" width="7.5546875" customWidth="1"/>
    <col min="9995" max="9995" width="8.44140625" customWidth="1"/>
    <col min="9997" max="9997" width="10.109375" customWidth="1"/>
    <col min="10232" max="10232" width="11.44140625" customWidth="1"/>
    <col min="10233" max="10233" width="11.6640625" customWidth="1"/>
    <col min="10234" max="10234" width="24.5546875" bestFit="1" customWidth="1"/>
    <col min="10235" max="10235" width="28.33203125" customWidth="1"/>
    <col min="10236" max="10239" width="11.109375" customWidth="1"/>
    <col min="10240" max="10240" width="9.44140625" customWidth="1"/>
    <col min="10241" max="10241" width="10.109375" customWidth="1"/>
    <col min="10245" max="10245" width="9.88671875" bestFit="1" customWidth="1"/>
    <col min="10246" max="10246" width="7.77734375" customWidth="1"/>
    <col min="10248" max="10249" width="13.5546875" customWidth="1"/>
    <col min="10250" max="10250" width="7.5546875" customWidth="1"/>
    <col min="10251" max="10251" width="8.44140625" customWidth="1"/>
    <col min="10253" max="10253" width="10.109375" customWidth="1"/>
    <col min="10488" max="10488" width="11.44140625" customWidth="1"/>
    <col min="10489" max="10489" width="11.6640625" customWidth="1"/>
    <col min="10490" max="10490" width="24.5546875" bestFit="1" customWidth="1"/>
    <col min="10491" max="10491" width="28.33203125" customWidth="1"/>
    <col min="10492" max="10495" width="11.109375" customWidth="1"/>
    <col min="10496" max="10496" width="9.44140625" customWidth="1"/>
    <col min="10497" max="10497" width="10.109375" customWidth="1"/>
    <col min="10501" max="10501" width="9.88671875" bestFit="1" customWidth="1"/>
    <col min="10502" max="10502" width="7.77734375" customWidth="1"/>
    <col min="10504" max="10505" width="13.5546875" customWidth="1"/>
    <col min="10506" max="10506" width="7.5546875" customWidth="1"/>
    <col min="10507" max="10507" width="8.44140625" customWidth="1"/>
    <col min="10509" max="10509" width="10.109375" customWidth="1"/>
    <col min="10744" max="10744" width="11.44140625" customWidth="1"/>
    <col min="10745" max="10745" width="11.6640625" customWidth="1"/>
    <col min="10746" max="10746" width="24.5546875" bestFit="1" customWidth="1"/>
    <col min="10747" max="10747" width="28.33203125" customWidth="1"/>
    <col min="10748" max="10751" width="11.109375" customWidth="1"/>
    <col min="10752" max="10752" width="9.44140625" customWidth="1"/>
    <col min="10753" max="10753" width="10.109375" customWidth="1"/>
    <col min="10757" max="10757" width="9.88671875" bestFit="1" customWidth="1"/>
    <col min="10758" max="10758" width="7.77734375" customWidth="1"/>
    <col min="10760" max="10761" width="13.5546875" customWidth="1"/>
    <col min="10762" max="10762" width="7.5546875" customWidth="1"/>
    <col min="10763" max="10763" width="8.44140625" customWidth="1"/>
    <col min="10765" max="10765" width="10.109375" customWidth="1"/>
    <col min="11000" max="11000" width="11.44140625" customWidth="1"/>
    <col min="11001" max="11001" width="11.6640625" customWidth="1"/>
    <col min="11002" max="11002" width="24.5546875" bestFit="1" customWidth="1"/>
    <col min="11003" max="11003" width="28.33203125" customWidth="1"/>
    <col min="11004" max="11007" width="11.109375" customWidth="1"/>
    <col min="11008" max="11008" width="9.44140625" customWidth="1"/>
    <col min="11009" max="11009" width="10.109375" customWidth="1"/>
    <col min="11013" max="11013" width="9.88671875" bestFit="1" customWidth="1"/>
    <col min="11014" max="11014" width="7.77734375" customWidth="1"/>
    <col min="11016" max="11017" width="13.5546875" customWidth="1"/>
    <col min="11018" max="11018" width="7.5546875" customWidth="1"/>
    <col min="11019" max="11019" width="8.44140625" customWidth="1"/>
    <col min="11021" max="11021" width="10.109375" customWidth="1"/>
    <col min="11256" max="11256" width="11.44140625" customWidth="1"/>
    <col min="11257" max="11257" width="11.6640625" customWidth="1"/>
    <col min="11258" max="11258" width="24.5546875" bestFit="1" customWidth="1"/>
    <col min="11259" max="11259" width="28.33203125" customWidth="1"/>
    <col min="11260" max="11263" width="11.109375" customWidth="1"/>
    <col min="11264" max="11264" width="9.44140625" customWidth="1"/>
    <col min="11265" max="11265" width="10.109375" customWidth="1"/>
    <col min="11269" max="11269" width="9.88671875" bestFit="1" customWidth="1"/>
    <col min="11270" max="11270" width="7.77734375" customWidth="1"/>
    <col min="11272" max="11273" width="13.5546875" customWidth="1"/>
    <col min="11274" max="11274" width="7.5546875" customWidth="1"/>
    <col min="11275" max="11275" width="8.44140625" customWidth="1"/>
    <col min="11277" max="11277" width="10.109375" customWidth="1"/>
    <col min="11512" max="11512" width="11.44140625" customWidth="1"/>
    <col min="11513" max="11513" width="11.6640625" customWidth="1"/>
    <col min="11514" max="11514" width="24.5546875" bestFit="1" customWidth="1"/>
    <col min="11515" max="11515" width="28.33203125" customWidth="1"/>
    <col min="11516" max="11519" width="11.109375" customWidth="1"/>
    <col min="11520" max="11520" width="9.44140625" customWidth="1"/>
    <col min="11521" max="11521" width="10.109375" customWidth="1"/>
    <col min="11525" max="11525" width="9.88671875" bestFit="1" customWidth="1"/>
    <col min="11526" max="11526" width="7.77734375" customWidth="1"/>
    <col min="11528" max="11529" width="13.5546875" customWidth="1"/>
    <col min="11530" max="11530" width="7.5546875" customWidth="1"/>
    <col min="11531" max="11531" width="8.44140625" customWidth="1"/>
    <col min="11533" max="11533" width="10.109375" customWidth="1"/>
    <col min="11768" max="11768" width="11.44140625" customWidth="1"/>
    <col min="11769" max="11769" width="11.6640625" customWidth="1"/>
    <col min="11770" max="11770" width="24.5546875" bestFit="1" customWidth="1"/>
    <col min="11771" max="11771" width="28.33203125" customWidth="1"/>
    <col min="11772" max="11775" width="11.109375" customWidth="1"/>
    <col min="11776" max="11776" width="9.44140625" customWidth="1"/>
    <col min="11777" max="11777" width="10.109375" customWidth="1"/>
    <col min="11781" max="11781" width="9.88671875" bestFit="1" customWidth="1"/>
    <col min="11782" max="11782" width="7.77734375" customWidth="1"/>
    <col min="11784" max="11785" width="13.5546875" customWidth="1"/>
    <col min="11786" max="11786" width="7.5546875" customWidth="1"/>
    <col min="11787" max="11787" width="8.44140625" customWidth="1"/>
    <col min="11789" max="11789" width="10.109375" customWidth="1"/>
    <col min="12024" max="12024" width="11.44140625" customWidth="1"/>
    <col min="12025" max="12025" width="11.6640625" customWidth="1"/>
    <col min="12026" max="12026" width="24.5546875" bestFit="1" customWidth="1"/>
    <col min="12027" max="12027" width="28.33203125" customWidth="1"/>
    <col min="12028" max="12031" width="11.109375" customWidth="1"/>
    <col min="12032" max="12032" width="9.44140625" customWidth="1"/>
    <col min="12033" max="12033" width="10.109375" customWidth="1"/>
    <col min="12037" max="12037" width="9.88671875" bestFit="1" customWidth="1"/>
    <col min="12038" max="12038" width="7.77734375" customWidth="1"/>
    <col min="12040" max="12041" width="13.5546875" customWidth="1"/>
    <col min="12042" max="12042" width="7.5546875" customWidth="1"/>
    <col min="12043" max="12043" width="8.44140625" customWidth="1"/>
    <col min="12045" max="12045" width="10.109375" customWidth="1"/>
    <col min="12280" max="12280" width="11.44140625" customWidth="1"/>
    <col min="12281" max="12281" width="11.6640625" customWidth="1"/>
    <col min="12282" max="12282" width="24.5546875" bestFit="1" customWidth="1"/>
    <col min="12283" max="12283" width="28.33203125" customWidth="1"/>
    <col min="12284" max="12287" width="11.109375" customWidth="1"/>
    <col min="12288" max="12288" width="9.44140625" customWidth="1"/>
    <col min="12289" max="12289" width="10.109375" customWidth="1"/>
    <col min="12293" max="12293" width="9.88671875" bestFit="1" customWidth="1"/>
    <col min="12294" max="12294" width="7.77734375" customWidth="1"/>
    <col min="12296" max="12297" width="13.5546875" customWidth="1"/>
    <col min="12298" max="12298" width="7.5546875" customWidth="1"/>
    <col min="12299" max="12299" width="8.44140625" customWidth="1"/>
    <col min="12301" max="12301" width="10.109375" customWidth="1"/>
    <col min="12536" max="12536" width="11.44140625" customWidth="1"/>
    <col min="12537" max="12537" width="11.6640625" customWidth="1"/>
    <col min="12538" max="12538" width="24.5546875" bestFit="1" customWidth="1"/>
    <col min="12539" max="12539" width="28.33203125" customWidth="1"/>
    <col min="12540" max="12543" width="11.109375" customWidth="1"/>
    <col min="12544" max="12544" width="9.44140625" customWidth="1"/>
    <col min="12545" max="12545" width="10.109375" customWidth="1"/>
    <col min="12549" max="12549" width="9.88671875" bestFit="1" customWidth="1"/>
    <col min="12550" max="12550" width="7.77734375" customWidth="1"/>
    <col min="12552" max="12553" width="13.5546875" customWidth="1"/>
    <col min="12554" max="12554" width="7.5546875" customWidth="1"/>
    <col min="12555" max="12555" width="8.44140625" customWidth="1"/>
    <col min="12557" max="12557" width="10.109375" customWidth="1"/>
    <col min="12792" max="12792" width="11.44140625" customWidth="1"/>
    <col min="12793" max="12793" width="11.6640625" customWidth="1"/>
    <col min="12794" max="12794" width="24.5546875" bestFit="1" customWidth="1"/>
    <col min="12795" max="12795" width="28.33203125" customWidth="1"/>
    <col min="12796" max="12799" width="11.109375" customWidth="1"/>
    <col min="12800" max="12800" width="9.44140625" customWidth="1"/>
    <col min="12801" max="12801" width="10.109375" customWidth="1"/>
    <col min="12805" max="12805" width="9.88671875" bestFit="1" customWidth="1"/>
    <col min="12806" max="12806" width="7.77734375" customWidth="1"/>
    <col min="12808" max="12809" width="13.5546875" customWidth="1"/>
    <col min="12810" max="12810" width="7.5546875" customWidth="1"/>
    <col min="12811" max="12811" width="8.44140625" customWidth="1"/>
    <col min="12813" max="12813" width="10.109375" customWidth="1"/>
    <col min="13048" max="13048" width="11.44140625" customWidth="1"/>
    <col min="13049" max="13049" width="11.6640625" customWidth="1"/>
    <col min="13050" max="13050" width="24.5546875" bestFit="1" customWidth="1"/>
    <col min="13051" max="13051" width="28.33203125" customWidth="1"/>
    <col min="13052" max="13055" width="11.109375" customWidth="1"/>
    <col min="13056" max="13056" width="9.44140625" customWidth="1"/>
    <col min="13057" max="13057" width="10.109375" customWidth="1"/>
    <col min="13061" max="13061" width="9.88671875" bestFit="1" customWidth="1"/>
    <col min="13062" max="13062" width="7.77734375" customWidth="1"/>
    <col min="13064" max="13065" width="13.5546875" customWidth="1"/>
    <col min="13066" max="13066" width="7.5546875" customWidth="1"/>
    <col min="13067" max="13067" width="8.44140625" customWidth="1"/>
    <col min="13069" max="13069" width="10.109375" customWidth="1"/>
    <col min="13304" max="13304" width="11.44140625" customWidth="1"/>
    <col min="13305" max="13305" width="11.6640625" customWidth="1"/>
    <col min="13306" max="13306" width="24.5546875" bestFit="1" customWidth="1"/>
    <col min="13307" max="13307" width="28.33203125" customWidth="1"/>
    <col min="13308" max="13311" width="11.109375" customWidth="1"/>
    <col min="13312" max="13312" width="9.44140625" customWidth="1"/>
    <col min="13313" max="13313" width="10.109375" customWidth="1"/>
    <col min="13317" max="13317" width="9.88671875" bestFit="1" customWidth="1"/>
    <col min="13318" max="13318" width="7.77734375" customWidth="1"/>
    <col min="13320" max="13321" width="13.5546875" customWidth="1"/>
    <col min="13322" max="13322" width="7.5546875" customWidth="1"/>
    <col min="13323" max="13323" width="8.44140625" customWidth="1"/>
    <col min="13325" max="13325" width="10.109375" customWidth="1"/>
    <col min="13560" max="13560" width="11.44140625" customWidth="1"/>
    <col min="13561" max="13561" width="11.6640625" customWidth="1"/>
    <col min="13562" max="13562" width="24.5546875" bestFit="1" customWidth="1"/>
    <col min="13563" max="13563" width="28.33203125" customWidth="1"/>
    <col min="13564" max="13567" width="11.109375" customWidth="1"/>
    <col min="13568" max="13568" width="9.44140625" customWidth="1"/>
    <col min="13569" max="13569" width="10.109375" customWidth="1"/>
    <col min="13573" max="13573" width="9.88671875" bestFit="1" customWidth="1"/>
    <col min="13574" max="13574" width="7.77734375" customWidth="1"/>
    <col min="13576" max="13577" width="13.5546875" customWidth="1"/>
    <col min="13578" max="13578" width="7.5546875" customWidth="1"/>
    <col min="13579" max="13579" width="8.44140625" customWidth="1"/>
    <col min="13581" max="13581" width="10.109375" customWidth="1"/>
    <col min="13816" max="13816" width="11.44140625" customWidth="1"/>
    <col min="13817" max="13817" width="11.6640625" customWidth="1"/>
    <col min="13818" max="13818" width="24.5546875" bestFit="1" customWidth="1"/>
    <col min="13819" max="13819" width="28.33203125" customWidth="1"/>
    <col min="13820" max="13823" width="11.109375" customWidth="1"/>
    <col min="13824" max="13824" width="9.44140625" customWidth="1"/>
    <col min="13825" max="13825" width="10.109375" customWidth="1"/>
    <col min="13829" max="13829" width="9.88671875" bestFit="1" customWidth="1"/>
    <col min="13830" max="13830" width="7.77734375" customWidth="1"/>
    <col min="13832" max="13833" width="13.5546875" customWidth="1"/>
    <col min="13834" max="13834" width="7.5546875" customWidth="1"/>
    <col min="13835" max="13835" width="8.44140625" customWidth="1"/>
    <col min="13837" max="13837" width="10.109375" customWidth="1"/>
    <col min="14072" max="14072" width="11.44140625" customWidth="1"/>
    <col min="14073" max="14073" width="11.6640625" customWidth="1"/>
    <col min="14074" max="14074" width="24.5546875" bestFit="1" customWidth="1"/>
    <col min="14075" max="14075" width="28.33203125" customWidth="1"/>
    <col min="14076" max="14079" width="11.109375" customWidth="1"/>
    <col min="14080" max="14080" width="9.44140625" customWidth="1"/>
    <col min="14081" max="14081" width="10.109375" customWidth="1"/>
    <col min="14085" max="14085" width="9.88671875" bestFit="1" customWidth="1"/>
    <col min="14086" max="14086" width="7.77734375" customWidth="1"/>
    <col min="14088" max="14089" width="13.5546875" customWidth="1"/>
    <col min="14090" max="14090" width="7.5546875" customWidth="1"/>
    <col min="14091" max="14091" width="8.44140625" customWidth="1"/>
    <col min="14093" max="14093" width="10.109375" customWidth="1"/>
    <col min="14328" max="14328" width="11.44140625" customWidth="1"/>
    <col min="14329" max="14329" width="11.6640625" customWidth="1"/>
    <col min="14330" max="14330" width="24.5546875" bestFit="1" customWidth="1"/>
    <col min="14331" max="14331" width="28.33203125" customWidth="1"/>
    <col min="14332" max="14335" width="11.109375" customWidth="1"/>
    <col min="14336" max="14336" width="9.44140625" customWidth="1"/>
    <col min="14337" max="14337" width="10.109375" customWidth="1"/>
    <col min="14341" max="14341" width="9.88671875" bestFit="1" customWidth="1"/>
    <col min="14342" max="14342" width="7.77734375" customWidth="1"/>
    <col min="14344" max="14345" width="13.5546875" customWidth="1"/>
    <col min="14346" max="14346" width="7.5546875" customWidth="1"/>
    <col min="14347" max="14347" width="8.44140625" customWidth="1"/>
    <col min="14349" max="14349" width="10.109375" customWidth="1"/>
    <col min="14584" max="14584" width="11.44140625" customWidth="1"/>
    <col min="14585" max="14585" width="11.6640625" customWidth="1"/>
    <col min="14586" max="14586" width="24.5546875" bestFit="1" customWidth="1"/>
    <col min="14587" max="14587" width="28.33203125" customWidth="1"/>
    <col min="14588" max="14591" width="11.109375" customWidth="1"/>
    <col min="14592" max="14592" width="9.44140625" customWidth="1"/>
    <col min="14593" max="14593" width="10.109375" customWidth="1"/>
    <col min="14597" max="14597" width="9.88671875" bestFit="1" customWidth="1"/>
    <col min="14598" max="14598" width="7.77734375" customWidth="1"/>
    <col min="14600" max="14601" width="13.5546875" customWidth="1"/>
    <col min="14602" max="14602" width="7.5546875" customWidth="1"/>
    <col min="14603" max="14603" width="8.44140625" customWidth="1"/>
    <col min="14605" max="14605" width="10.109375" customWidth="1"/>
    <col min="14840" max="14840" width="11.44140625" customWidth="1"/>
    <col min="14841" max="14841" width="11.6640625" customWidth="1"/>
    <col min="14842" max="14842" width="24.5546875" bestFit="1" customWidth="1"/>
    <col min="14843" max="14843" width="28.33203125" customWidth="1"/>
    <col min="14844" max="14847" width="11.109375" customWidth="1"/>
    <col min="14848" max="14848" width="9.44140625" customWidth="1"/>
    <col min="14849" max="14849" width="10.109375" customWidth="1"/>
    <col min="14853" max="14853" width="9.88671875" bestFit="1" customWidth="1"/>
    <col min="14854" max="14854" width="7.77734375" customWidth="1"/>
    <col min="14856" max="14857" width="13.5546875" customWidth="1"/>
    <col min="14858" max="14858" width="7.5546875" customWidth="1"/>
    <col min="14859" max="14859" width="8.44140625" customWidth="1"/>
    <col min="14861" max="14861" width="10.109375" customWidth="1"/>
    <col min="15096" max="15096" width="11.44140625" customWidth="1"/>
    <col min="15097" max="15097" width="11.6640625" customWidth="1"/>
    <col min="15098" max="15098" width="24.5546875" bestFit="1" customWidth="1"/>
    <col min="15099" max="15099" width="28.33203125" customWidth="1"/>
    <col min="15100" max="15103" width="11.109375" customWidth="1"/>
    <col min="15104" max="15104" width="9.44140625" customWidth="1"/>
    <col min="15105" max="15105" width="10.109375" customWidth="1"/>
    <col min="15109" max="15109" width="9.88671875" bestFit="1" customWidth="1"/>
    <col min="15110" max="15110" width="7.77734375" customWidth="1"/>
    <col min="15112" max="15113" width="13.5546875" customWidth="1"/>
    <col min="15114" max="15114" width="7.5546875" customWidth="1"/>
    <col min="15115" max="15115" width="8.44140625" customWidth="1"/>
    <col min="15117" max="15117" width="10.109375" customWidth="1"/>
    <col min="15352" max="15352" width="11.44140625" customWidth="1"/>
    <col min="15353" max="15353" width="11.6640625" customWidth="1"/>
    <col min="15354" max="15354" width="24.5546875" bestFit="1" customWidth="1"/>
    <col min="15355" max="15355" width="28.33203125" customWidth="1"/>
    <col min="15356" max="15359" width="11.109375" customWidth="1"/>
    <col min="15360" max="15360" width="9.44140625" customWidth="1"/>
    <col min="15361" max="15361" width="10.109375" customWidth="1"/>
    <col min="15365" max="15365" width="9.88671875" bestFit="1" customWidth="1"/>
    <col min="15366" max="15366" width="7.77734375" customWidth="1"/>
    <col min="15368" max="15369" width="13.5546875" customWidth="1"/>
    <col min="15370" max="15370" width="7.5546875" customWidth="1"/>
    <col min="15371" max="15371" width="8.44140625" customWidth="1"/>
    <col min="15373" max="15373" width="10.109375" customWidth="1"/>
    <col min="15608" max="15608" width="11.44140625" customWidth="1"/>
    <col min="15609" max="15609" width="11.6640625" customWidth="1"/>
    <col min="15610" max="15610" width="24.5546875" bestFit="1" customWidth="1"/>
    <col min="15611" max="15611" width="28.33203125" customWidth="1"/>
    <col min="15612" max="15615" width="11.109375" customWidth="1"/>
    <col min="15616" max="15616" width="9.44140625" customWidth="1"/>
    <col min="15617" max="15617" width="10.109375" customWidth="1"/>
    <col min="15621" max="15621" width="9.88671875" bestFit="1" customWidth="1"/>
    <col min="15622" max="15622" width="7.77734375" customWidth="1"/>
    <col min="15624" max="15625" width="13.5546875" customWidth="1"/>
    <col min="15626" max="15626" width="7.5546875" customWidth="1"/>
    <col min="15627" max="15627" width="8.44140625" customWidth="1"/>
    <col min="15629" max="15629" width="10.109375" customWidth="1"/>
    <col min="15864" max="15864" width="11.44140625" customWidth="1"/>
    <col min="15865" max="15865" width="11.6640625" customWidth="1"/>
    <col min="15866" max="15866" width="24.5546875" bestFit="1" customWidth="1"/>
    <col min="15867" max="15867" width="28.33203125" customWidth="1"/>
    <col min="15868" max="15871" width="11.109375" customWidth="1"/>
    <col min="15872" max="15872" width="9.44140625" customWidth="1"/>
    <col min="15873" max="15873" width="10.109375" customWidth="1"/>
    <col min="15877" max="15877" width="9.88671875" bestFit="1" customWidth="1"/>
    <col min="15878" max="15878" width="7.77734375" customWidth="1"/>
    <col min="15880" max="15881" width="13.5546875" customWidth="1"/>
    <col min="15882" max="15882" width="7.5546875" customWidth="1"/>
    <col min="15883" max="15883" width="8.44140625" customWidth="1"/>
    <col min="15885" max="15885" width="10.109375" customWidth="1"/>
    <col min="16120" max="16120" width="11.44140625" customWidth="1"/>
    <col min="16121" max="16121" width="11.6640625" customWidth="1"/>
    <col min="16122" max="16122" width="24.5546875" bestFit="1" customWidth="1"/>
    <col min="16123" max="16123" width="28.33203125" customWidth="1"/>
    <col min="16124" max="16127" width="11.109375" customWidth="1"/>
    <col min="16128" max="16128" width="9.44140625" customWidth="1"/>
    <col min="16129" max="16129" width="10.109375" customWidth="1"/>
    <col min="16133" max="16133" width="9.88671875" bestFit="1" customWidth="1"/>
    <col min="16134" max="16134" width="7.77734375" customWidth="1"/>
    <col min="16136" max="16137" width="13.5546875" customWidth="1"/>
    <col min="16138" max="16138" width="7.5546875" customWidth="1"/>
    <col min="16139" max="16139" width="8.44140625" customWidth="1"/>
    <col min="16141" max="16141" width="10.109375" customWidth="1"/>
  </cols>
  <sheetData>
    <row r="1" spans="1:22" s="3" customFormat="1" x14ac:dyDescent="0.3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14" t="s">
        <v>5</v>
      </c>
      <c r="H1" s="3" t="s">
        <v>6</v>
      </c>
      <c r="I1" s="3" t="s">
        <v>7</v>
      </c>
      <c r="J1" s="3" t="s">
        <v>9</v>
      </c>
      <c r="K1" s="3" t="s">
        <v>8</v>
      </c>
      <c r="L1" s="3" t="s">
        <v>10</v>
      </c>
      <c r="M1" s="3" t="s">
        <v>11</v>
      </c>
      <c r="N1" s="3" t="s">
        <v>29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</row>
    <row r="2" spans="1:22" x14ac:dyDescent="0.3">
      <c r="A2" t="s">
        <v>30</v>
      </c>
      <c r="B2" t="s">
        <v>31</v>
      </c>
      <c r="C2" t="s">
        <v>32</v>
      </c>
      <c r="D2" t="s">
        <v>28</v>
      </c>
      <c r="E2" t="s">
        <v>33</v>
      </c>
      <c r="F2" t="s">
        <v>34</v>
      </c>
      <c r="G2" s="15" t="s">
        <v>35</v>
      </c>
      <c r="H2">
        <v>83</v>
      </c>
      <c r="I2">
        <v>20.675432086964761</v>
      </c>
      <c r="J2">
        <f>2898/120</f>
        <v>24.15</v>
      </c>
      <c r="K2">
        <v>41.330619806475113</v>
      </c>
      <c r="L2">
        <v>90.85</v>
      </c>
      <c r="M2">
        <f>L2/1000</f>
        <v>9.085E-2</v>
      </c>
      <c r="N2">
        <f>M2*J2</f>
        <v>2.1940274999999998</v>
      </c>
      <c r="O2">
        <v>0.35</v>
      </c>
      <c r="P2">
        <v>2.7</v>
      </c>
      <c r="Q2">
        <v>4</v>
      </c>
      <c r="R2">
        <v>740</v>
      </c>
      <c r="S2">
        <v>11</v>
      </c>
      <c r="T2" t="s">
        <v>20</v>
      </c>
      <c r="U2">
        <v>4</v>
      </c>
      <c r="V2" t="s">
        <v>21</v>
      </c>
    </row>
    <row r="3" spans="1:22" x14ac:dyDescent="0.3">
      <c r="A3" t="s">
        <v>30</v>
      </c>
      <c r="B3" t="s">
        <v>36</v>
      </c>
      <c r="C3" t="s">
        <v>32</v>
      </c>
      <c r="D3" t="s">
        <v>28</v>
      </c>
      <c r="E3" t="s">
        <v>33</v>
      </c>
      <c r="F3" t="s">
        <v>34</v>
      </c>
      <c r="G3" s="15" t="s">
        <v>35</v>
      </c>
      <c r="H3">
        <v>83</v>
      </c>
      <c r="I3">
        <v>13.862947055261882</v>
      </c>
      <c r="J3">
        <f>737/120</f>
        <v>6.1416666666666666</v>
      </c>
      <c r="K3">
        <v>161.74565877171187</v>
      </c>
      <c r="L3">
        <v>78.94</v>
      </c>
      <c r="M3">
        <f>L3/1000</f>
        <v>7.8939999999999996E-2</v>
      </c>
      <c r="N3">
        <f t="shared" ref="N3:N50" si="0">M3*J3</f>
        <v>0.48482316666666664</v>
      </c>
      <c r="O3">
        <v>0.42</v>
      </c>
      <c r="P3">
        <v>4.7699999999999996</v>
      </c>
      <c r="Q3">
        <v>6</v>
      </c>
      <c r="R3">
        <v>400</v>
      </c>
      <c r="S3">
        <v>11</v>
      </c>
      <c r="T3" t="s">
        <v>20</v>
      </c>
      <c r="U3">
        <v>4</v>
      </c>
      <c r="V3" t="s">
        <v>21</v>
      </c>
    </row>
    <row r="4" spans="1:22" x14ac:dyDescent="0.3">
      <c r="A4" t="s">
        <v>30</v>
      </c>
      <c r="B4" t="s">
        <v>37</v>
      </c>
      <c r="C4" t="s">
        <v>32</v>
      </c>
      <c r="D4" t="s">
        <v>28</v>
      </c>
      <c r="E4" t="s">
        <v>33</v>
      </c>
      <c r="F4" t="s">
        <v>34</v>
      </c>
      <c r="G4" s="15" t="s">
        <v>35</v>
      </c>
      <c r="H4">
        <v>83</v>
      </c>
      <c r="I4">
        <v>25.123175299412146</v>
      </c>
      <c r="J4">
        <f>2875/120</f>
        <v>23.958333333333332</v>
      </c>
      <c r="K4">
        <v>41.659714430086034</v>
      </c>
      <c r="L4">
        <v>94.64</v>
      </c>
      <c r="M4">
        <f t="shared" ref="M4:M50" si="1">L4/1000</f>
        <v>9.4640000000000002E-2</v>
      </c>
      <c r="N4">
        <f t="shared" si="0"/>
        <v>2.2674166666666666</v>
      </c>
      <c r="O4">
        <v>0.34</v>
      </c>
      <c r="P4">
        <v>2.4900000000000002</v>
      </c>
      <c r="Q4">
        <v>8</v>
      </c>
      <c r="R4">
        <v>350</v>
      </c>
      <c r="S4">
        <v>10</v>
      </c>
      <c r="T4" t="s">
        <v>20</v>
      </c>
      <c r="U4">
        <v>4</v>
      </c>
      <c r="V4" t="s">
        <v>21</v>
      </c>
    </row>
    <row r="5" spans="1:22" x14ac:dyDescent="0.3">
      <c r="A5" t="s">
        <v>38</v>
      </c>
      <c r="B5" t="s">
        <v>39</v>
      </c>
      <c r="C5" t="s">
        <v>32</v>
      </c>
      <c r="D5" t="s">
        <v>28</v>
      </c>
      <c r="E5" t="s">
        <v>33</v>
      </c>
      <c r="F5" t="s">
        <v>34</v>
      </c>
      <c r="G5" s="15" t="s">
        <v>40</v>
      </c>
      <c r="H5">
        <v>84</v>
      </c>
      <c r="I5">
        <v>17.486456431051987</v>
      </c>
      <c r="J5">
        <f>750/120</f>
        <v>6.25</v>
      </c>
      <c r="K5">
        <v>158.45131259261342</v>
      </c>
      <c r="L5">
        <v>165.8</v>
      </c>
      <c r="M5">
        <f t="shared" si="1"/>
        <v>0.1658</v>
      </c>
      <c r="N5">
        <f t="shared" si="0"/>
        <v>1.0362500000000001</v>
      </c>
      <c r="O5">
        <v>0.48</v>
      </c>
      <c r="P5">
        <v>6.85</v>
      </c>
      <c r="Q5">
        <v>1</v>
      </c>
      <c r="R5">
        <v>235</v>
      </c>
      <c r="S5">
        <v>12</v>
      </c>
      <c r="T5" t="s">
        <v>20</v>
      </c>
      <c r="U5">
        <v>4</v>
      </c>
      <c r="V5" t="s">
        <v>21</v>
      </c>
    </row>
    <row r="6" spans="1:22" x14ac:dyDescent="0.3">
      <c r="A6" t="s">
        <v>38</v>
      </c>
      <c r="B6" t="s">
        <v>41</v>
      </c>
      <c r="C6" t="s">
        <v>32</v>
      </c>
      <c r="D6" t="s">
        <v>28</v>
      </c>
      <c r="E6" t="s">
        <v>33</v>
      </c>
      <c r="F6" t="s">
        <v>34</v>
      </c>
      <c r="G6" s="15" t="s">
        <v>40</v>
      </c>
      <c r="H6">
        <v>84</v>
      </c>
      <c r="I6">
        <v>21.562737113649018</v>
      </c>
      <c r="J6">
        <f>869/120</f>
        <v>7.2416666666666663</v>
      </c>
      <c r="K6">
        <v>137.48640017227422</v>
      </c>
      <c r="L6">
        <v>218.2</v>
      </c>
      <c r="M6">
        <f t="shared" si="1"/>
        <v>0.21819999999999998</v>
      </c>
      <c r="N6">
        <f t="shared" si="0"/>
        <v>1.5801316666666665</v>
      </c>
      <c r="O6">
        <v>0.48</v>
      </c>
      <c r="P6">
        <v>8.2899999999999991</v>
      </c>
      <c r="Q6">
        <v>5</v>
      </c>
      <c r="R6">
        <v>95</v>
      </c>
      <c r="S6">
        <v>11</v>
      </c>
      <c r="T6" t="s">
        <v>20</v>
      </c>
      <c r="U6">
        <v>4</v>
      </c>
      <c r="V6" t="s">
        <v>21</v>
      </c>
    </row>
    <row r="7" spans="1:22" x14ac:dyDescent="0.3">
      <c r="A7" t="s">
        <v>38</v>
      </c>
      <c r="B7" t="s">
        <v>42</v>
      </c>
      <c r="C7" t="s">
        <v>32</v>
      </c>
      <c r="D7" t="s">
        <v>28</v>
      </c>
      <c r="E7" t="s">
        <v>33</v>
      </c>
      <c r="F7" t="s">
        <v>34</v>
      </c>
      <c r="G7" s="15" t="s">
        <v>40</v>
      </c>
      <c r="H7">
        <v>84</v>
      </c>
      <c r="I7">
        <v>18.462324711621072</v>
      </c>
      <c r="J7">
        <f>1982/120</f>
        <v>16.516666666666666</v>
      </c>
      <c r="K7">
        <v>60.321494933475208</v>
      </c>
      <c r="L7">
        <v>55.63</v>
      </c>
      <c r="M7">
        <f t="shared" si="1"/>
        <v>5.5630000000000006E-2</v>
      </c>
      <c r="N7">
        <f t="shared" si="0"/>
        <v>0.91882216666666672</v>
      </c>
      <c r="O7">
        <v>0.3</v>
      </c>
      <c r="P7">
        <v>2.06</v>
      </c>
      <c r="Q7">
        <v>9</v>
      </c>
      <c r="R7">
        <v>850</v>
      </c>
      <c r="S7">
        <v>10</v>
      </c>
      <c r="T7" t="s">
        <v>20</v>
      </c>
      <c r="U7">
        <v>4</v>
      </c>
      <c r="V7" t="s">
        <v>21</v>
      </c>
    </row>
    <row r="8" spans="1:22" x14ac:dyDescent="0.3">
      <c r="A8" t="s">
        <v>43</v>
      </c>
      <c r="B8" t="s">
        <v>44</v>
      </c>
      <c r="C8" t="s">
        <v>32</v>
      </c>
      <c r="D8" t="s">
        <v>28</v>
      </c>
      <c r="E8" t="s">
        <v>33</v>
      </c>
      <c r="F8" t="s">
        <v>34</v>
      </c>
      <c r="G8" s="15" t="s">
        <v>45</v>
      </c>
      <c r="H8">
        <v>88</v>
      </c>
      <c r="I8">
        <v>21.649418425220667</v>
      </c>
      <c r="J8">
        <f>4560/120</f>
        <v>38</v>
      </c>
      <c r="K8">
        <v>26.244256291943906</v>
      </c>
      <c r="L8">
        <v>69.64</v>
      </c>
      <c r="M8">
        <f t="shared" si="1"/>
        <v>6.9640000000000007E-2</v>
      </c>
      <c r="N8">
        <f t="shared" si="0"/>
        <v>2.6463200000000002</v>
      </c>
      <c r="O8">
        <v>0.27</v>
      </c>
      <c r="P8">
        <v>2.57</v>
      </c>
      <c r="Q8">
        <v>1</v>
      </c>
      <c r="R8">
        <v>150</v>
      </c>
      <c r="T8" t="s">
        <v>20</v>
      </c>
      <c r="U8">
        <v>4</v>
      </c>
      <c r="V8" t="s">
        <v>21</v>
      </c>
    </row>
    <row r="9" spans="1:22" x14ac:dyDescent="0.3">
      <c r="A9" t="s">
        <v>43</v>
      </c>
      <c r="B9" t="s">
        <v>46</v>
      </c>
      <c r="C9" t="s">
        <v>32</v>
      </c>
      <c r="D9" t="s">
        <v>28</v>
      </c>
      <c r="E9" t="s">
        <v>33</v>
      </c>
      <c r="F9" t="s">
        <v>34</v>
      </c>
      <c r="G9" s="15" t="s">
        <v>45</v>
      </c>
      <c r="H9">
        <v>88</v>
      </c>
      <c r="I9">
        <v>16.852665996778732</v>
      </c>
      <c r="J9">
        <f>2685/120</f>
        <v>22.375</v>
      </c>
      <c r="K9">
        <v>44.641930842012265</v>
      </c>
      <c r="L9">
        <v>75.81</v>
      </c>
      <c r="M9">
        <f t="shared" si="1"/>
        <v>7.5810000000000002E-2</v>
      </c>
      <c r="N9">
        <f t="shared" si="0"/>
        <v>1.6962487500000001</v>
      </c>
      <c r="O9">
        <v>0.28000000000000003</v>
      </c>
      <c r="P9">
        <v>2.27</v>
      </c>
      <c r="Q9">
        <v>3</v>
      </c>
      <c r="R9">
        <v>250</v>
      </c>
      <c r="S9">
        <v>10</v>
      </c>
      <c r="T9" t="s">
        <v>20</v>
      </c>
      <c r="U9">
        <v>4</v>
      </c>
      <c r="V9" t="s">
        <v>21</v>
      </c>
    </row>
    <row r="10" spans="1:22" x14ac:dyDescent="0.3">
      <c r="A10" t="s">
        <v>43</v>
      </c>
      <c r="B10" t="s">
        <v>47</v>
      </c>
      <c r="C10" t="s">
        <v>32</v>
      </c>
      <c r="D10" t="s">
        <v>28</v>
      </c>
      <c r="E10" t="s">
        <v>33</v>
      </c>
      <c r="F10" t="s">
        <v>34</v>
      </c>
      <c r="G10" s="15" t="s">
        <v>45</v>
      </c>
      <c r="H10">
        <v>88</v>
      </c>
      <c r="I10">
        <v>24.725233507448422</v>
      </c>
      <c r="J10">
        <f>1686/120</f>
        <v>14.05</v>
      </c>
      <c r="K10">
        <v>70.762898535776188</v>
      </c>
      <c r="L10">
        <v>96.58</v>
      </c>
      <c r="M10">
        <f t="shared" si="1"/>
        <v>9.6579999999999999E-2</v>
      </c>
      <c r="N10">
        <f t="shared" si="0"/>
        <v>1.356949</v>
      </c>
      <c r="O10">
        <v>0.27</v>
      </c>
      <c r="P10">
        <v>2.36</v>
      </c>
      <c r="Q10">
        <v>6</v>
      </c>
      <c r="R10">
        <v>300</v>
      </c>
      <c r="S10">
        <v>11</v>
      </c>
      <c r="T10" t="s">
        <v>20</v>
      </c>
      <c r="U10">
        <v>4</v>
      </c>
      <c r="V10" t="s">
        <v>21</v>
      </c>
    </row>
    <row r="11" spans="1:22" x14ac:dyDescent="0.3">
      <c r="A11" t="s">
        <v>43</v>
      </c>
      <c r="B11" t="s">
        <v>48</v>
      </c>
      <c r="C11" t="s">
        <v>32</v>
      </c>
      <c r="D11" t="s">
        <v>28</v>
      </c>
      <c r="E11" t="s">
        <v>33</v>
      </c>
      <c r="F11" t="s">
        <v>34</v>
      </c>
      <c r="G11" s="15" t="s">
        <v>45</v>
      </c>
      <c r="H11">
        <v>88</v>
      </c>
      <c r="I11">
        <v>15.933207366551816</v>
      </c>
      <c r="J11">
        <f>1187/120</f>
        <v>9.8916666666666675</v>
      </c>
      <c r="K11">
        <v>100.14098395564154</v>
      </c>
      <c r="L11">
        <v>78.59</v>
      </c>
      <c r="M11">
        <f t="shared" si="1"/>
        <v>7.8590000000000007E-2</v>
      </c>
      <c r="N11">
        <f t="shared" si="0"/>
        <v>0.77738608333333348</v>
      </c>
      <c r="O11">
        <v>0.31</v>
      </c>
      <c r="P11">
        <v>3.28</v>
      </c>
      <c r="Q11">
        <v>8</v>
      </c>
      <c r="R11">
        <v>265</v>
      </c>
      <c r="S11">
        <v>11</v>
      </c>
      <c r="T11" t="s">
        <v>20</v>
      </c>
      <c r="U11">
        <v>4</v>
      </c>
      <c r="V11" t="s">
        <v>21</v>
      </c>
    </row>
    <row r="12" spans="1:22" x14ac:dyDescent="0.3">
      <c r="A12" t="s">
        <v>43</v>
      </c>
      <c r="B12" t="s">
        <v>49</v>
      </c>
      <c r="C12" t="s">
        <v>32</v>
      </c>
      <c r="D12" t="s">
        <v>28</v>
      </c>
      <c r="E12" t="s">
        <v>33</v>
      </c>
      <c r="F12" t="s">
        <v>34</v>
      </c>
      <c r="G12" s="15" t="s">
        <v>45</v>
      </c>
      <c r="H12">
        <v>88</v>
      </c>
      <c r="I12">
        <v>25.237565300384873</v>
      </c>
      <c r="J12">
        <f>569/120</f>
        <v>4.7416666666666663</v>
      </c>
      <c r="K12">
        <v>209.18261337936738</v>
      </c>
      <c r="L12">
        <v>161.9</v>
      </c>
      <c r="M12">
        <f t="shared" si="1"/>
        <v>0.16190000000000002</v>
      </c>
      <c r="N12">
        <f t="shared" si="0"/>
        <v>0.76767583333333334</v>
      </c>
      <c r="O12">
        <v>0.35</v>
      </c>
      <c r="P12">
        <v>3.85</v>
      </c>
      <c r="Q12">
        <v>10</v>
      </c>
      <c r="R12">
        <v>360</v>
      </c>
      <c r="S12">
        <v>8</v>
      </c>
      <c r="T12" t="s">
        <v>20</v>
      </c>
      <c r="U12">
        <v>4</v>
      </c>
      <c r="V12" t="s">
        <v>21</v>
      </c>
    </row>
    <row r="13" spans="1:22" x14ac:dyDescent="0.3">
      <c r="A13" t="s">
        <v>50</v>
      </c>
      <c r="B13" t="s">
        <v>51</v>
      </c>
      <c r="C13" t="s">
        <v>32</v>
      </c>
      <c r="D13" t="s">
        <v>28</v>
      </c>
      <c r="E13" t="s">
        <v>33</v>
      </c>
      <c r="F13" t="s">
        <v>52</v>
      </c>
      <c r="G13" s="15" t="s">
        <v>53</v>
      </c>
      <c r="H13">
        <v>83</v>
      </c>
      <c r="I13">
        <v>17.761829000891378</v>
      </c>
      <c r="J13">
        <f>626/120</f>
        <v>5.2166666666666668</v>
      </c>
      <c r="K13">
        <v>189.93003890198096</v>
      </c>
      <c r="L13">
        <v>161.69999999999999</v>
      </c>
      <c r="M13">
        <f t="shared" si="1"/>
        <v>0.16169999999999998</v>
      </c>
      <c r="N13">
        <f t="shared" si="0"/>
        <v>0.84353499999999992</v>
      </c>
      <c r="O13">
        <v>0.45</v>
      </c>
      <c r="P13">
        <v>6.5</v>
      </c>
      <c r="Q13">
        <v>3</v>
      </c>
      <c r="R13">
        <v>145</v>
      </c>
      <c r="S13">
        <v>10</v>
      </c>
      <c r="T13" t="s">
        <v>20</v>
      </c>
      <c r="U13">
        <v>4</v>
      </c>
      <c r="V13" t="s">
        <v>21</v>
      </c>
    </row>
    <row r="14" spans="1:22" x14ac:dyDescent="0.3">
      <c r="A14" t="s">
        <v>54</v>
      </c>
      <c r="B14" t="s">
        <v>55</v>
      </c>
      <c r="C14" t="s">
        <v>32</v>
      </c>
      <c r="D14" t="s">
        <v>28</v>
      </c>
      <c r="E14" t="s">
        <v>33</v>
      </c>
      <c r="F14" t="s">
        <v>52</v>
      </c>
      <c r="G14" s="15" t="s">
        <v>56</v>
      </c>
      <c r="H14">
        <v>86</v>
      </c>
      <c r="I14">
        <v>19.889286089782001</v>
      </c>
      <c r="J14">
        <f>867/120</f>
        <v>7.2249999999999996</v>
      </c>
      <c r="K14">
        <v>137.00218113780389</v>
      </c>
      <c r="L14">
        <v>168.5</v>
      </c>
      <c r="M14">
        <f t="shared" si="1"/>
        <v>0.16850000000000001</v>
      </c>
      <c r="N14">
        <f t="shared" si="0"/>
        <v>1.2174125</v>
      </c>
      <c r="O14">
        <v>0.49</v>
      </c>
      <c r="P14">
        <v>5.77</v>
      </c>
      <c r="Q14">
        <v>3</v>
      </c>
      <c r="R14">
        <v>220</v>
      </c>
      <c r="S14">
        <v>11</v>
      </c>
      <c r="T14" t="s">
        <v>20</v>
      </c>
      <c r="U14">
        <v>4</v>
      </c>
      <c r="V14" t="s">
        <v>21</v>
      </c>
    </row>
    <row r="15" spans="1:22" x14ac:dyDescent="0.3">
      <c r="A15" t="s">
        <v>54</v>
      </c>
      <c r="B15" t="s">
        <v>57</v>
      </c>
      <c r="C15" t="s">
        <v>32</v>
      </c>
      <c r="D15" t="s">
        <v>28</v>
      </c>
      <c r="E15" t="s">
        <v>33</v>
      </c>
      <c r="F15" t="s">
        <v>52</v>
      </c>
      <c r="G15" s="15" t="s">
        <v>56</v>
      </c>
      <c r="H15">
        <v>86</v>
      </c>
      <c r="I15">
        <v>37.441839146773894</v>
      </c>
      <c r="J15">
        <f>1818/120</f>
        <v>15.15</v>
      </c>
      <c r="K15">
        <v>65.807860914622466</v>
      </c>
      <c r="L15">
        <v>187.2</v>
      </c>
      <c r="M15">
        <f t="shared" si="1"/>
        <v>0.18719999999999998</v>
      </c>
      <c r="N15">
        <f t="shared" si="0"/>
        <v>2.8360799999999999</v>
      </c>
      <c r="O15">
        <v>0.34</v>
      </c>
      <c r="P15">
        <v>3.82</v>
      </c>
      <c r="Q15">
        <v>7</v>
      </c>
      <c r="R15">
        <v>290</v>
      </c>
      <c r="S15">
        <v>12</v>
      </c>
      <c r="T15" t="s">
        <v>20</v>
      </c>
      <c r="U15">
        <v>4</v>
      </c>
      <c r="V15" t="s">
        <v>21</v>
      </c>
    </row>
    <row r="16" spans="1:22" x14ac:dyDescent="0.3">
      <c r="A16" t="s">
        <v>58</v>
      </c>
      <c r="B16" t="s">
        <v>59</v>
      </c>
      <c r="C16" t="s">
        <v>32</v>
      </c>
      <c r="D16" t="s">
        <v>28</v>
      </c>
      <c r="E16" t="s">
        <v>33</v>
      </c>
      <c r="F16" t="s">
        <v>60</v>
      </c>
      <c r="G16" s="15">
        <v>3</v>
      </c>
      <c r="H16">
        <v>74</v>
      </c>
      <c r="I16">
        <v>24.659938570796889</v>
      </c>
      <c r="J16">
        <f>1546/120</f>
        <v>12.883333333333333</v>
      </c>
      <c r="K16">
        <v>77.014131266803091</v>
      </c>
      <c r="L16">
        <v>132.4</v>
      </c>
      <c r="M16">
        <f t="shared" si="1"/>
        <v>0.13240000000000002</v>
      </c>
      <c r="N16">
        <f t="shared" si="0"/>
        <v>1.7057533333333335</v>
      </c>
      <c r="O16">
        <v>0.31</v>
      </c>
      <c r="P16">
        <v>2.56</v>
      </c>
      <c r="Q16">
        <v>1</v>
      </c>
      <c r="R16">
        <v>235</v>
      </c>
      <c r="S16">
        <v>11</v>
      </c>
      <c r="T16" t="s">
        <v>20</v>
      </c>
      <c r="U16">
        <v>4</v>
      </c>
      <c r="V16" t="s">
        <v>21</v>
      </c>
    </row>
    <row r="17" spans="1:22" x14ac:dyDescent="0.3">
      <c r="A17" t="s">
        <v>58</v>
      </c>
      <c r="B17" t="s">
        <v>61</v>
      </c>
      <c r="C17" t="s">
        <v>32</v>
      </c>
      <c r="D17" t="s">
        <v>28</v>
      </c>
      <c r="E17" t="s">
        <v>33</v>
      </c>
      <c r="F17" t="s">
        <v>60</v>
      </c>
      <c r="G17" s="15">
        <v>3</v>
      </c>
      <c r="H17">
        <v>74</v>
      </c>
      <c r="I17">
        <v>22.980132579602277</v>
      </c>
      <c r="J17">
        <f>2542/120</f>
        <v>21.183333333333334</v>
      </c>
      <c r="K17">
        <v>47.050739964546864</v>
      </c>
      <c r="L17">
        <v>117.9</v>
      </c>
      <c r="M17">
        <f t="shared" si="1"/>
        <v>0.1179</v>
      </c>
      <c r="N17">
        <f t="shared" si="0"/>
        <v>2.4975149999999999</v>
      </c>
      <c r="O17">
        <v>0.36</v>
      </c>
      <c r="P17">
        <v>4.28</v>
      </c>
      <c r="Q17">
        <v>3</v>
      </c>
      <c r="R17">
        <v>175</v>
      </c>
      <c r="S17">
        <v>15</v>
      </c>
      <c r="T17" t="s">
        <v>20</v>
      </c>
      <c r="U17">
        <v>4</v>
      </c>
      <c r="V17" t="s">
        <v>21</v>
      </c>
    </row>
    <row r="18" spans="1:22" x14ac:dyDescent="0.3">
      <c r="A18" t="s">
        <v>58</v>
      </c>
      <c r="B18" t="s">
        <v>62</v>
      </c>
      <c r="C18" t="s">
        <v>32</v>
      </c>
      <c r="D18" t="s">
        <v>28</v>
      </c>
      <c r="E18" t="s">
        <v>33</v>
      </c>
      <c r="F18" t="s">
        <v>60</v>
      </c>
      <c r="G18" s="15">
        <v>3</v>
      </c>
      <c r="H18">
        <v>74</v>
      </c>
      <c r="I18">
        <v>27.40110937549197</v>
      </c>
      <c r="J18">
        <f>1309/120</f>
        <v>10.908333333333333</v>
      </c>
      <c r="K18">
        <v>91.367503926409796</v>
      </c>
      <c r="L18">
        <v>144.19999999999999</v>
      </c>
      <c r="M18">
        <f t="shared" si="1"/>
        <v>0.14419999999999999</v>
      </c>
      <c r="N18">
        <f t="shared" si="0"/>
        <v>1.5729816666666665</v>
      </c>
      <c r="O18">
        <v>0.37</v>
      </c>
      <c r="P18">
        <v>4.2</v>
      </c>
      <c r="Q18">
        <v>5</v>
      </c>
      <c r="R18">
        <v>179</v>
      </c>
      <c r="S18">
        <v>13</v>
      </c>
      <c r="T18" t="s">
        <v>20</v>
      </c>
      <c r="U18">
        <v>4</v>
      </c>
      <c r="V18" t="s">
        <v>21</v>
      </c>
    </row>
    <row r="19" spans="1:22" x14ac:dyDescent="0.3">
      <c r="A19" t="s">
        <v>58</v>
      </c>
      <c r="B19" t="s">
        <v>63</v>
      </c>
      <c r="C19" t="s">
        <v>32</v>
      </c>
      <c r="D19" t="s">
        <v>28</v>
      </c>
      <c r="E19" t="s">
        <v>33</v>
      </c>
      <c r="F19" t="s">
        <v>60</v>
      </c>
      <c r="G19" s="15">
        <v>3</v>
      </c>
      <c r="H19">
        <v>74</v>
      </c>
      <c r="I19">
        <v>28.887056410572217</v>
      </c>
      <c r="J19">
        <f>1655/120</f>
        <v>13.791666666666666</v>
      </c>
      <c r="K19">
        <v>72.232210403010257</v>
      </c>
      <c r="L19">
        <v>189.7</v>
      </c>
      <c r="M19">
        <f t="shared" si="1"/>
        <v>0.18969999999999998</v>
      </c>
      <c r="N19">
        <f t="shared" si="0"/>
        <v>2.6162791666666663</v>
      </c>
      <c r="O19">
        <v>0.46</v>
      </c>
      <c r="P19">
        <v>5.57</v>
      </c>
      <c r="Q19">
        <v>7</v>
      </c>
      <c r="R19">
        <v>285</v>
      </c>
      <c r="S19">
        <v>14</v>
      </c>
      <c r="T19" t="s">
        <v>20</v>
      </c>
      <c r="U19">
        <v>4</v>
      </c>
      <c r="V19" t="s">
        <v>21</v>
      </c>
    </row>
    <row r="20" spans="1:22" x14ac:dyDescent="0.3">
      <c r="A20" t="s">
        <v>58</v>
      </c>
      <c r="B20" t="s">
        <v>64</v>
      </c>
      <c r="C20" t="s">
        <v>32</v>
      </c>
      <c r="D20" t="s">
        <v>28</v>
      </c>
      <c r="E20" t="s">
        <v>33</v>
      </c>
      <c r="F20" t="s">
        <v>60</v>
      </c>
      <c r="G20" s="15">
        <v>3</v>
      </c>
      <c r="H20">
        <v>74</v>
      </c>
      <c r="I20">
        <v>16.279896532187554</v>
      </c>
      <c r="J20">
        <f>1125/120</f>
        <v>9.375</v>
      </c>
      <c r="K20">
        <v>105.92402279229012</v>
      </c>
      <c r="L20">
        <v>123.8</v>
      </c>
      <c r="M20">
        <f t="shared" si="1"/>
        <v>0.12379999999999999</v>
      </c>
      <c r="N20">
        <f t="shared" si="0"/>
        <v>1.160625</v>
      </c>
      <c r="O20">
        <v>0.38</v>
      </c>
      <c r="P20">
        <v>4.8899999999999997</v>
      </c>
      <c r="Q20">
        <v>9</v>
      </c>
      <c r="R20">
        <v>400</v>
      </c>
      <c r="S20">
        <v>11</v>
      </c>
      <c r="T20" t="s">
        <v>20</v>
      </c>
      <c r="U20">
        <v>4</v>
      </c>
      <c r="V20" t="s">
        <v>21</v>
      </c>
    </row>
    <row r="21" spans="1:22" x14ac:dyDescent="0.3">
      <c r="A21" t="s">
        <v>65</v>
      </c>
      <c r="B21" t="s">
        <v>66</v>
      </c>
      <c r="C21" t="s">
        <v>32</v>
      </c>
      <c r="D21" t="s">
        <v>28</v>
      </c>
      <c r="E21" t="s">
        <v>33</v>
      </c>
      <c r="F21" t="s">
        <v>67</v>
      </c>
      <c r="G21" s="15">
        <v>2</v>
      </c>
      <c r="H21">
        <v>64</v>
      </c>
      <c r="I21">
        <v>22.175796678695512</v>
      </c>
      <c r="J21">
        <f>1133/120</f>
        <v>9.4416666666666664</v>
      </c>
      <c r="K21">
        <v>105.3914196165818</v>
      </c>
      <c r="L21">
        <v>129.4</v>
      </c>
      <c r="M21">
        <f t="shared" si="1"/>
        <v>0.12940000000000002</v>
      </c>
      <c r="N21">
        <f t="shared" si="0"/>
        <v>1.2217516666666668</v>
      </c>
      <c r="O21">
        <v>0.38</v>
      </c>
      <c r="P21">
        <v>4.79</v>
      </c>
      <c r="Q21">
        <v>1</v>
      </c>
      <c r="R21">
        <v>200</v>
      </c>
      <c r="S21">
        <v>12</v>
      </c>
      <c r="T21" t="s">
        <v>20</v>
      </c>
      <c r="U21">
        <v>4</v>
      </c>
      <c r="V21" t="s">
        <v>21</v>
      </c>
    </row>
    <row r="22" spans="1:22" x14ac:dyDescent="0.3">
      <c r="A22" t="s">
        <v>65</v>
      </c>
      <c r="B22" t="s">
        <v>68</v>
      </c>
      <c r="C22" t="s">
        <v>32</v>
      </c>
      <c r="D22" t="s">
        <v>28</v>
      </c>
      <c r="E22" t="s">
        <v>33</v>
      </c>
      <c r="F22" t="s">
        <v>67</v>
      </c>
      <c r="G22" s="15">
        <v>2</v>
      </c>
      <c r="H22">
        <v>64</v>
      </c>
      <c r="I22">
        <v>14.926129626728351</v>
      </c>
      <c r="J22">
        <f>1097/120</f>
        <v>9.1416666666666675</v>
      </c>
      <c r="K22">
        <v>109.00584229599279</v>
      </c>
      <c r="L22">
        <v>70.430000000000007</v>
      </c>
      <c r="M22">
        <f t="shared" si="1"/>
        <v>7.0430000000000006E-2</v>
      </c>
      <c r="N22">
        <f t="shared" si="0"/>
        <v>0.64384758333333347</v>
      </c>
      <c r="O22">
        <v>0.34</v>
      </c>
      <c r="P22">
        <v>4.9800000000000004</v>
      </c>
      <c r="Q22">
        <v>3</v>
      </c>
      <c r="R22">
        <v>320</v>
      </c>
      <c r="S22">
        <v>12</v>
      </c>
      <c r="T22" t="s">
        <v>20</v>
      </c>
      <c r="U22">
        <v>4</v>
      </c>
      <c r="V22" t="s">
        <v>21</v>
      </c>
    </row>
    <row r="23" spans="1:22" x14ac:dyDescent="0.3">
      <c r="A23" t="s">
        <v>65</v>
      </c>
      <c r="B23" t="s">
        <v>69</v>
      </c>
      <c r="C23" t="s">
        <v>32</v>
      </c>
      <c r="D23" t="s">
        <v>28</v>
      </c>
      <c r="E23" t="s">
        <v>33</v>
      </c>
      <c r="F23" t="s">
        <v>67</v>
      </c>
      <c r="G23" s="15">
        <v>2</v>
      </c>
      <c r="H23">
        <v>64</v>
      </c>
      <c r="I23">
        <v>25.399564588728005</v>
      </c>
      <c r="J23">
        <f>989/120</f>
        <v>8.2416666666666671</v>
      </c>
      <c r="K23">
        <v>120.25298596139541</v>
      </c>
      <c r="L23">
        <v>123.8</v>
      </c>
      <c r="M23">
        <f t="shared" si="1"/>
        <v>0.12379999999999999</v>
      </c>
      <c r="N23">
        <f t="shared" si="0"/>
        <v>1.0203183333333334</v>
      </c>
      <c r="O23">
        <v>0.37</v>
      </c>
      <c r="P23">
        <v>3.62</v>
      </c>
      <c r="Q23">
        <v>5</v>
      </c>
      <c r="R23">
        <v>315</v>
      </c>
      <c r="S23">
        <v>13</v>
      </c>
      <c r="T23" t="s">
        <v>20</v>
      </c>
      <c r="U23">
        <v>4</v>
      </c>
      <c r="V23" t="s">
        <v>21</v>
      </c>
    </row>
    <row r="24" spans="1:22" x14ac:dyDescent="0.3">
      <c r="A24" t="s">
        <v>65</v>
      </c>
      <c r="B24" t="s">
        <v>70</v>
      </c>
      <c r="C24" t="s">
        <v>32</v>
      </c>
      <c r="D24" t="s">
        <v>28</v>
      </c>
      <c r="E24" t="s">
        <v>33</v>
      </c>
      <c r="F24" t="s">
        <v>67</v>
      </c>
      <c r="G24" s="15">
        <v>2</v>
      </c>
      <c r="H24">
        <v>64</v>
      </c>
      <c r="I24">
        <v>24.160060338940937</v>
      </c>
      <c r="J24">
        <f>779/120</f>
        <v>6.4916666666666663</v>
      </c>
      <c r="K24">
        <v>153.27272912207195</v>
      </c>
      <c r="L24">
        <v>144.30000000000001</v>
      </c>
      <c r="M24">
        <f t="shared" si="1"/>
        <v>0.14430000000000001</v>
      </c>
      <c r="N24">
        <f t="shared" si="0"/>
        <v>0.93674750000000007</v>
      </c>
      <c r="O24">
        <v>0.44</v>
      </c>
      <c r="P24">
        <v>5.83</v>
      </c>
      <c r="Q24">
        <v>7</v>
      </c>
      <c r="R24">
        <v>160</v>
      </c>
      <c r="S24">
        <v>14</v>
      </c>
      <c r="T24" t="s">
        <v>20</v>
      </c>
      <c r="U24">
        <v>4</v>
      </c>
      <c r="V24" t="s">
        <v>21</v>
      </c>
    </row>
    <row r="25" spans="1:22" x14ac:dyDescent="0.3">
      <c r="A25" t="s">
        <v>71</v>
      </c>
      <c r="B25" t="s">
        <v>72</v>
      </c>
      <c r="C25" t="s">
        <v>32</v>
      </c>
      <c r="D25" t="s">
        <v>28</v>
      </c>
      <c r="E25" t="s">
        <v>33</v>
      </c>
      <c r="F25" t="s">
        <v>73</v>
      </c>
      <c r="G25" s="15">
        <v>1</v>
      </c>
      <c r="H25">
        <v>67</v>
      </c>
      <c r="I25">
        <v>21.483214476646232</v>
      </c>
      <c r="J25">
        <f>636/120</f>
        <v>5.3</v>
      </c>
      <c r="K25">
        <v>186.33914368770442</v>
      </c>
      <c r="L25">
        <v>223.7</v>
      </c>
      <c r="M25">
        <f>L25/1000</f>
        <v>0.22369999999999998</v>
      </c>
      <c r="N25">
        <f>M25*J25</f>
        <v>1.1856099999999998</v>
      </c>
      <c r="O25">
        <v>0.48</v>
      </c>
      <c r="P25">
        <v>8.2100000000000009</v>
      </c>
      <c r="Q25">
        <v>1</v>
      </c>
      <c r="R25">
        <v>185</v>
      </c>
      <c r="S25">
        <v>14</v>
      </c>
      <c r="T25" t="s">
        <v>20</v>
      </c>
      <c r="U25">
        <v>4</v>
      </c>
      <c r="V25" t="s">
        <v>21</v>
      </c>
    </row>
    <row r="26" spans="1:22" x14ac:dyDescent="0.3">
      <c r="A26" t="s">
        <v>71</v>
      </c>
      <c r="B26" t="s">
        <v>75</v>
      </c>
      <c r="C26" t="s">
        <v>32</v>
      </c>
      <c r="D26" t="s">
        <v>28</v>
      </c>
      <c r="E26" t="s">
        <v>33</v>
      </c>
      <c r="F26" t="s">
        <v>73</v>
      </c>
      <c r="G26" s="15">
        <v>1</v>
      </c>
      <c r="H26">
        <v>67</v>
      </c>
      <c r="I26">
        <v>13.622833121603712</v>
      </c>
      <c r="J26">
        <f>805/120</f>
        <v>6.708333333333333</v>
      </c>
      <c r="K26">
        <v>148.47745799530017</v>
      </c>
      <c r="L26">
        <v>93.67</v>
      </c>
      <c r="M26">
        <f>L26/1000</f>
        <v>9.3670000000000003E-2</v>
      </c>
      <c r="N26">
        <f>M26*J26</f>
        <v>0.62836958333333337</v>
      </c>
      <c r="O26">
        <v>0.45</v>
      </c>
      <c r="P26">
        <v>4.74</v>
      </c>
      <c r="Q26">
        <v>7</v>
      </c>
      <c r="R26">
        <v>105</v>
      </c>
      <c r="S26">
        <v>16</v>
      </c>
      <c r="T26" t="s">
        <v>20</v>
      </c>
      <c r="U26">
        <v>4</v>
      </c>
      <c r="V26" t="s">
        <v>21</v>
      </c>
    </row>
    <row r="27" spans="1:22" s="1" customFormat="1" x14ac:dyDescent="0.3">
      <c r="A27" s="1" t="s">
        <v>76</v>
      </c>
      <c r="B27" s="1" t="s">
        <v>77</v>
      </c>
      <c r="C27" s="1" t="s">
        <v>32</v>
      </c>
      <c r="D27" s="1" t="s">
        <v>22</v>
      </c>
      <c r="E27" s="1" t="s">
        <v>33</v>
      </c>
      <c r="F27" s="1" t="s">
        <v>60</v>
      </c>
      <c r="G27" s="16">
        <v>4</v>
      </c>
      <c r="H27" s="1">
        <v>71</v>
      </c>
      <c r="I27" s="1">
        <v>17.93698506870723</v>
      </c>
      <c r="J27" s="1">
        <f>871/120</f>
        <v>7.2583333333333337</v>
      </c>
      <c r="K27" s="1">
        <v>136.72217144293921</v>
      </c>
      <c r="L27" s="1">
        <v>135.4</v>
      </c>
      <c r="M27" s="1">
        <f>L27/1000</f>
        <v>0.13539999999999999</v>
      </c>
      <c r="N27" s="1">
        <f t="shared" si="0"/>
        <v>0.98277833333333331</v>
      </c>
      <c r="O27" s="1">
        <v>0.32</v>
      </c>
      <c r="P27" s="1">
        <v>3.9</v>
      </c>
      <c r="Q27" s="1">
        <v>1</v>
      </c>
      <c r="R27" s="1">
        <v>195</v>
      </c>
      <c r="S27" s="1">
        <v>12</v>
      </c>
      <c r="T27" s="1" t="s">
        <v>20</v>
      </c>
      <c r="U27" s="1">
        <v>4</v>
      </c>
      <c r="V27" s="1" t="s">
        <v>21</v>
      </c>
    </row>
    <row r="28" spans="1:22" s="1" customFormat="1" x14ac:dyDescent="0.3">
      <c r="A28" s="1" t="s">
        <v>76</v>
      </c>
      <c r="B28" s="1" t="s">
        <v>79</v>
      </c>
      <c r="C28" s="1" t="s">
        <v>32</v>
      </c>
      <c r="D28" s="1" t="s">
        <v>22</v>
      </c>
      <c r="E28" s="1" t="s">
        <v>33</v>
      </c>
      <c r="F28" s="1" t="s">
        <v>60</v>
      </c>
      <c r="G28" s="16">
        <v>4</v>
      </c>
      <c r="H28" s="1">
        <v>71</v>
      </c>
      <c r="I28" s="1">
        <v>16.383771279567085</v>
      </c>
      <c r="J28" s="1">
        <f>1342/120</f>
        <v>11.183333333333334</v>
      </c>
      <c r="K28" s="1">
        <v>88.914221329443038</v>
      </c>
      <c r="L28" s="1">
        <v>102.7</v>
      </c>
      <c r="M28" s="1">
        <f>L28/1000</f>
        <v>0.1027</v>
      </c>
      <c r="N28" s="1">
        <f t="shared" si="0"/>
        <v>1.1485283333333334</v>
      </c>
      <c r="O28" s="1">
        <v>0.28000000000000003</v>
      </c>
      <c r="P28" s="1">
        <v>3.87</v>
      </c>
      <c r="Q28" s="1">
        <v>5</v>
      </c>
      <c r="R28" s="1">
        <v>150</v>
      </c>
      <c r="S28" s="1">
        <v>13</v>
      </c>
      <c r="T28" s="1" t="s">
        <v>20</v>
      </c>
      <c r="U28" s="1">
        <v>4</v>
      </c>
      <c r="V28" s="1" t="s">
        <v>21</v>
      </c>
    </row>
    <row r="29" spans="1:22" s="1" customFormat="1" x14ac:dyDescent="0.3">
      <c r="A29" s="1" t="s">
        <v>76</v>
      </c>
      <c r="B29" s="1" t="s">
        <v>80</v>
      </c>
      <c r="C29" s="1" t="s">
        <v>32</v>
      </c>
      <c r="D29" s="1" t="s">
        <v>22</v>
      </c>
      <c r="E29" s="1" t="s">
        <v>33</v>
      </c>
      <c r="F29" s="1" t="s">
        <v>60</v>
      </c>
      <c r="G29" s="16">
        <v>4</v>
      </c>
      <c r="H29" s="1">
        <v>71</v>
      </c>
      <c r="I29" s="1">
        <v>18.584075218501745</v>
      </c>
      <c r="J29" s="1">
        <f>2304/120</f>
        <v>19.2</v>
      </c>
      <c r="K29" s="1">
        <v>51.915514183673167</v>
      </c>
      <c r="L29" s="1">
        <v>114.8</v>
      </c>
      <c r="M29" s="1">
        <f>L29/1000</f>
        <v>0.1148</v>
      </c>
      <c r="N29" s="1">
        <f t="shared" si="0"/>
        <v>2.2041599999999999</v>
      </c>
      <c r="O29" s="1">
        <v>0.39</v>
      </c>
      <c r="P29" s="1">
        <v>4.13</v>
      </c>
      <c r="Q29" s="1">
        <v>7</v>
      </c>
      <c r="R29" s="1">
        <v>250</v>
      </c>
      <c r="S29" s="1">
        <v>12</v>
      </c>
      <c r="T29" s="1" t="s">
        <v>20</v>
      </c>
      <c r="U29" s="1">
        <v>4</v>
      </c>
      <c r="V29" s="1" t="s">
        <v>21</v>
      </c>
    </row>
    <row r="30" spans="1:22" s="1" customFormat="1" x14ac:dyDescent="0.3">
      <c r="A30" s="1" t="s">
        <v>81</v>
      </c>
      <c r="B30" s="1" t="s">
        <v>82</v>
      </c>
      <c r="C30" s="1" t="s">
        <v>32</v>
      </c>
      <c r="D30" s="1" t="s">
        <v>22</v>
      </c>
      <c r="E30" s="1" t="s">
        <v>33</v>
      </c>
      <c r="F30" s="1" t="s">
        <v>67</v>
      </c>
      <c r="G30" s="16">
        <v>0</v>
      </c>
      <c r="H30" s="1">
        <v>65</v>
      </c>
      <c r="I30" s="1">
        <v>30.445360735099122</v>
      </c>
      <c r="J30" s="1">
        <f>3381/120</f>
        <v>28.175000000000001</v>
      </c>
      <c r="K30" s="1">
        <v>35.375515761302729</v>
      </c>
      <c r="L30" s="1">
        <v>163.4</v>
      </c>
      <c r="M30" s="1">
        <f t="shared" si="1"/>
        <v>0.16340000000000002</v>
      </c>
      <c r="N30" s="1">
        <f t="shared" si="0"/>
        <v>4.6037950000000007</v>
      </c>
      <c r="O30" s="1">
        <v>0.35</v>
      </c>
      <c r="P30" s="1">
        <v>4.03</v>
      </c>
      <c r="Q30" s="1">
        <v>3</v>
      </c>
      <c r="R30" s="1">
        <v>150</v>
      </c>
      <c r="S30" s="1">
        <v>11</v>
      </c>
      <c r="T30" s="1" t="s">
        <v>20</v>
      </c>
      <c r="U30" s="1">
        <v>4</v>
      </c>
      <c r="V30" s="1" t="s">
        <v>21</v>
      </c>
    </row>
    <row r="31" spans="1:22" s="1" customFormat="1" x14ac:dyDescent="0.3">
      <c r="A31" s="1" t="s">
        <v>81</v>
      </c>
      <c r="B31" s="1" t="s">
        <v>83</v>
      </c>
      <c r="C31" s="1" t="s">
        <v>32</v>
      </c>
      <c r="D31" s="1" t="s">
        <v>22</v>
      </c>
      <c r="E31" s="1" t="s">
        <v>33</v>
      </c>
      <c r="F31" s="1" t="s">
        <v>67</v>
      </c>
      <c r="G31" s="16">
        <v>0</v>
      </c>
      <c r="H31" s="1">
        <v>65</v>
      </c>
      <c r="I31" s="1">
        <v>20.242518855796252</v>
      </c>
      <c r="J31" s="1">
        <f>1654/120</f>
        <v>13.783333333333333</v>
      </c>
      <c r="K31" s="1">
        <v>72.2837730740914</v>
      </c>
      <c r="L31" s="1">
        <v>159.19999999999999</v>
      </c>
      <c r="M31" s="1">
        <f t="shared" si="1"/>
        <v>0.15919999999999998</v>
      </c>
      <c r="N31" s="1">
        <f t="shared" si="0"/>
        <v>2.1943066666666664</v>
      </c>
      <c r="O31" s="1">
        <v>0.46</v>
      </c>
      <c r="P31" s="1">
        <v>6.46</v>
      </c>
      <c r="Q31" s="1">
        <v>5</v>
      </c>
      <c r="R31" s="1">
        <v>165</v>
      </c>
      <c r="S31" s="1">
        <v>14</v>
      </c>
      <c r="T31" s="1" t="s">
        <v>20</v>
      </c>
      <c r="U31" s="1">
        <v>4</v>
      </c>
      <c r="V31" s="1" t="s">
        <v>21</v>
      </c>
    </row>
    <row r="32" spans="1:22" s="1" customFormat="1" x14ac:dyDescent="0.3">
      <c r="A32" s="1" t="s">
        <v>81</v>
      </c>
      <c r="B32" s="1" t="s">
        <v>84</v>
      </c>
      <c r="C32" s="1" t="s">
        <v>32</v>
      </c>
      <c r="D32" s="1" t="s">
        <v>22</v>
      </c>
      <c r="E32" s="1" t="s">
        <v>33</v>
      </c>
      <c r="F32" s="1" t="s">
        <v>67</v>
      </c>
      <c r="G32" s="16">
        <v>0</v>
      </c>
      <c r="H32" s="1">
        <v>65</v>
      </c>
      <c r="I32" s="1">
        <v>15.663859206582377</v>
      </c>
      <c r="J32" s="1">
        <f>4092/120</f>
        <v>34.1</v>
      </c>
      <c r="K32" s="1">
        <v>29.2969935624138</v>
      </c>
      <c r="L32" s="1">
        <v>75.94</v>
      </c>
      <c r="M32" s="1">
        <f t="shared" si="1"/>
        <v>7.5939999999999994E-2</v>
      </c>
      <c r="N32" s="1">
        <f t="shared" si="0"/>
        <v>2.5895539999999997</v>
      </c>
      <c r="O32" s="1">
        <v>0.34</v>
      </c>
      <c r="P32" s="1">
        <v>2.79</v>
      </c>
      <c r="Q32" s="1">
        <v>7</v>
      </c>
      <c r="R32" s="1">
        <v>350</v>
      </c>
      <c r="S32" s="1">
        <v>11</v>
      </c>
      <c r="T32" s="1" t="s">
        <v>20</v>
      </c>
      <c r="U32" s="1">
        <v>4</v>
      </c>
      <c r="V32" s="1" t="s">
        <v>21</v>
      </c>
    </row>
    <row r="33" spans="1:22" s="1" customFormat="1" x14ac:dyDescent="0.3">
      <c r="A33" s="1" t="s">
        <v>81</v>
      </c>
      <c r="B33" s="1" t="s">
        <v>85</v>
      </c>
      <c r="C33" s="1" t="s">
        <v>32</v>
      </c>
      <c r="D33" s="1" t="s">
        <v>22</v>
      </c>
      <c r="E33" s="1" t="s">
        <v>33</v>
      </c>
      <c r="F33" s="1" t="s">
        <v>67</v>
      </c>
      <c r="G33" s="16">
        <v>0</v>
      </c>
      <c r="H33" s="1">
        <v>65</v>
      </c>
      <c r="I33" s="1">
        <v>34.149739381411372</v>
      </c>
      <c r="J33" s="1">
        <f>2434/120</f>
        <v>20.283333333333335</v>
      </c>
      <c r="K33" s="1">
        <v>49.26503001891264</v>
      </c>
      <c r="L33" s="1">
        <v>176</v>
      </c>
      <c r="M33" s="1">
        <f t="shared" si="1"/>
        <v>0.17599999999999999</v>
      </c>
      <c r="N33" s="1">
        <f t="shared" si="0"/>
        <v>3.569866666666667</v>
      </c>
      <c r="O33" s="1">
        <v>0.34</v>
      </c>
      <c r="P33" s="1">
        <v>3.67</v>
      </c>
      <c r="Q33" s="1">
        <v>9</v>
      </c>
      <c r="R33" s="1">
        <v>280</v>
      </c>
      <c r="S33" s="1">
        <v>12</v>
      </c>
      <c r="T33" s="1" t="s">
        <v>20</v>
      </c>
      <c r="U33" s="1">
        <v>4</v>
      </c>
      <c r="V33" s="1" t="s">
        <v>21</v>
      </c>
    </row>
    <row r="34" spans="1:22" s="1" customFormat="1" x14ac:dyDescent="0.3">
      <c r="A34" s="1" t="s">
        <v>81</v>
      </c>
      <c r="B34" s="1" t="s">
        <v>86</v>
      </c>
      <c r="C34" s="1" t="s">
        <v>32</v>
      </c>
      <c r="D34" s="1" t="s">
        <v>22</v>
      </c>
      <c r="E34" s="1" t="s">
        <v>33</v>
      </c>
      <c r="F34" s="1" t="s">
        <v>67</v>
      </c>
      <c r="G34" s="16">
        <v>0</v>
      </c>
      <c r="H34" s="1">
        <v>65</v>
      </c>
      <c r="I34" s="1">
        <v>24.135549431062945</v>
      </c>
      <c r="J34" s="1">
        <f>1590/120</f>
        <v>13.25</v>
      </c>
      <c r="K34" s="1">
        <v>75.027282495808436</v>
      </c>
      <c r="L34" s="1">
        <v>185</v>
      </c>
      <c r="M34" s="1">
        <f t="shared" si="1"/>
        <v>0.185</v>
      </c>
      <c r="N34" s="1">
        <f t="shared" si="0"/>
        <v>2.4512499999999999</v>
      </c>
      <c r="O34" s="1">
        <v>0.38</v>
      </c>
      <c r="P34" s="1">
        <v>5.64</v>
      </c>
      <c r="Q34" s="1">
        <v>11</v>
      </c>
      <c r="R34" s="1">
        <v>210</v>
      </c>
      <c r="S34" s="1">
        <v>14</v>
      </c>
      <c r="T34" s="1" t="s">
        <v>20</v>
      </c>
      <c r="U34" s="1">
        <v>4</v>
      </c>
      <c r="V34" s="1" t="s">
        <v>21</v>
      </c>
    </row>
    <row r="35" spans="1:22" s="1" customFormat="1" x14ac:dyDescent="0.3">
      <c r="A35" s="1" t="s">
        <v>89</v>
      </c>
      <c r="B35" s="1" t="s">
        <v>88</v>
      </c>
      <c r="C35" s="1" t="s">
        <v>32</v>
      </c>
      <c r="D35" s="1" t="s">
        <v>22</v>
      </c>
      <c r="E35" s="1" t="s">
        <v>33</v>
      </c>
      <c r="F35" s="1" t="s">
        <v>67</v>
      </c>
      <c r="G35" s="16">
        <v>0</v>
      </c>
      <c r="H35" s="1">
        <v>66</v>
      </c>
      <c r="I35" s="1">
        <v>17.908192239688148</v>
      </c>
      <c r="J35" s="1">
        <f>1722/120</f>
        <v>14.35</v>
      </c>
      <c r="K35" s="1">
        <v>69.694236632186332</v>
      </c>
      <c r="L35" s="1">
        <v>115.7</v>
      </c>
      <c r="M35" s="1">
        <f t="shared" si="1"/>
        <v>0.1157</v>
      </c>
      <c r="N35" s="1">
        <f t="shared" si="0"/>
        <v>1.6602949999999999</v>
      </c>
      <c r="O35" s="1">
        <v>0.39</v>
      </c>
      <c r="P35" s="1">
        <v>4.7</v>
      </c>
      <c r="Q35" s="1">
        <v>1</v>
      </c>
      <c r="R35" s="1">
        <v>200</v>
      </c>
      <c r="S35" s="1">
        <v>13</v>
      </c>
      <c r="T35" s="1" t="s">
        <v>20</v>
      </c>
      <c r="U35" s="1">
        <v>4</v>
      </c>
      <c r="V35" s="1" t="s">
        <v>21</v>
      </c>
    </row>
    <row r="36" spans="1:22" s="1" customFormat="1" x14ac:dyDescent="0.3">
      <c r="A36" s="1" t="s">
        <v>89</v>
      </c>
      <c r="B36" s="1" t="s">
        <v>90</v>
      </c>
      <c r="C36" s="1" t="s">
        <v>32</v>
      </c>
      <c r="D36" s="1" t="s">
        <v>22</v>
      </c>
      <c r="E36" s="1" t="s">
        <v>33</v>
      </c>
      <c r="F36" s="1" t="s">
        <v>67</v>
      </c>
      <c r="G36" s="16">
        <v>0</v>
      </c>
      <c r="H36" s="1">
        <v>66</v>
      </c>
      <c r="I36" s="1">
        <v>13.973306327848219</v>
      </c>
      <c r="J36" s="1">
        <f>718/120</f>
        <v>5.9833333333333334</v>
      </c>
      <c r="K36" s="1">
        <v>165.11742158058158</v>
      </c>
      <c r="L36" s="1">
        <v>70.959999999999994</v>
      </c>
      <c r="M36" s="1">
        <f t="shared" si="1"/>
        <v>7.0959999999999995E-2</v>
      </c>
      <c r="N36" s="1">
        <f t="shared" si="0"/>
        <v>0.42457733333333331</v>
      </c>
      <c r="O36" s="1">
        <v>0.44</v>
      </c>
      <c r="P36" s="1">
        <v>3.05</v>
      </c>
      <c r="Q36" s="1">
        <v>3</v>
      </c>
      <c r="R36" s="1">
        <v>270</v>
      </c>
      <c r="S36" s="1">
        <v>15</v>
      </c>
      <c r="T36" s="1" t="s">
        <v>20</v>
      </c>
      <c r="U36" s="1">
        <v>4</v>
      </c>
      <c r="V36" s="1" t="s">
        <v>21</v>
      </c>
    </row>
    <row r="37" spans="1:22" s="1" customFormat="1" x14ac:dyDescent="0.3">
      <c r="A37" s="1" t="s">
        <v>91</v>
      </c>
      <c r="B37" s="1" t="s">
        <v>92</v>
      </c>
      <c r="C37" s="1" t="s">
        <v>32</v>
      </c>
      <c r="D37" s="1" t="s">
        <v>22</v>
      </c>
      <c r="E37" s="1" t="s">
        <v>33</v>
      </c>
      <c r="F37" s="1" t="s">
        <v>73</v>
      </c>
      <c r="G37" s="16">
        <v>3</v>
      </c>
      <c r="H37" s="1">
        <v>68</v>
      </c>
      <c r="I37" s="1">
        <v>16.889451507576098</v>
      </c>
      <c r="J37" s="1">
        <f>4671/120</f>
        <v>38.924999999999997</v>
      </c>
      <c r="K37" s="1">
        <v>25.659267508503731</v>
      </c>
      <c r="L37" s="1">
        <v>76</v>
      </c>
      <c r="M37" s="1">
        <f t="shared" si="1"/>
        <v>7.5999999999999998E-2</v>
      </c>
      <c r="N37" s="1">
        <f t="shared" si="0"/>
        <v>2.9582999999999999</v>
      </c>
      <c r="O37" s="1">
        <v>0.4</v>
      </c>
      <c r="P37" s="1">
        <v>2.96</v>
      </c>
      <c r="Q37" s="1">
        <v>1</v>
      </c>
      <c r="R37" s="1">
        <v>450</v>
      </c>
      <c r="S37" s="1">
        <v>11</v>
      </c>
      <c r="T37" s="1" t="s">
        <v>20</v>
      </c>
      <c r="U37" s="1">
        <v>4</v>
      </c>
      <c r="V37" s="1" t="s">
        <v>21</v>
      </c>
    </row>
    <row r="38" spans="1:22" s="1" customFormat="1" x14ac:dyDescent="0.3">
      <c r="A38" s="1" t="s">
        <v>91</v>
      </c>
      <c r="B38" s="1" t="s">
        <v>93</v>
      </c>
      <c r="C38" s="1" t="s">
        <v>32</v>
      </c>
      <c r="D38" s="1" t="s">
        <v>22</v>
      </c>
      <c r="E38" s="1" t="s">
        <v>33</v>
      </c>
      <c r="F38" s="1" t="s">
        <v>73</v>
      </c>
      <c r="G38" s="16">
        <v>3</v>
      </c>
      <c r="H38" s="1">
        <v>68</v>
      </c>
      <c r="I38" s="1">
        <v>15.858024598186887</v>
      </c>
      <c r="J38" s="1">
        <f>1830/120</f>
        <v>15.25</v>
      </c>
      <c r="K38" s="1">
        <v>65.181260664538755</v>
      </c>
      <c r="L38" s="1">
        <v>88.86</v>
      </c>
      <c r="M38" s="1">
        <f t="shared" si="1"/>
        <v>8.8859999999999995E-2</v>
      </c>
      <c r="N38" s="1">
        <f t="shared" si="0"/>
        <v>1.3551149999999998</v>
      </c>
      <c r="O38" s="1">
        <v>0.35</v>
      </c>
      <c r="P38" s="1">
        <v>5.44</v>
      </c>
      <c r="Q38" s="1">
        <v>5</v>
      </c>
      <c r="R38" s="1">
        <v>140</v>
      </c>
      <c r="S38" s="1">
        <v>14</v>
      </c>
      <c r="T38" s="1" t="s">
        <v>20</v>
      </c>
      <c r="U38" s="1">
        <v>4</v>
      </c>
      <c r="V38" s="1" t="s">
        <v>21</v>
      </c>
    </row>
    <row r="39" spans="1:22" s="1" customFormat="1" x14ac:dyDescent="0.3">
      <c r="A39" s="1" t="s">
        <v>91</v>
      </c>
      <c r="B39" s="1" t="s">
        <v>94</v>
      </c>
      <c r="C39" s="1" t="s">
        <v>32</v>
      </c>
      <c r="D39" s="1" t="s">
        <v>22</v>
      </c>
      <c r="E39" s="1" t="s">
        <v>33</v>
      </c>
      <c r="F39" s="1" t="s">
        <v>73</v>
      </c>
      <c r="G39" s="16">
        <v>3</v>
      </c>
      <c r="H39" s="1">
        <v>68</v>
      </c>
      <c r="I39" s="1">
        <v>27.239302176397779</v>
      </c>
      <c r="J39" s="1">
        <f>1380/120</f>
        <v>11.5</v>
      </c>
      <c r="K39" s="1">
        <v>86.584754878784992</v>
      </c>
      <c r="L39" s="1">
        <v>224.4</v>
      </c>
      <c r="M39" s="1">
        <f t="shared" si="1"/>
        <v>0.22440000000000002</v>
      </c>
      <c r="N39" s="1">
        <f t="shared" si="0"/>
        <v>2.5806</v>
      </c>
      <c r="O39" s="1">
        <v>0.52</v>
      </c>
      <c r="P39" s="1">
        <v>6.35</v>
      </c>
      <c r="Q39" s="1">
        <v>7</v>
      </c>
      <c r="R39" s="1">
        <v>160</v>
      </c>
      <c r="S39" s="1">
        <v>15</v>
      </c>
      <c r="T39" s="1" t="s">
        <v>20</v>
      </c>
      <c r="U39" s="1">
        <v>4</v>
      </c>
      <c r="V39" s="1" t="s">
        <v>21</v>
      </c>
    </row>
    <row r="40" spans="1:22" s="1" customFormat="1" x14ac:dyDescent="0.3">
      <c r="A40" s="1" t="s">
        <v>91</v>
      </c>
      <c r="B40" s="1" t="s">
        <v>95</v>
      </c>
      <c r="C40" s="1" t="s">
        <v>32</v>
      </c>
      <c r="D40" s="1" t="s">
        <v>22</v>
      </c>
      <c r="E40" s="1" t="s">
        <v>33</v>
      </c>
      <c r="F40" s="1" t="s">
        <v>73</v>
      </c>
      <c r="G40" s="16">
        <v>3</v>
      </c>
      <c r="H40" s="1">
        <v>68</v>
      </c>
      <c r="I40" s="1">
        <v>10.560301776719797</v>
      </c>
      <c r="J40" s="1">
        <f>2209/120</f>
        <v>18.408333333333335</v>
      </c>
      <c r="K40" s="1">
        <v>54.19247191859592</v>
      </c>
      <c r="L40" s="1">
        <v>39.44</v>
      </c>
      <c r="M40" s="1">
        <f t="shared" si="1"/>
        <v>3.9439999999999996E-2</v>
      </c>
      <c r="N40" s="1">
        <f t="shared" si="0"/>
        <v>0.72602466666666665</v>
      </c>
      <c r="O40" s="1">
        <v>0.32</v>
      </c>
      <c r="P40" s="1">
        <v>2.93</v>
      </c>
      <c r="Q40" s="1">
        <v>9</v>
      </c>
      <c r="R40" s="1">
        <v>190</v>
      </c>
      <c r="S40" s="1">
        <v>13</v>
      </c>
      <c r="T40" s="1" t="s">
        <v>20</v>
      </c>
      <c r="U40" s="1">
        <v>4</v>
      </c>
      <c r="V40" s="1" t="s">
        <v>21</v>
      </c>
    </row>
    <row r="41" spans="1:22" s="1" customFormat="1" x14ac:dyDescent="0.3">
      <c r="A41" s="1" t="s">
        <v>96</v>
      </c>
      <c r="B41" s="1" t="s">
        <v>97</v>
      </c>
      <c r="C41" s="1" t="s">
        <v>32</v>
      </c>
      <c r="D41" s="1" t="s">
        <v>78</v>
      </c>
      <c r="E41" s="1" t="s">
        <v>33</v>
      </c>
      <c r="F41" s="1" t="s">
        <v>98</v>
      </c>
      <c r="G41" s="16">
        <v>0</v>
      </c>
      <c r="H41" s="1">
        <v>81</v>
      </c>
      <c r="I41" s="1">
        <v>12.021169018327498</v>
      </c>
      <c r="J41" s="1">
        <f>916/120</f>
        <v>7.6333333333333337</v>
      </c>
      <c r="K41" s="1">
        <v>130.14802292765225</v>
      </c>
      <c r="L41" s="1">
        <v>85.35</v>
      </c>
      <c r="M41" s="1">
        <f t="shared" si="1"/>
        <v>8.5349999999999995E-2</v>
      </c>
      <c r="N41" s="1">
        <f t="shared" si="0"/>
        <v>0.651505</v>
      </c>
      <c r="O41" s="1">
        <v>0.55000000000000004</v>
      </c>
      <c r="P41" s="1">
        <v>3.99</v>
      </c>
      <c r="Q41" s="1">
        <v>5</v>
      </c>
      <c r="R41" s="1">
        <v>100</v>
      </c>
      <c r="S41" s="1">
        <v>13</v>
      </c>
      <c r="T41" s="1" t="s">
        <v>20</v>
      </c>
      <c r="U41" s="1">
        <v>4</v>
      </c>
      <c r="V41" s="1" t="s">
        <v>21</v>
      </c>
    </row>
    <row r="42" spans="1:22" s="12" customFormat="1" x14ac:dyDescent="0.3">
      <c r="A42" s="1" t="s">
        <v>99</v>
      </c>
      <c r="B42" s="12" t="s">
        <v>100</v>
      </c>
      <c r="C42" s="1" t="s">
        <v>32</v>
      </c>
      <c r="D42" s="1" t="s">
        <v>78</v>
      </c>
      <c r="E42" s="1" t="s">
        <v>33</v>
      </c>
      <c r="F42" s="1" t="s">
        <v>101</v>
      </c>
      <c r="G42" s="16">
        <v>3</v>
      </c>
      <c r="H42" s="1">
        <v>78</v>
      </c>
      <c r="I42" s="12">
        <v>11.040496239129711</v>
      </c>
      <c r="J42" s="12">
        <f>424/120</f>
        <v>3.5333333333333332</v>
      </c>
      <c r="K42" s="12">
        <v>276.80045998200472</v>
      </c>
      <c r="L42" s="12">
        <v>94.55</v>
      </c>
      <c r="M42" s="1">
        <f t="shared" si="1"/>
        <v>9.4549999999999995E-2</v>
      </c>
      <c r="N42" s="1">
        <f t="shared" si="0"/>
        <v>0.33407666666666663</v>
      </c>
      <c r="O42" s="12">
        <v>0.65</v>
      </c>
      <c r="P42" s="12">
        <v>8.57</v>
      </c>
      <c r="Q42" s="12">
        <v>1</v>
      </c>
      <c r="R42" s="12">
        <v>50</v>
      </c>
      <c r="S42" s="12">
        <v>15</v>
      </c>
      <c r="T42" s="1" t="s">
        <v>20</v>
      </c>
      <c r="U42" s="1">
        <v>4</v>
      </c>
      <c r="V42" s="1" t="s">
        <v>21</v>
      </c>
    </row>
    <row r="43" spans="1:22" s="12" customFormat="1" x14ac:dyDescent="0.3">
      <c r="A43" s="1" t="s">
        <v>99</v>
      </c>
      <c r="B43" s="12" t="s">
        <v>102</v>
      </c>
      <c r="C43" s="1" t="s">
        <v>32</v>
      </c>
      <c r="D43" s="1" t="s">
        <v>78</v>
      </c>
      <c r="E43" s="1" t="s">
        <v>33</v>
      </c>
      <c r="F43" s="1" t="s">
        <v>101</v>
      </c>
      <c r="G43" s="16">
        <v>3</v>
      </c>
      <c r="H43" s="1">
        <v>78</v>
      </c>
      <c r="I43" s="12">
        <v>17.407041079950375</v>
      </c>
      <c r="J43" s="12">
        <f>645/120</f>
        <v>5.375</v>
      </c>
      <c r="K43" s="12">
        <v>184.17009481103887</v>
      </c>
      <c r="L43" s="12">
        <v>165.5</v>
      </c>
      <c r="M43" s="1">
        <f t="shared" si="1"/>
        <v>0.16550000000000001</v>
      </c>
      <c r="N43" s="1">
        <f t="shared" si="0"/>
        <v>0.88956250000000003</v>
      </c>
      <c r="O43" s="1">
        <v>0.99</v>
      </c>
      <c r="P43" s="1">
        <v>8.36</v>
      </c>
      <c r="Q43" s="12">
        <v>3</v>
      </c>
      <c r="R43" s="12">
        <v>130</v>
      </c>
      <c r="S43" s="12">
        <v>15</v>
      </c>
      <c r="T43" s="1" t="s">
        <v>20</v>
      </c>
      <c r="U43" s="1">
        <v>4</v>
      </c>
      <c r="V43" s="1" t="s">
        <v>21</v>
      </c>
    </row>
    <row r="44" spans="1:22" s="12" customFormat="1" x14ac:dyDescent="0.3">
      <c r="A44" s="1" t="s">
        <v>99</v>
      </c>
      <c r="B44" s="12" t="s">
        <v>103</v>
      </c>
      <c r="C44" s="1" t="s">
        <v>32</v>
      </c>
      <c r="D44" s="1" t="s">
        <v>78</v>
      </c>
      <c r="E44" s="1" t="s">
        <v>33</v>
      </c>
      <c r="F44" s="1" t="s">
        <v>101</v>
      </c>
      <c r="G44" s="16">
        <v>3</v>
      </c>
      <c r="H44" s="1">
        <v>78</v>
      </c>
      <c r="I44" s="12">
        <v>22.009466147861247</v>
      </c>
      <c r="J44" s="12">
        <f>836/120</f>
        <v>6.9666666666666668</v>
      </c>
      <c r="K44" s="12">
        <v>142.2872731322939</v>
      </c>
      <c r="L44" s="12">
        <v>159.69999999999999</v>
      </c>
      <c r="M44" s="1">
        <f t="shared" si="1"/>
        <v>0.15969999999999998</v>
      </c>
      <c r="N44" s="1">
        <f t="shared" si="0"/>
        <v>1.1125766666666665</v>
      </c>
      <c r="O44" s="1">
        <v>0.7</v>
      </c>
      <c r="P44" s="1">
        <v>6.01</v>
      </c>
      <c r="Q44" s="12">
        <v>7</v>
      </c>
      <c r="R44" s="12">
        <v>280</v>
      </c>
      <c r="S44" s="12">
        <v>13</v>
      </c>
      <c r="T44" s="1" t="s">
        <v>20</v>
      </c>
      <c r="U44" s="1">
        <v>4</v>
      </c>
      <c r="V44" s="1" t="s">
        <v>21</v>
      </c>
    </row>
    <row r="45" spans="1:22" s="12" customFormat="1" x14ac:dyDescent="0.3">
      <c r="A45" s="1" t="s">
        <v>99</v>
      </c>
      <c r="B45" s="12" t="s">
        <v>104</v>
      </c>
      <c r="C45" s="1" t="s">
        <v>32</v>
      </c>
      <c r="D45" s="1" t="s">
        <v>78</v>
      </c>
      <c r="E45" s="1" t="s">
        <v>33</v>
      </c>
      <c r="F45" s="1" t="s">
        <v>101</v>
      </c>
      <c r="G45" s="16">
        <v>3</v>
      </c>
      <c r="H45" s="1">
        <v>78</v>
      </c>
      <c r="I45" s="12">
        <v>25.471984355659721</v>
      </c>
      <c r="J45" s="12">
        <f>870/120</f>
        <v>7.25</v>
      </c>
      <c r="K45" s="12">
        <v>137.08491712925664</v>
      </c>
      <c r="L45" s="12">
        <v>190.3</v>
      </c>
      <c r="M45" s="1">
        <f t="shared" si="1"/>
        <v>0.19030000000000002</v>
      </c>
      <c r="N45" s="1">
        <f t="shared" si="0"/>
        <v>1.3796750000000002</v>
      </c>
      <c r="O45" s="1">
        <v>0.62</v>
      </c>
      <c r="P45" s="1">
        <v>5.46</v>
      </c>
      <c r="Q45" s="12">
        <v>10</v>
      </c>
      <c r="R45" s="12">
        <v>160</v>
      </c>
      <c r="S45" s="12">
        <v>14</v>
      </c>
      <c r="T45" s="1" t="s">
        <v>20</v>
      </c>
      <c r="U45" s="1">
        <v>4</v>
      </c>
      <c r="V45" s="1" t="s">
        <v>21</v>
      </c>
    </row>
    <row r="46" spans="1:22" s="12" customFormat="1" x14ac:dyDescent="0.3">
      <c r="A46" s="1" t="s">
        <v>99</v>
      </c>
      <c r="B46" s="12" t="s">
        <v>105</v>
      </c>
      <c r="C46" s="1" t="s">
        <v>32</v>
      </c>
      <c r="D46" s="1" t="s">
        <v>78</v>
      </c>
      <c r="E46" s="1" t="s">
        <v>33</v>
      </c>
      <c r="F46" s="1" t="s">
        <v>101</v>
      </c>
      <c r="G46" s="16">
        <v>3</v>
      </c>
      <c r="H46" s="1">
        <v>78</v>
      </c>
      <c r="I46" s="12">
        <v>28.347300452010156</v>
      </c>
      <c r="J46" s="12">
        <f>4447/120</f>
        <v>37.05833333333333</v>
      </c>
      <c r="K46" s="12">
        <v>26.923094146521716</v>
      </c>
      <c r="L46" s="12">
        <v>203.4</v>
      </c>
      <c r="M46" s="1">
        <f t="shared" si="1"/>
        <v>0.2034</v>
      </c>
      <c r="N46" s="1">
        <f t="shared" si="0"/>
        <v>7.5376649999999996</v>
      </c>
      <c r="O46" s="1">
        <v>0.54</v>
      </c>
      <c r="P46" s="1">
        <v>4.53</v>
      </c>
      <c r="Q46" s="12">
        <v>12</v>
      </c>
      <c r="R46" s="12">
        <v>275</v>
      </c>
      <c r="S46" s="12">
        <v>14</v>
      </c>
      <c r="T46" s="1" t="s">
        <v>20</v>
      </c>
      <c r="U46" s="1">
        <v>4</v>
      </c>
      <c r="V46" s="1" t="s">
        <v>21</v>
      </c>
    </row>
    <row r="47" spans="1:22" s="12" customFormat="1" x14ac:dyDescent="0.3">
      <c r="A47" s="1" t="s">
        <v>106</v>
      </c>
      <c r="B47" s="12" t="s">
        <v>107</v>
      </c>
      <c r="C47" s="1" t="s">
        <v>32</v>
      </c>
      <c r="D47" s="1" t="s">
        <v>78</v>
      </c>
      <c r="E47" s="1" t="s">
        <v>33</v>
      </c>
      <c r="F47" s="1" t="s">
        <v>101</v>
      </c>
      <c r="G47" s="16">
        <v>2</v>
      </c>
      <c r="H47" s="1">
        <v>79</v>
      </c>
      <c r="I47" s="12">
        <v>12.386812346387462</v>
      </c>
      <c r="J47" s="12">
        <f>462/120</f>
        <v>3.85</v>
      </c>
      <c r="K47" s="12">
        <v>256.25335548505439</v>
      </c>
      <c r="L47" s="12">
        <v>199.6</v>
      </c>
      <c r="M47" s="1">
        <f t="shared" si="1"/>
        <v>0.1996</v>
      </c>
      <c r="N47" s="1">
        <f t="shared" si="0"/>
        <v>0.76846000000000003</v>
      </c>
      <c r="O47" s="1">
        <v>0.6</v>
      </c>
      <c r="P47" s="1">
        <v>8.0299999999999994</v>
      </c>
      <c r="Q47" s="12">
        <v>4</v>
      </c>
      <c r="R47" s="1">
        <v>115</v>
      </c>
      <c r="S47" s="1">
        <v>15</v>
      </c>
      <c r="T47" s="1" t="s">
        <v>20</v>
      </c>
      <c r="U47" s="1">
        <v>4</v>
      </c>
      <c r="V47" s="1" t="s">
        <v>21</v>
      </c>
    </row>
    <row r="48" spans="1:22" s="12" customFormat="1" x14ac:dyDescent="0.3">
      <c r="A48" s="1" t="s">
        <v>106</v>
      </c>
      <c r="B48" s="12" t="s">
        <v>108</v>
      </c>
      <c r="C48" s="1" t="s">
        <v>32</v>
      </c>
      <c r="D48" s="1" t="s">
        <v>78</v>
      </c>
      <c r="E48" s="1" t="s">
        <v>33</v>
      </c>
      <c r="F48" s="1" t="s">
        <v>101</v>
      </c>
      <c r="G48" s="16">
        <v>2</v>
      </c>
      <c r="H48" s="1">
        <v>79</v>
      </c>
      <c r="I48" s="12">
        <v>24.224144746359432</v>
      </c>
      <c r="J48" s="12">
        <f>4118/120</f>
        <v>34.31666666666667</v>
      </c>
      <c r="K48" s="12">
        <v>29.078097696750831</v>
      </c>
      <c r="L48" s="12">
        <v>127.3</v>
      </c>
      <c r="M48" s="1">
        <f t="shared" si="1"/>
        <v>0.1273</v>
      </c>
      <c r="N48" s="1">
        <f t="shared" si="0"/>
        <v>4.3685116666666666</v>
      </c>
      <c r="O48" s="1">
        <v>0.49</v>
      </c>
      <c r="P48" s="1">
        <v>3.22</v>
      </c>
      <c r="Q48" s="12">
        <v>6</v>
      </c>
      <c r="R48" s="1">
        <v>250</v>
      </c>
      <c r="S48" s="1">
        <v>13</v>
      </c>
      <c r="T48" s="1" t="s">
        <v>20</v>
      </c>
      <c r="U48" s="1">
        <v>4</v>
      </c>
      <c r="V48" s="1" t="s">
        <v>21</v>
      </c>
    </row>
    <row r="49" spans="1:22" s="12" customFormat="1" x14ac:dyDescent="0.3">
      <c r="A49" s="1" t="s">
        <v>106</v>
      </c>
      <c r="B49" s="12" t="s">
        <v>109</v>
      </c>
      <c r="C49" s="1" t="s">
        <v>32</v>
      </c>
      <c r="D49" s="1" t="s">
        <v>78</v>
      </c>
      <c r="E49" s="1" t="s">
        <v>33</v>
      </c>
      <c r="F49" s="1" t="s">
        <v>101</v>
      </c>
      <c r="G49" s="16">
        <v>2</v>
      </c>
      <c r="H49" s="1">
        <v>79</v>
      </c>
      <c r="I49" s="12">
        <v>15.250954934398477</v>
      </c>
      <c r="J49" s="12">
        <f>655/120</f>
        <v>5.458333333333333</v>
      </c>
      <c r="K49" s="12">
        <v>181.12402112348184</v>
      </c>
      <c r="L49" s="12">
        <v>159.5</v>
      </c>
      <c r="M49" s="1">
        <f t="shared" si="1"/>
        <v>0.1595</v>
      </c>
      <c r="N49" s="1">
        <f t="shared" si="0"/>
        <v>0.87060416666666662</v>
      </c>
      <c r="O49" s="1">
        <v>0.86</v>
      </c>
      <c r="P49" s="1">
        <v>6.75</v>
      </c>
      <c r="Q49" s="12">
        <v>10</v>
      </c>
      <c r="R49" s="1">
        <v>155</v>
      </c>
      <c r="S49" s="1">
        <v>13</v>
      </c>
      <c r="T49" s="1" t="s">
        <v>20</v>
      </c>
      <c r="U49" s="1">
        <v>4</v>
      </c>
      <c r="V49" s="1" t="s">
        <v>21</v>
      </c>
    </row>
    <row r="50" spans="1:22" s="12" customFormat="1" x14ac:dyDescent="0.3">
      <c r="A50" s="1" t="s">
        <v>106</v>
      </c>
      <c r="B50" s="12" t="s">
        <v>110</v>
      </c>
      <c r="C50" s="1" t="s">
        <v>32</v>
      </c>
      <c r="D50" s="1" t="s">
        <v>78</v>
      </c>
      <c r="E50" s="1" t="s">
        <v>33</v>
      </c>
      <c r="F50" s="1" t="s">
        <v>101</v>
      </c>
      <c r="G50" s="16">
        <v>2</v>
      </c>
      <c r="H50" s="1">
        <v>79</v>
      </c>
      <c r="I50" s="12">
        <v>17.026723134291764</v>
      </c>
      <c r="J50" s="12">
        <f>1820/120</f>
        <v>15.166666666666666</v>
      </c>
      <c r="K50" s="12">
        <v>65.5842185530704</v>
      </c>
      <c r="L50" s="12">
        <v>87.42</v>
      </c>
      <c r="M50" s="1">
        <f t="shared" si="1"/>
        <v>8.7419999999999998E-2</v>
      </c>
      <c r="N50" s="1">
        <f t="shared" si="0"/>
        <v>1.3258699999999999</v>
      </c>
      <c r="O50" s="1">
        <v>0.48</v>
      </c>
      <c r="P50" s="1">
        <v>3.75</v>
      </c>
      <c r="Q50" s="12">
        <v>12</v>
      </c>
      <c r="R50" s="1">
        <v>220</v>
      </c>
      <c r="S50" s="1">
        <v>13</v>
      </c>
      <c r="T50" s="1" t="s">
        <v>20</v>
      </c>
      <c r="U50" s="1">
        <v>4</v>
      </c>
      <c r="V50" s="1" t="s">
        <v>21</v>
      </c>
    </row>
    <row r="51" spans="1:22" s="4" customFormat="1" x14ac:dyDescent="0.3">
      <c r="A51"/>
      <c r="C51"/>
      <c r="D51"/>
      <c r="E51"/>
      <c r="F51"/>
      <c r="G51" s="15"/>
      <c r="H51"/>
      <c r="M51"/>
      <c r="N51"/>
      <c r="Q51"/>
    </row>
    <row r="52" spans="1:22" s="4" customFormat="1" x14ac:dyDescent="0.3">
      <c r="A52"/>
      <c r="C52"/>
      <c r="D52"/>
      <c r="E52"/>
      <c r="F52"/>
      <c r="G52" s="15"/>
      <c r="H52"/>
      <c r="M52"/>
      <c r="N52"/>
      <c r="O52"/>
      <c r="P52"/>
      <c r="Q52"/>
    </row>
    <row r="53" spans="1:22" s="4" customFormat="1" x14ac:dyDescent="0.3">
      <c r="F53" t="s">
        <v>28</v>
      </c>
      <c r="G53" s="17"/>
      <c r="H53" t="s">
        <v>25</v>
      </c>
      <c r="I53" s="5">
        <f t="shared" ref="I53:P53" si="2">AVERAGE(I2,I3,I4,I5,I6,I7,I8,I9,I10,I11,I12,I13,I17,I18,I19,I20,I21,I22,I23,I24:I26,I14,I15:I16)</f>
        <v>21.545593993271449</v>
      </c>
      <c r="J53" s="5">
        <f t="shared" si="2"/>
        <v>12.574999999999999</v>
      </c>
      <c r="K53" s="5">
        <f t="shared" si="2"/>
        <v>106.44144606791562</v>
      </c>
      <c r="L53" s="5">
        <f t="shared" si="2"/>
        <v>127.89120000000001</v>
      </c>
      <c r="M53" s="5">
        <f t="shared" si="2"/>
        <v>0.12789119999999998</v>
      </c>
      <c r="N53" s="5">
        <f t="shared" si="2"/>
        <v>1.4325150866666667</v>
      </c>
      <c r="O53" s="5">
        <f t="shared" si="2"/>
        <v>0.37880000000000003</v>
      </c>
      <c r="P53" s="5">
        <f t="shared" si="2"/>
        <v>4.45</v>
      </c>
      <c r="Q53"/>
      <c r="R53"/>
      <c r="S53"/>
    </row>
    <row r="54" spans="1:22" x14ac:dyDescent="0.3">
      <c r="A54" s="4"/>
      <c r="H54" t="s">
        <v>23</v>
      </c>
      <c r="I54" s="5">
        <f t="shared" ref="I54:P54" si="3">STDEV(I2,I3,I4,I5,I6,I7,I8,I9,I10,I11,I12,I13,I17,I18,I19,I20,I21,I22,I23,I24:I26,I14,I15:I16)</f>
        <v>5.4080702671758658</v>
      </c>
      <c r="J54" s="5">
        <f t="shared" si="3"/>
        <v>8.0233293374638084</v>
      </c>
      <c r="K54" s="5">
        <f t="shared" si="3"/>
        <v>52.160943967365526</v>
      </c>
      <c r="L54" s="5">
        <f t="shared" si="3"/>
        <v>47.799455481556791</v>
      </c>
      <c r="M54" s="5">
        <f t="shared" si="3"/>
        <v>4.7799455481556868E-2</v>
      </c>
      <c r="N54" s="5">
        <f t="shared" si="3"/>
        <v>0.70398541495289446</v>
      </c>
      <c r="O54" s="5">
        <f t="shared" si="3"/>
        <v>7.1023470299143618E-2</v>
      </c>
      <c r="P54" s="5">
        <f t="shared" si="3"/>
        <v>1.7827039387776455</v>
      </c>
    </row>
    <row r="55" spans="1:22" x14ac:dyDescent="0.3">
      <c r="H55" t="s">
        <v>24</v>
      </c>
      <c r="I55" s="5">
        <f>I54/SQRT(25)</f>
        <v>1.0816140534351733</v>
      </c>
      <c r="J55" s="5">
        <f t="shared" ref="J55:P55" si="4">J54/SQRT(25)</f>
        <v>1.6046658674927616</v>
      </c>
      <c r="K55" s="5">
        <f t="shared" si="4"/>
        <v>10.432188793473106</v>
      </c>
      <c r="L55" s="5">
        <f t="shared" si="4"/>
        <v>9.5598910963113575</v>
      </c>
      <c r="M55" s="5">
        <f t="shared" si="4"/>
        <v>9.559891096311373E-3</v>
      </c>
      <c r="N55" s="5">
        <f t="shared" si="4"/>
        <v>0.14079708299057889</v>
      </c>
      <c r="O55" s="5">
        <f t="shared" si="4"/>
        <v>1.4204694059828724E-2</v>
      </c>
      <c r="P55" s="5">
        <f t="shared" si="4"/>
        <v>0.35654078775552911</v>
      </c>
    </row>
    <row r="56" spans="1:22" x14ac:dyDescent="0.3">
      <c r="I56" s="5"/>
      <c r="J56" s="5"/>
      <c r="K56" s="5"/>
      <c r="L56" s="5"/>
      <c r="M56" s="5"/>
      <c r="N56" s="5"/>
      <c r="O56" s="5"/>
      <c r="P56" s="5"/>
    </row>
    <row r="57" spans="1:22" x14ac:dyDescent="0.3">
      <c r="A57" s="4"/>
      <c r="F57" t="s">
        <v>22</v>
      </c>
      <c r="H57" t="s">
        <v>25</v>
      </c>
      <c r="I57">
        <f>AVERAGE(I27,I28,I29,I31,I32,I33,I30,I34,I35,I36:I50)</f>
        <v>19.381522094063371</v>
      </c>
      <c r="J57">
        <f t="shared" ref="J57:P57" si="5">AVERAGE(J27,J28,J29,J31,J32,J33,J30,J34,J35,J36:J50)</f>
        <v>15.76076388888889</v>
      </c>
      <c r="K57">
        <f t="shared" si="5"/>
        <v>101.44514458495421</v>
      </c>
      <c r="L57">
        <f t="shared" si="5"/>
        <v>133.35083333333333</v>
      </c>
      <c r="M57">
        <f t="shared" si="5"/>
        <v>0.13335083333333334</v>
      </c>
      <c r="N57">
        <f t="shared" si="5"/>
        <v>2.0286524027777779</v>
      </c>
      <c r="O57">
        <f t="shared" si="5"/>
        <v>0.49000000000000005</v>
      </c>
      <c r="P57">
        <f t="shared" si="5"/>
        <v>4.9412500000000001</v>
      </c>
    </row>
    <row r="58" spans="1:22" x14ac:dyDescent="0.3">
      <c r="A58" s="4"/>
      <c r="H58" t="s">
        <v>23</v>
      </c>
      <c r="I58">
        <f>STDEV(I27,I28,I29,I31,I32,I33,I30,I34,I35,I36:I50)</f>
        <v>6.3451429158446908</v>
      </c>
      <c r="J58">
        <f t="shared" ref="J58:P58" si="6">STDEV(J27,J28,J29,J31,J32,J33,J30,J34,J35,J36:J50)</f>
        <v>11.043868793030502</v>
      </c>
      <c r="K58">
        <f t="shared" si="6"/>
        <v>71.022545323368846</v>
      </c>
      <c r="L58">
        <f t="shared" si="6"/>
        <v>50.273147722059889</v>
      </c>
      <c r="M58">
        <f t="shared" si="6"/>
        <v>5.0273147722059923E-2</v>
      </c>
      <c r="N58">
        <f t="shared" si="6"/>
        <v>1.6684799226801137</v>
      </c>
      <c r="O58">
        <f t="shared" si="6"/>
        <v>0.17722498597030242</v>
      </c>
      <c r="P58">
        <f t="shared" si="6"/>
        <v>1.7586143569645212</v>
      </c>
    </row>
    <row r="59" spans="1:22" x14ac:dyDescent="0.3">
      <c r="H59" t="s">
        <v>24</v>
      </c>
      <c r="I59">
        <f>I58/SQRT(24)</f>
        <v>1.2951968740712432</v>
      </c>
      <c r="J59">
        <f t="shared" ref="J59:P59" si="7">J58/SQRT(24)</f>
        <v>2.2543202774309545</v>
      </c>
      <c r="K59">
        <f t="shared" si="7"/>
        <v>14.497416356328781</v>
      </c>
      <c r="L59">
        <f t="shared" si="7"/>
        <v>10.2619633068841</v>
      </c>
      <c r="M59">
        <f t="shared" si="7"/>
        <v>1.0261963306884107E-2</v>
      </c>
      <c r="N59">
        <f t="shared" si="7"/>
        <v>0.34057703805371742</v>
      </c>
      <c r="O59">
        <f t="shared" si="7"/>
        <v>3.6175898774929036E-2</v>
      </c>
      <c r="P59">
        <f t="shared" si="7"/>
        <v>0.35897565240798579</v>
      </c>
    </row>
    <row r="61" spans="1:22" x14ac:dyDescent="0.3">
      <c r="H61" t="s">
        <v>26</v>
      </c>
      <c r="I61" s="13">
        <v>1.726</v>
      </c>
      <c r="J61" s="13">
        <v>1.4</v>
      </c>
      <c r="K61" s="13">
        <v>0.115</v>
      </c>
      <c r="L61" s="13">
        <v>0.12</v>
      </c>
      <c r="M61" s="13"/>
      <c r="N61" s="13">
        <v>2.8090000000000002</v>
      </c>
      <c r="O61" s="13">
        <v>2.907</v>
      </c>
      <c r="P61" s="13">
        <v>0.29299999999999998</v>
      </c>
    </row>
    <row r="62" spans="1:22" x14ac:dyDescent="0.3">
      <c r="H62" t="s">
        <v>27</v>
      </c>
      <c r="I62">
        <v>0.19500000000000001</v>
      </c>
      <c r="J62">
        <v>0.24299999999999999</v>
      </c>
      <c r="K62">
        <v>0.73899999999999999</v>
      </c>
      <c r="L62">
        <v>0.73399999999999999</v>
      </c>
      <c r="N62" s="13">
        <v>0.1</v>
      </c>
      <c r="O62">
        <v>0.10299999999999999</v>
      </c>
      <c r="P62">
        <v>0.59699999999999998</v>
      </c>
    </row>
    <row r="90" spans="1:1" x14ac:dyDescent="0.3">
      <c r="A90" s="9"/>
    </row>
    <row r="111" spans="1:1" x14ac:dyDescent="0.3">
      <c r="A111" s="9"/>
    </row>
    <row r="117" spans="1:19" x14ac:dyDescent="0.3">
      <c r="B117" s="4"/>
    </row>
    <row r="118" spans="1:19" x14ac:dyDescent="0.3">
      <c r="B118" s="4"/>
    </row>
    <row r="119" spans="1:19" x14ac:dyDescent="0.3">
      <c r="B119" s="4"/>
    </row>
    <row r="122" spans="1:19" s="4" customFormat="1" x14ac:dyDescent="0.3">
      <c r="A122"/>
      <c r="C122"/>
      <c r="D122"/>
      <c r="E122"/>
      <c r="F122"/>
      <c r="G122" s="15"/>
      <c r="H122"/>
      <c r="M122"/>
      <c r="N122"/>
    </row>
    <row r="123" spans="1:19" s="4" customFormat="1" x14ac:dyDescent="0.3">
      <c r="A123"/>
      <c r="C123"/>
      <c r="D123"/>
      <c r="E123"/>
      <c r="F123"/>
      <c r="G123" s="15"/>
      <c r="H123"/>
      <c r="M123"/>
      <c r="N123"/>
      <c r="O123"/>
      <c r="P123"/>
      <c r="R123"/>
      <c r="S123"/>
    </row>
    <row r="124" spans="1:19" s="4" customFormat="1" x14ac:dyDescent="0.3">
      <c r="A124"/>
      <c r="C124"/>
      <c r="D124"/>
      <c r="E124"/>
      <c r="F124"/>
      <c r="G124" s="15"/>
      <c r="H124"/>
      <c r="M124"/>
      <c r="N124"/>
      <c r="O124"/>
      <c r="P124"/>
      <c r="R124"/>
      <c r="S124"/>
    </row>
    <row r="200" spans="14:15" x14ac:dyDescent="0.3">
      <c r="N200" s="4"/>
      <c r="O200" s="4"/>
    </row>
    <row r="202" spans="14:15" x14ac:dyDescent="0.3">
      <c r="N202" s="4"/>
      <c r="O2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sIPSC BC L4</vt:lpstr>
      <vt:lpstr>mIPSC BC 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2025-07-12T13:40:31Z</dcterms:modified>
</cp:coreProperties>
</file>