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959CB612-EED9-462E-A240-723D5944F1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mb. props. BC L4" sheetId="13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82" i="13" l="1"/>
  <c r="AI83" i="13" s="1"/>
  <c r="AH82" i="13"/>
  <c r="AH83" i="13" s="1"/>
  <c r="AD82" i="13"/>
  <c r="AD83" i="13" s="1"/>
  <c r="AC82" i="13"/>
  <c r="AC83" i="13" s="1"/>
  <c r="AB82" i="13"/>
  <c r="AB83" i="13" s="1"/>
  <c r="AA82" i="13"/>
  <c r="AA83" i="13" s="1"/>
  <c r="Z82" i="13"/>
  <c r="Z83" i="13" s="1"/>
  <c r="V82" i="13"/>
  <c r="V83" i="13" s="1"/>
  <c r="T82" i="13"/>
  <c r="T83" i="13" s="1"/>
  <c r="S82" i="13"/>
  <c r="S83" i="13" s="1"/>
  <c r="R82" i="13"/>
  <c r="R83" i="13" s="1"/>
  <c r="Q82" i="13"/>
  <c r="Q83" i="13" s="1"/>
  <c r="P82" i="13"/>
  <c r="P83" i="13" s="1"/>
  <c r="O82" i="13"/>
  <c r="O83" i="13" s="1"/>
  <c r="N82" i="13"/>
  <c r="N83" i="13" s="1"/>
  <c r="M82" i="13"/>
  <c r="M83" i="13" s="1"/>
  <c r="L82" i="13"/>
  <c r="L83" i="13" s="1"/>
  <c r="K82" i="13"/>
  <c r="K83" i="13" s="1"/>
  <c r="J82" i="13"/>
  <c r="J83" i="13" s="1"/>
  <c r="I82" i="13"/>
  <c r="I83" i="13" s="1"/>
  <c r="AI81" i="13"/>
  <c r="AH81" i="13"/>
  <c r="AD81" i="13"/>
  <c r="AC81" i="13"/>
  <c r="AB81" i="13"/>
  <c r="AA81" i="13"/>
  <c r="Z81" i="13"/>
  <c r="V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AI77" i="13"/>
  <c r="AI78" i="13" s="1"/>
  <c r="AH77" i="13"/>
  <c r="AH78" i="13" s="1"/>
  <c r="AD77" i="13"/>
  <c r="AD78" i="13" s="1"/>
  <c r="AB77" i="13"/>
  <c r="AB78" i="13" s="1"/>
  <c r="AA77" i="13"/>
  <c r="AA78" i="13" s="1"/>
  <c r="Z77" i="13"/>
  <c r="Z78" i="13" s="1"/>
  <c r="V77" i="13"/>
  <c r="V78" i="13" s="1"/>
  <c r="T77" i="13"/>
  <c r="T78" i="13" s="1"/>
  <c r="S77" i="13"/>
  <c r="S78" i="13" s="1"/>
  <c r="R77" i="13"/>
  <c r="R78" i="13" s="1"/>
  <c r="Q77" i="13"/>
  <c r="Q78" i="13" s="1"/>
  <c r="P77" i="13"/>
  <c r="P78" i="13" s="1"/>
  <c r="O77" i="13"/>
  <c r="O78" i="13" s="1"/>
  <c r="N77" i="13"/>
  <c r="N78" i="13" s="1"/>
  <c r="M77" i="13"/>
  <c r="M78" i="13" s="1"/>
  <c r="L77" i="13"/>
  <c r="L78" i="13" s="1"/>
  <c r="K77" i="13"/>
  <c r="K78" i="13" s="1"/>
  <c r="J77" i="13"/>
  <c r="J78" i="13" s="1"/>
  <c r="I77" i="13"/>
  <c r="I78" i="13" s="1"/>
  <c r="AI76" i="13"/>
  <c r="AH76" i="13"/>
  <c r="AD76" i="13"/>
  <c r="AB76" i="13"/>
  <c r="AA76" i="13"/>
  <c r="Z76" i="13"/>
  <c r="V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AK74" i="13"/>
  <c r="AJ74" i="13"/>
  <c r="AG74" i="13"/>
  <c r="AF74" i="13"/>
  <c r="Y74" i="13"/>
  <c r="X74" i="13"/>
  <c r="W74" i="13"/>
  <c r="U74" i="13"/>
  <c r="AK73" i="13"/>
  <c r="AJ73" i="13"/>
  <c r="AG73" i="13"/>
  <c r="AF73" i="13"/>
  <c r="Y73" i="13"/>
  <c r="X73" i="13"/>
  <c r="W73" i="13"/>
  <c r="U73" i="13"/>
  <c r="AK72" i="13"/>
  <c r="AJ72" i="13"/>
  <c r="AG72" i="13"/>
  <c r="AF72" i="13"/>
  <c r="Y72" i="13"/>
  <c r="X72" i="13"/>
  <c r="W72" i="13"/>
  <c r="U72" i="13"/>
  <c r="AK71" i="13"/>
  <c r="AJ71" i="13"/>
  <c r="AG71" i="13"/>
  <c r="AF71" i="13"/>
  <c r="Y71" i="13"/>
  <c r="X71" i="13"/>
  <c r="W71" i="13"/>
  <c r="U71" i="13"/>
  <c r="AK70" i="13"/>
  <c r="AJ70" i="13"/>
  <c r="AG70" i="13"/>
  <c r="AF70" i="13"/>
  <c r="Y70" i="13"/>
  <c r="X70" i="13"/>
  <c r="W70" i="13"/>
  <c r="U70" i="13"/>
  <c r="AK69" i="13"/>
  <c r="AJ69" i="13"/>
  <c r="AG69" i="13"/>
  <c r="AF69" i="13"/>
  <c r="Y69" i="13"/>
  <c r="X69" i="13"/>
  <c r="W69" i="13"/>
  <c r="U69" i="13"/>
  <c r="AK68" i="13"/>
  <c r="AJ68" i="13"/>
  <c r="AG68" i="13"/>
  <c r="AF68" i="13"/>
  <c r="Y68" i="13"/>
  <c r="X68" i="13"/>
  <c r="W68" i="13"/>
  <c r="U68" i="13"/>
  <c r="AK67" i="13"/>
  <c r="AJ67" i="13"/>
  <c r="AG67" i="13"/>
  <c r="AF67" i="13"/>
  <c r="Y67" i="13"/>
  <c r="X67" i="13"/>
  <c r="W67" i="13"/>
  <c r="U67" i="13"/>
  <c r="AK66" i="13"/>
  <c r="AJ66" i="13"/>
  <c r="AG66" i="13"/>
  <c r="AF66" i="13"/>
  <c r="Y66" i="13"/>
  <c r="X66" i="13"/>
  <c r="W66" i="13"/>
  <c r="U66" i="13"/>
  <c r="AK65" i="13"/>
  <c r="AJ65" i="13"/>
  <c r="AG65" i="13"/>
  <c r="AF65" i="13"/>
  <c r="Y65" i="13"/>
  <c r="X65" i="13"/>
  <c r="W65" i="13"/>
  <c r="U65" i="13"/>
  <c r="AK64" i="13"/>
  <c r="AJ64" i="13"/>
  <c r="AG64" i="13"/>
  <c r="AF64" i="13"/>
  <c r="Y64" i="13"/>
  <c r="X64" i="13"/>
  <c r="W64" i="13"/>
  <c r="U64" i="13"/>
  <c r="AK63" i="13"/>
  <c r="AJ63" i="13"/>
  <c r="AG63" i="13"/>
  <c r="AF63" i="13"/>
  <c r="Y63" i="13"/>
  <c r="X63" i="13"/>
  <c r="W63" i="13"/>
  <c r="U63" i="13"/>
  <c r="AK62" i="13"/>
  <c r="AJ62" i="13"/>
  <c r="AG62" i="13"/>
  <c r="AF62" i="13"/>
  <c r="Y62" i="13"/>
  <c r="X62" i="13"/>
  <c r="W62" i="13"/>
  <c r="U62" i="13"/>
  <c r="AK61" i="13"/>
  <c r="AJ61" i="13"/>
  <c r="AG61" i="13"/>
  <c r="AF61" i="13"/>
  <c r="Y61" i="13"/>
  <c r="X61" i="13"/>
  <c r="W61" i="13"/>
  <c r="U61" i="13"/>
  <c r="AK60" i="13"/>
  <c r="AJ60" i="13"/>
  <c r="AG60" i="13"/>
  <c r="AF60" i="13"/>
  <c r="Y60" i="13"/>
  <c r="X60" i="13"/>
  <c r="W60" i="13"/>
  <c r="U60" i="13"/>
  <c r="Y59" i="13"/>
  <c r="W59" i="13"/>
  <c r="U59" i="13"/>
  <c r="Y58" i="13"/>
  <c r="W58" i="13"/>
  <c r="U58" i="13"/>
  <c r="Y57" i="13"/>
  <c r="W57" i="13"/>
  <c r="U57" i="13"/>
  <c r="Y56" i="13"/>
  <c r="W56" i="13"/>
  <c r="U56" i="13"/>
  <c r="Y55" i="13"/>
  <c r="W55" i="13"/>
  <c r="U55" i="13"/>
  <c r="Y54" i="13"/>
  <c r="W54" i="13"/>
  <c r="U54" i="13"/>
  <c r="Y53" i="13"/>
  <c r="W53" i="13"/>
  <c r="U53" i="13"/>
  <c r="Y52" i="13"/>
  <c r="W52" i="13"/>
  <c r="U52" i="13"/>
  <c r="AK51" i="13"/>
  <c r="AJ51" i="13"/>
  <c r="AG51" i="13"/>
  <c r="AF51" i="13"/>
  <c r="AE51" i="13"/>
  <c r="Y51" i="13"/>
  <c r="X51" i="13"/>
  <c r="W51" i="13"/>
  <c r="U51" i="13"/>
  <c r="AK50" i="13"/>
  <c r="AJ50" i="13"/>
  <c r="AG50" i="13"/>
  <c r="AF50" i="13"/>
  <c r="AE50" i="13"/>
  <c r="Y50" i="13"/>
  <c r="X50" i="13"/>
  <c r="W50" i="13"/>
  <c r="U50" i="13"/>
  <c r="AK49" i="13"/>
  <c r="AJ49" i="13"/>
  <c r="AG49" i="13"/>
  <c r="AF49" i="13"/>
  <c r="AE49" i="13"/>
  <c r="Y49" i="13"/>
  <c r="X49" i="13"/>
  <c r="W49" i="13"/>
  <c r="U49" i="13"/>
  <c r="AK48" i="13"/>
  <c r="AJ48" i="13"/>
  <c r="AG48" i="13"/>
  <c r="AF48" i="13"/>
  <c r="AE48" i="13"/>
  <c r="Y48" i="13"/>
  <c r="X48" i="13"/>
  <c r="W48" i="13"/>
  <c r="U48" i="13"/>
  <c r="AK47" i="13"/>
  <c r="AJ47" i="13"/>
  <c r="AG47" i="13"/>
  <c r="AF47" i="13"/>
  <c r="AE47" i="13"/>
  <c r="Y47" i="13"/>
  <c r="X47" i="13"/>
  <c r="W47" i="13"/>
  <c r="U47" i="13"/>
  <c r="AK46" i="13"/>
  <c r="AJ46" i="13"/>
  <c r="AG46" i="13"/>
  <c r="AF46" i="13"/>
  <c r="AE46" i="13"/>
  <c r="Y46" i="13"/>
  <c r="X46" i="13"/>
  <c r="W46" i="13"/>
  <c r="U46" i="13"/>
  <c r="AK45" i="13"/>
  <c r="AJ45" i="13"/>
  <c r="AG45" i="13"/>
  <c r="AF45" i="13"/>
  <c r="AE45" i="13"/>
  <c r="Y45" i="13"/>
  <c r="X45" i="13"/>
  <c r="W45" i="13"/>
  <c r="U45" i="13"/>
  <c r="AK44" i="13"/>
  <c r="AJ44" i="13"/>
  <c r="AG44" i="13"/>
  <c r="AF44" i="13"/>
  <c r="AE44" i="13"/>
  <c r="Y44" i="13"/>
  <c r="X44" i="13"/>
  <c r="W44" i="13"/>
  <c r="U44" i="13"/>
  <c r="AK43" i="13"/>
  <c r="AJ43" i="13"/>
  <c r="AG43" i="13"/>
  <c r="AF43" i="13"/>
  <c r="AE43" i="13"/>
  <c r="Y43" i="13"/>
  <c r="X43" i="13"/>
  <c r="W43" i="13"/>
  <c r="U43" i="13"/>
  <c r="AK42" i="13"/>
  <c r="AJ42" i="13"/>
  <c r="AG42" i="13"/>
  <c r="AF42" i="13"/>
  <c r="AE42" i="13"/>
  <c r="Y42" i="13"/>
  <c r="X42" i="13"/>
  <c r="W42" i="13"/>
  <c r="U42" i="13"/>
  <c r="AK41" i="13"/>
  <c r="AJ41" i="13"/>
  <c r="AG41" i="13"/>
  <c r="AF41" i="13"/>
  <c r="AE41" i="13"/>
  <c r="Y41" i="13"/>
  <c r="X41" i="13"/>
  <c r="W41" i="13"/>
  <c r="U41" i="13"/>
  <c r="AK40" i="13"/>
  <c r="AJ40" i="13"/>
  <c r="AG40" i="13"/>
  <c r="AF40" i="13"/>
  <c r="AE40" i="13"/>
  <c r="Y40" i="13"/>
  <c r="X40" i="13"/>
  <c r="W40" i="13"/>
  <c r="U40" i="13"/>
  <c r="AK39" i="13"/>
  <c r="AJ39" i="13"/>
  <c r="AG39" i="13"/>
  <c r="AF39" i="13"/>
  <c r="AE39" i="13"/>
  <c r="Y39" i="13"/>
  <c r="X39" i="13"/>
  <c r="W39" i="13"/>
  <c r="U39" i="13"/>
  <c r="AK38" i="13"/>
  <c r="AJ38" i="13"/>
  <c r="AG38" i="13"/>
  <c r="AF38" i="13"/>
  <c r="AE38" i="13"/>
  <c r="Y38" i="13"/>
  <c r="X38" i="13"/>
  <c r="W38" i="13"/>
  <c r="U38" i="13"/>
  <c r="AK37" i="13"/>
  <c r="AJ37" i="13"/>
  <c r="AG37" i="13"/>
  <c r="AF37" i="13"/>
  <c r="AE37" i="13"/>
  <c r="Y37" i="13"/>
  <c r="X37" i="13"/>
  <c r="W37" i="13"/>
  <c r="U37" i="13"/>
  <c r="AK36" i="13"/>
  <c r="AJ36" i="13"/>
  <c r="AG36" i="13"/>
  <c r="AF36" i="13"/>
  <c r="AE36" i="13"/>
  <c r="Y36" i="13"/>
  <c r="X36" i="13"/>
  <c r="W36" i="13"/>
  <c r="U36" i="13"/>
  <c r="AK35" i="13"/>
  <c r="AJ35" i="13"/>
  <c r="AG35" i="13"/>
  <c r="AF35" i="13"/>
  <c r="AE35" i="13"/>
  <c r="Y35" i="13"/>
  <c r="X35" i="13"/>
  <c r="W35" i="13"/>
  <c r="U35" i="13"/>
  <c r="AK34" i="13"/>
  <c r="AJ34" i="13"/>
  <c r="AG34" i="13"/>
  <c r="AF34" i="13"/>
  <c r="Y34" i="13"/>
  <c r="X34" i="13"/>
  <c r="W34" i="13"/>
  <c r="U34" i="13"/>
  <c r="AG33" i="13"/>
  <c r="AF33" i="13"/>
  <c r="Y33" i="13"/>
  <c r="X33" i="13"/>
  <c r="W33" i="13"/>
  <c r="U33" i="13"/>
  <c r="AK32" i="13"/>
  <c r="AJ32" i="13"/>
  <c r="AG32" i="13"/>
  <c r="AF32" i="13"/>
  <c r="Y32" i="13"/>
  <c r="X32" i="13"/>
  <c r="W32" i="13"/>
  <c r="U32" i="13"/>
  <c r="AK31" i="13"/>
  <c r="AJ31" i="13"/>
  <c r="AG31" i="13"/>
  <c r="AF31" i="13"/>
  <c r="Y31" i="13"/>
  <c r="X31" i="13"/>
  <c r="W31" i="13"/>
  <c r="U31" i="13"/>
  <c r="AK30" i="13"/>
  <c r="AJ30" i="13"/>
  <c r="AG30" i="13"/>
  <c r="AF30" i="13"/>
  <c r="Y30" i="13"/>
  <c r="X30" i="13"/>
  <c r="W30" i="13"/>
  <c r="U30" i="13"/>
  <c r="AK29" i="13"/>
  <c r="AJ29" i="13"/>
  <c r="AG29" i="13"/>
  <c r="AF29" i="13"/>
  <c r="Y29" i="13"/>
  <c r="X29" i="13"/>
  <c r="W29" i="13"/>
  <c r="U29" i="13"/>
  <c r="Y28" i="13"/>
  <c r="W28" i="13"/>
  <c r="U28" i="13"/>
  <c r="Y27" i="13"/>
  <c r="W27" i="13"/>
  <c r="U27" i="13"/>
  <c r="Y26" i="13"/>
  <c r="W26" i="13"/>
  <c r="U26" i="13"/>
  <c r="AK25" i="13"/>
  <c r="AJ25" i="13"/>
  <c r="AG25" i="13"/>
  <c r="AF25" i="13"/>
  <c r="Y25" i="13"/>
  <c r="X25" i="13"/>
  <c r="W25" i="13"/>
  <c r="U25" i="13"/>
  <c r="AK24" i="13"/>
  <c r="AJ24" i="13"/>
  <c r="AG24" i="13"/>
  <c r="AF24" i="13"/>
  <c r="Y24" i="13"/>
  <c r="X24" i="13"/>
  <c r="W24" i="13"/>
  <c r="U24" i="13"/>
  <c r="AK23" i="13"/>
  <c r="AJ23" i="13"/>
  <c r="AG23" i="13"/>
  <c r="AF23" i="13"/>
  <c r="Y23" i="13"/>
  <c r="X23" i="13"/>
  <c r="W23" i="13"/>
  <c r="U23" i="13"/>
  <c r="AK22" i="13"/>
  <c r="AJ22" i="13"/>
  <c r="AG22" i="13"/>
  <c r="AF22" i="13"/>
  <c r="Y22" i="13"/>
  <c r="X22" i="13"/>
  <c r="W22" i="13"/>
  <c r="U22" i="13"/>
  <c r="AK21" i="13"/>
  <c r="AJ21" i="13"/>
  <c r="AG21" i="13"/>
  <c r="AF21" i="13"/>
  <c r="Y21" i="13"/>
  <c r="X21" i="13"/>
  <c r="W21" i="13"/>
  <c r="U21" i="13"/>
  <c r="AK20" i="13"/>
  <c r="AJ20" i="13"/>
  <c r="AG20" i="13"/>
  <c r="AF20" i="13"/>
  <c r="Y20" i="13"/>
  <c r="X20" i="13"/>
  <c r="W20" i="13"/>
  <c r="U20" i="13"/>
  <c r="AK19" i="13"/>
  <c r="AJ19" i="13"/>
  <c r="AG19" i="13"/>
  <c r="AF19" i="13"/>
  <c r="Y19" i="13"/>
  <c r="X19" i="13"/>
  <c r="W19" i="13"/>
  <c r="U19" i="13"/>
  <c r="AK18" i="13"/>
  <c r="AJ18" i="13"/>
  <c r="AG18" i="13"/>
  <c r="AF18" i="13"/>
  <c r="Y18" i="13"/>
  <c r="X18" i="13"/>
  <c r="W18" i="13"/>
  <c r="U18" i="13"/>
  <c r="AK17" i="13"/>
  <c r="AJ17" i="13"/>
  <c r="AG17" i="13"/>
  <c r="AF17" i="13"/>
  <c r="Y17" i="13"/>
  <c r="X17" i="13"/>
  <c r="W17" i="13"/>
  <c r="U17" i="13"/>
  <c r="AG16" i="13"/>
  <c r="AF16" i="13"/>
  <c r="Y16" i="13"/>
  <c r="X16" i="13"/>
  <c r="W16" i="13"/>
  <c r="U16" i="13"/>
  <c r="AK15" i="13"/>
  <c r="AJ15" i="13"/>
  <c r="AG15" i="13"/>
  <c r="AF15" i="13"/>
  <c r="Y15" i="13"/>
  <c r="X15" i="13"/>
  <c r="W15" i="13"/>
  <c r="U15" i="13"/>
  <c r="AK14" i="13"/>
  <c r="AJ14" i="13"/>
  <c r="AG14" i="13"/>
  <c r="AF14" i="13"/>
  <c r="Y14" i="13"/>
  <c r="X14" i="13"/>
  <c r="W14" i="13"/>
  <c r="U14" i="13"/>
  <c r="AG13" i="13"/>
  <c r="AF13" i="13"/>
  <c r="Y13" i="13"/>
  <c r="X13" i="13"/>
  <c r="W13" i="13"/>
  <c r="U13" i="13"/>
  <c r="AK12" i="13"/>
  <c r="AJ12" i="13"/>
  <c r="AG12" i="13"/>
  <c r="AF12" i="13"/>
  <c r="Y12" i="13"/>
  <c r="X12" i="13"/>
  <c r="W12" i="13"/>
  <c r="U12" i="13"/>
  <c r="AK11" i="13"/>
  <c r="AJ11" i="13"/>
  <c r="AG11" i="13"/>
  <c r="AF11" i="13"/>
  <c r="AE11" i="13"/>
  <c r="Y11" i="13"/>
  <c r="X11" i="13"/>
  <c r="W11" i="13"/>
  <c r="U11" i="13"/>
  <c r="AK10" i="13"/>
  <c r="AJ10" i="13"/>
  <c r="AG10" i="13"/>
  <c r="AF10" i="13"/>
  <c r="AE10" i="13"/>
  <c r="Y10" i="13"/>
  <c r="X10" i="13"/>
  <c r="W10" i="13"/>
  <c r="U10" i="13"/>
  <c r="AK9" i="13"/>
  <c r="AJ9" i="13"/>
  <c r="AG9" i="13"/>
  <c r="AF9" i="13"/>
  <c r="AE9" i="13"/>
  <c r="Y9" i="13"/>
  <c r="X9" i="13"/>
  <c r="W9" i="13"/>
  <c r="U9" i="13"/>
  <c r="AK8" i="13"/>
  <c r="AJ8" i="13"/>
  <c r="AG8" i="13"/>
  <c r="AF8" i="13"/>
  <c r="AE8" i="13"/>
  <c r="Y8" i="13"/>
  <c r="X8" i="13"/>
  <c r="W8" i="13"/>
  <c r="U8" i="13"/>
  <c r="AK7" i="13"/>
  <c r="AJ7" i="13"/>
  <c r="AG7" i="13"/>
  <c r="AF7" i="13"/>
  <c r="AE7" i="13"/>
  <c r="Y7" i="13"/>
  <c r="X7" i="13"/>
  <c r="W7" i="13"/>
  <c r="U7" i="13"/>
  <c r="AK6" i="13"/>
  <c r="AJ6" i="13"/>
  <c r="AG6" i="13"/>
  <c r="AF6" i="13"/>
  <c r="AE6" i="13"/>
  <c r="Y6" i="13"/>
  <c r="X6" i="13"/>
  <c r="W6" i="13"/>
  <c r="U6" i="13"/>
  <c r="AK5" i="13"/>
  <c r="AJ5" i="13"/>
  <c r="AG5" i="13"/>
  <c r="AF5" i="13"/>
  <c r="AE5" i="13"/>
  <c r="Y5" i="13"/>
  <c r="X5" i="13"/>
  <c r="W5" i="13"/>
  <c r="U5" i="13"/>
  <c r="AK4" i="13"/>
  <c r="AJ4" i="13"/>
  <c r="AG4" i="13"/>
  <c r="AF4" i="13"/>
  <c r="AE4" i="13"/>
  <c r="Y4" i="13"/>
  <c r="X4" i="13"/>
  <c r="W4" i="13"/>
  <c r="U4" i="13"/>
  <c r="AE3" i="13"/>
  <c r="AC3" i="13"/>
  <c r="AC76" i="13" s="1"/>
  <c r="Y3" i="13"/>
  <c r="X3" i="13"/>
  <c r="W3" i="13"/>
  <c r="U3" i="13"/>
  <c r="AK2" i="13"/>
  <c r="AJ2" i="13"/>
  <c r="AG2" i="13"/>
  <c r="AF2" i="13"/>
  <c r="AE2" i="13"/>
  <c r="Y2" i="13"/>
  <c r="X2" i="13"/>
  <c r="W2" i="13"/>
  <c r="U2" i="13"/>
  <c r="AL36" i="13" l="1"/>
  <c r="AL22" i="13"/>
  <c r="AL6" i="13"/>
  <c r="AL65" i="13"/>
  <c r="AL73" i="13"/>
  <c r="AL29" i="13"/>
  <c r="AL39" i="13"/>
  <c r="AL51" i="13"/>
  <c r="AL62" i="13"/>
  <c r="AL72" i="13"/>
  <c r="AL4" i="13"/>
  <c r="AL17" i="13"/>
  <c r="AL25" i="13"/>
  <c r="AL34" i="13"/>
  <c r="AL42" i="13"/>
  <c r="AL9" i="13"/>
  <c r="AL68" i="13"/>
  <c r="AL61" i="13"/>
  <c r="AL69" i="13"/>
  <c r="AL11" i="13"/>
  <c r="AL45" i="13"/>
  <c r="AL49" i="13"/>
  <c r="Y76" i="13"/>
  <c r="X77" i="13"/>
  <c r="X78" i="13" s="1"/>
  <c r="AG76" i="13"/>
  <c r="AL12" i="13"/>
  <c r="AL14" i="13"/>
  <c r="AL74" i="13"/>
  <c r="AL18" i="13"/>
  <c r="AL50" i="13"/>
  <c r="AL70" i="13"/>
  <c r="AL21" i="13"/>
  <c r="AL43" i="13"/>
  <c r="AL23" i="13"/>
  <c r="AL30" i="13"/>
  <c r="Y82" i="13"/>
  <c r="Y83" i="13" s="1"/>
  <c r="AL48" i="13"/>
  <c r="AL67" i="13"/>
  <c r="U76" i="13"/>
  <c r="AL44" i="13"/>
  <c r="AL60" i="13"/>
  <c r="AL66" i="13"/>
  <c r="AB79" i="13"/>
  <c r="AE76" i="13"/>
  <c r="Y77" i="13"/>
  <c r="Y78" i="13" s="1"/>
  <c r="AL5" i="13"/>
  <c r="AL15" i="13"/>
  <c r="AL24" i="13"/>
  <c r="AL31" i="13"/>
  <c r="AL32" i="13"/>
  <c r="AE82" i="13"/>
  <c r="AE83" i="13" s="1"/>
  <c r="AL37" i="13"/>
  <c r="AE81" i="13"/>
  <c r="AL41" i="13"/>
  <c r="AC77" i="13"/>
  <c r="AC78" i="13" s="1"/>
  <c r="AF76" i="13"/>
  <c r="AF82" i="13"/>
  <c r="AF83" i="13" s="1"/>
  <c r="AL38" i="13"/>
  <c r="AG77" i="13"/>
  <c r="AG78" i="13" s="1"/>
  <c r="AL10" i="13"/>
  <c r="AL19" i="13"/>
  <c r="AG82" i="13"/>
  <c r="AG83" i="13" s="1"/>
  <c r="Y81" i="13"/>
  <c r="AL46" i="13"/>
  <c r="AL63" i="13"/>
  <c r="U77" i="13"/>
  <c r="U78" i="13" s="1"/>
  <c r="AJ77" i="13"/>
  <c r="AJ78" i="13" s="1"/>
  <c r="U81" i="13"/>
  <c r="AJ81" i="13"/>
  <c r="X81" i="13"/>
  <c r="W77" i="13"/>
  <c r="W78" i="13" s="1"/>
  <c r="AK76" i="13"/>
  <c r="AL7" i="13"/>
  <c r="AE77" i="13"/>
  <c r="AE78" i="13" s="1"/>
  <c r="AL20" i="13"/>
  <c r="W81" i="13"/>
  <c r="AK82" i="13"/>
  <c r="AK83" i="13" s="1"/>
  <c r="AL47" i="13"/>
  <c r="AL64" i="13"/>
  <c r="X76" i="13"/>
  <c r="AL8" i="13"/>
  <c r="X82" i="13"/>
  <c r="X83" i="13" s="1"/>
  <c r="U82" i="13"/>
  <c r="U83" i="13" s="1"/>
  <c r="AL40" i="13"/>
  <c r="AL71" i="13"/>
  <c r="AK77" i="13"/>
  <c r="AK78" i="13" s="1"/>
  <c r="AK81" i="13"/>
  <c r="W82" i="13"/>
  <c r="W83" i="13" s="1"/>
  <c r="AJ82" i="13"/>
  <c r="AJ83" i="13" s="1"/>
  <c r="AL35" i="13"/>
  <c r="W76" i="13"/>
  <c r="AJ76" i="13"/>
  <c r="AF77" i="13"/>
  <c r="AF78" i="13" s="1"/>
  <c r="AF81" i="13"/>
  <c r="AG81" i="13"/>
  <c r="AL2" i="13"/>
  <c r="Y79" i="13" l="1"/>
  <c r="AL76" i="13"/>
  <c r="AL77" i="13"/>
  <c r="AL78" i="13" s="1"/>
  <c r="AL82" i="13"/>
  <c r="AL83" i="13" s="1"/>
  <c r="AL81" i="13"/>
</calcChain>
</file>

<file path=xl/sharedStrings.xml><?xml version="1.0" encoding="utf-8"?>
<sst xmlns="http://schemas.openxmlformats.org/spreadsheetml/2006/main" count="802" uniqueCount="219">
  <si>
    <t>Cell</t>
  </si>
  <si>
    <t>Genotype</t>
  </si>
  <si>
    <t>Sex</t>
  </si>
  <si>
    <t>DOB</t>
  </si>
  <si>
    <t>Age</t>
  </si>
  <si>
    <t>Anatomy</t>
  </si>
  <si>
    <t>Layer</t>
  </si>
  <si>
    <t>Tag</t>
  </si>
  <si>
    <t>BC</t>
  </si>
  <si>
    <t>GFP</t>
  </si>
  <si>
    <t>Animal 12</t>
  </si>
  <si>
    <t>Animal 13</t>
  </si>
  <si>
    <t>Animal 14</t>
  </si>
  <si>
    <t>Animal 15</t>
  </si>
  <si>
    <t>cHet</t>
  </si>
  <si>
    <t>F value</t>
  </si>
  <si>
    <t>sd</t>
  </si>
  <si>
    <t>se</t>
  </si>
  <si>
    <t>control</t>
  </si>
  <si>
    <t>animal 1</t>
  </si>
  <si>
    <t>Nkx2.1cre RCE Syngap1 flox</t>
  </si>
  <si>
    <t>M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</si>
  <si>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</si>
  <si>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</si>
  <si>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</si>
  <si>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</si>
  <si>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</si>
  <si>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</si>
  <si>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</si>
  <si>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</si>
  <si>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</si>
  <si>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animal 11</t>
  </si>
  <si>
    <t>*0.009</t>
  </si>
  <si>
    <t>Subject ID</t>
  </si>
  <si>
    <t>ID</t>
  </si>
  <si>
    <t>Mouse Line</t>
  </si>
  <si>
    <t>Vm</t>
  </si>
  <si>
    <t>Rm</t>
  </si>
  <si>
    <t>Cm</t>
  </si>
  <si>
    <t>Rheobase, pA</t>
  </si>
  <si>
    <t>Latency ms</t>
  </si>
  <si>
    <t>AP ampl, mV</t>
  </si>
  <si>
    <t>AP dur, ms</t>
  </si>
  <si>
    <t>Area AP</t>
  </si>
  <si>
    <t>AP thresh, mV</t>
  </si>
  <si>
    <t>Rise time (10-90%)</t>
  </si>
  <si>
    <t>Decay time (10-90%)</t>
  </si>
  <si>
    <t>Max, rise slop (mv/ms)</t>
  </si>
  <si>
    <t>Norm. Max, rise slop (mv/ms)</t>
  </si>
  <si>
    <t>Max, decay slope (mv/ms)</t>
  </si>
  <si>
    <t>Norm. Max, decay slope (mv/ms)</t>
  </si>
  <si>
    <t>Ratio max ris/max decay</t>
  </si>
  <si>
    <t>fAHP time (ms)</t>
  </si>
  <si>
    <t>AHP amplit,,  mV</t>
  </si>
  <si>
    <t>Sag Ih</t>
  </si>
  <si>
    <t>Firing frequ, At rheobase</t>
  </si>
  <si>
    <t>File #</t>
  </si>
  <si>
    <t>spike amplit, AP index At 2x rheobase</t>
  </si>
  <si>
    <t xml:space="preserve">spike freq, AP index at 2x rheobase </t>
  </si>
  <si>
    <t>Current for depol, Block (pA)</t>
  </si>
  <si>
    <t>Mv depolariz, Block</t>
  </si>
  <si>
    <t>Adaptation ratio (dimensionless)</t>
  </si>
  <si>
    <t>Firing</t>
  </si>
  <si>
    <t>Injected current</t>
  </si>
  <si>
    <t>140722RF1b</t>
  </si>
  <si>
    <t>03.05.22</t>
  </si>
  <si>
    <t>fast spiking</t>
  </si>
  <si>
    <t>0 pA</t>
  </si>
  <si>
    <t>140722RF3</t>
  </si>
  <si>
    <t>180822RF2</t>
  </si>
  <si>
    <t>not present</t>
  </si>
  <si>
    <t>fast spiking with depol. Block</t>
  </si>
  <si>
    <t>140722RF4</t>
  </si>
  <si>
    <t>180822RF3</t>
  </si>
  <si>
    <t>60 pA</t>
  </si>
  <si>
    <t>020822RF3</t>
  </si>
  <si>
    <t>190822RF4a</t>
  </si>
  <si>
    <t>30.05.22</t>
  </si>
  <si>
    <t>190822RF4d</t>
  </si>
  <si>
    <t>06.06.22</t>
  </si>
  <si>
    <t>220822RF1</t>
  </si>
  <si>
    <t>220822RF2</t>
  </si>
  <si>
    <t>50 pA</t>
  </si>
  <si>
    <t>190822RF5</t>
  </si>
  <si>
    <t>40 pA</t>
  </si>
  <si>
    <t xml:space="preserve"> animal 5</t>
  </si>
  <si>
    <t>280922RF2</t>
  </si>
  <si>
    <t>10 pA</t>
  </si>
  <si>
    <t>210922RF1a</t>
  </si>
  <si>
    <t>01.07.22</t>
  </si>
  <si>
    <t>N568</t>
  </si>
  <si>
    <t>210922RF1c</t>
  </si>
  <si>
    <t>210922RF2d</t>
  </si>
  <si>
    <t>220922RF1</t>
  </si>
  <si>
    <t>N571</t>
  </si>
  <si>
    <t>220922RF2</t>
  </si>
  <si>
    <t>220922RF3</t>
  </si>
  <si>
    <t>260922RF2c</t>
  </si>
  <si>
    <t>N569</t>
  </si>
  <si>
    <t>20 pA</t>
  </si>
  <si>
    <t>260922RF3a</t>
  </si>
  <si>
    <t>30 pA</t>
  </si>
  <si>
    <t>260922RF3c</t>
  </si>
  <si>
    <t>260922RF4</t>
  </si>
  <si>
    <t>270922RF1</t>
  </si>
  <si>
    <t>15.07.22</t>
  </si>
  <si>
    <t>6 folder 280922secondone</t>
  </si>
  <si>
    <t>300922RF2c</t>
  </si>
  <si>
    <t>19.07.22</t>
  </si>
  <si>
    <t>150223RF1a</t>
  </si>
  <si>
    <t>20.11.22</t>
  </si>
  <si>
    <t>Nkx2,1cre RCE Syngap1 flox</t>
  </si>
  <si>
    <t>0 Pa</t>
  </si>
  <si>
    <t>200323RF2a</t>
  </si>
  <si>
    <t>13.01.23</t>
  </si>
  <si>
    <t>regular no dep. Block</t>
  </si>
  <si>
    <t>50 Pa</t>
  </si>
  <si>
    <t>200323RF2d</t>
  </si>
  <si>
    <t>230522RF1b</t>
  </si>
  <si>
    <t>18.03.23</t>
  </si>
  <si>
    <t>regular with dep. Block</t>
  </si>
  <si>
    <t>230522RF2</t>
  </si>
  <si>
    <t>070623RF1c</t>
  </si>
  <si>
    <t>30.03.23</t>
  </si>
  <si>
    <t>070623RF1d</t>
  </si>
  <si>
    <t>070623RF4a</t>
  </si>
  <si>
    <t>070623RF4b</t>
  </si>
  <si>
    <t>animal 16</t>
  </si>
  <si>
    <t>080722RF1</t>
  </si>
  <si>
    <t>28.04.22</t>
  </si>
  <si>
    <t>080722RF2c</t>
  </si>
  <si>
    <t>080722RF3</t>
  </si>
  <si>
    <t>animal 17</t>
  </si>
  <si>
    <t>150722RF4</t>
  </si>
  <si>
    <t>not present at 600</t>
  </si>
  <si>
    <t>until 600 no depol. Block</t>
  </si>
  <si>
    <t>150722RF6</t>
  </si>
  <si>
    <t>until 480 no depol. Block</t>
  </si>
  <si>
    <t>animal 18</t>
  </si>
  <si>
    <t>190722RF2</t>
  </si>
  <si>
    <t>until 650 no depol. Block</t>
  </si>
  <si>
    <t>190722RF3</t>
  </si>
  <si>
    <t>animal 19</t>
  </si>
  <si>
    <t>250722RF4</t>
  </si>
  <si>
    <t>20.05.22</t>
  </si>
  <si>
    <t xml:space="preserve">fast spiking </t>
  </si>
  <si>
    <t>60 Pa</t>
  </si>
  <si>
    <t>animal 20</t>
  </si>
  <si>
    <t>030822RF1</t>
  </si>
  <si>
    <t>animal 21</t>
  </si>
  <si>
    <t>230822RF1</t>
  </si>
  <si>
    <t>230822RF3</t>
  </si>
  <si>
    <t>230822RF4b</t>
  </si>
  <si>
    <t>230822RF5</t>
  </si>
  <si>
    <t>animal 22</t>
  </si>
  <si>
    <t>250822RF2</t>
  </si>
  <si>
    <t>40 pa</t>
  </si>
  <si>
    <t>animal 23</t>
  </si>
  <si>
    <t>270722RF3</t>
  </si>
  <si>
    <t>270722RF4B</t>
  </si>
  <si>
    <t>10 Pa</t>
  </si>
  <si>
    <t>270722RF6</t>
  </si>
  <si>
    <t>3 folder 260722</t>
  </si>
  <si>
    <t>animal 24</t>
  </si>
  <si>
    <t>090223RF2a</t>
  </si>
  <si>
    <t>08.11.22</t>
  </si>
  <si>
    <t>plus 10 Pa</t>
  </si>
  <si>
    <t>090223RF2b</t>
  </si>
  <si>
    <t>70 pa</t>
  </si>
  <si>
    <t>Animal 25</t>
  </si>
  <si>
    <t>280223RF2</t>
  </si>
  <si>
    <t>22.12.22</t>
  </si>
  <si>
    <t>20 Pa</t>
  </si>
  <si>
    <t>Animal 26</t>
  </si>
  <si>
    <t>220323RF1</t>
  </si>
  <si>
    <t>Animal 27</t>
  </si>
  <si>
    <t>230323RF1</t>
  </si>
  <si>
    <t>15.01.23</t>
  </si>
  <si>
    <t>230323RF2C</t>
  </si>
  <si>
    <t>Animal 28</t>
  </si>
  <si>
    <t>170523RF1</t>
  </si>
  <si>
    <t>03.03.23</t>
  </si>
  <si>
    <t>170523RF5</t>
  </si>
  <si>
    <t>Animal 29</t>
  </si>
  <si>
    <t>010623RF1a</t>
  </si>
  <si>
    <t>27.03.23</t>
  </si>
  <si>
    <t>010623RF4</t>
  </si>
  <si>
    <t>Animal 30</t>
  </si>
  <si>
    <t>050623RF1a</t>
  </si>
  <si>
    <t>050623RF1b</t>
  </si>
  <si>
    <t>050623RF4</t>
  </si>
  <si>
    <t>fast spiking real</t>
  </si>
  <si>
    <t>050623RF5</t>
  </si>
  <si>
    <t>Animal 31</t>
  </si>
  <si>
    <t>060623RF2a</t>
  </si>
  <si>
    <t>060623RF2c</t>
  </si>
  <si>
    <t>Animal 32</t>
  </si>
  <si>
    <t>080623RF2a</t>
  </si>
  <si>
    <t>080623RF2b</t>
  </si>
  <si>
    <t>080623RF4</t>
  </si>
  <si>
    <t>Animal 33</t>
  </si>
  <si>
    <t>090623RF3a</t>
  </si>
  <si>
    <t>6 et 7</t>
  </si>
  <si>
    <t>090623RF3b</t>
  </si>
  <si>
    <t>8 et 9</t>
  </si>
  <si>
    <t>090623RF4</t>
  </si>
  <si>
    <t>090623RF6</t>
  </si>
  <si>
    <t>avg cHet</t>
  </si>
  <si>
    <t xml:space="preserve">LMM Statistic </t>
  </si>
  <si>
    <t>p Value</t>
  </si>
  <si>
    <t>Tau (Rm x Cm)/1000</t>
  </si>
  <si>
    <t>Firing freq Hz at 2x rheobase</t>
  </si>
  <si>
    <t>Fss</t>
  </si>
  <si>
    <t xml:space="preserve">Fmax </t>
  </si>
  <si>
    <t>avg control</t>
  </si>
  <si>
    <t>**0.004</t>
  </si>
  <si>
    <t>*0.032</t>
  </si>
  <si>
    <t>***&lt;0.001</t>
  </si>
  <si>
    <t>*0.021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</si>
</sst>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0"/>
    <numFmt numFmtId="166" formatCode="0.000"/>
    <numFmt numFmtId="167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0" fontId="0" fillId="0" borderId="0" xfId="0" applyFont="1" applyFill="1"/>
    <xf numFmtId="0" fontId="0" fillId="2" borderId="0" xfId="0" applyFont="1" applyFill="1"/>
    <xf numFmtId="164" fontId="0" fillId="0" borderId="0" xfId="0" applyNumberFormat="1" applyFont="1" applyFill="1"/>
    <xf numFmtId="166" fontId="0" fillId="0" borderId="0" xfId="0" applyNumberFormat="1" applyFont="1" applyFill="1"/>
    <xf numFmtId="0" fontId="0" fillId="0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167" fontId="0" fillId="0" borderId="0" xfId="0" applyNumberFormat="1" applyFont="1" applyFill="1"/>
    <xf numFmtId="16" fontId="0" fillId="0" borderId="0" xfId="0" applyNumberFormat="1" applyFont="1" applyFill="1"/>
    <xf numFmtId="0" fontId="2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167" fontId="0" fillId="2" borderId="0" xfId="0" applyNumberFormat="1" applyFont="1" applyFill="1"/>
    <xf numFmtId="0" fontId="0" fillId="2" borderId="0" xfId="0" quotePrefix="1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</c:trendlineLbl>
          </c:trendline>
          <c:xVal>
            <c:strRef>
              <c:f>'[2]Total num cells new no dep'!$AU$94:$AU$128</c:f>
              <c:strCache>
                <c:ptCount val="35"/>
                <c:pt idx="0">
                  <c:v>0.743362832</c:v>
                </c:pt>
                <c:pt idx="1">
                  <c:v>0.37</c:v>
                </c:pt>
                <c:pt idx="2">
                  <c:v>0,692307692307692</c:v>
                </c:pt>
                <c:pt idx="11">
                  <c:v>0,692307692307692</c:v>
                </c:pt>
                <c:pt idx="13">
                  <c:v>0,57742782152231</c:v>
                </c:pt>
                <c:pt idx="14">
                  <c:v>0,730696798493409</c:v>
                </c:pt>
                <c:pt idx="15">
                  <c:v>0,723618090452261</c:v>
                </c:pt>
                <c:pt idx="16">
                  <c:v>0,569974554707379</c:v>
                </c:pt>
                <c:pt idx="17">
                  <c:v>0,668555240793201</c:v>
                </c:pt>
                <c:pt idx="18">
                  <c:v>0,622950819672131</c:v>
                </c:pt>
                <c:pt idx="19">
                  <c:v>0,432203389830509</c:v>
                </c:pt>
                <c:pt idx="20">
                  <c:v>0,542372881355932</c:v>
                </c:pt>
                <c:pt idx="21">
                  <c:v>0,541935483870968</c:v>
                </c:pt>
                <c:pt idx="23">
                  <c:v>0,606965174129353</c:v>
                </c:pt>
                <c:pt idx="24">
                  <c:v>0,722222222222222</c:v>
                </c:pt>
                <c:pt idx="26">
                  <c:v>0,672811059907834</c:v>
                </c:pt>
                <c:pt idx="27">
                  <c:v>0,818181818181818</c:v>
                </c:pt>
                <c:pt idx="28">
                  <c:v>0,585774058577406</c:v>
                </c:pt>
                <c:pt idx="29">
                  <c:v>0,482142857142857</c:v>
                </c:pt>
                <c:pt idx="30">
                  <c:v>0,595185995623632</c:v>
                </c:pt>
                <c:pt idx="31">
                  <c:v>0,574525745257453</c:v>
                </c:pt>
                <c:pt idx="32">
                  <c:v>0,545994065281899</c:v>
                </c:pt>
                <c:pt idx="33">
                  <c:v>0,671428571428571</c:v>
                </c:pt>
                <c:pt idx="34">
                  <c:v>0,605128205128205</c:v>
                </c:pt>
              </c:strCache>
            </c:strRef>
          </c:xVal>
          <c:yVal>
            <c:numRef>
              <c:f>'[2]Total num cells new no dep'!$AV$94:$AV$128</c:f>
              <c:numCache>
                <c:formatCode>General</c:formatCode>
                <c:ptCount val="35"/>
                <c:pt idx="0">
                  <c:v>0</c:v>
                </c:pt>
                <c:pt idx="1">
                  <c:v>131.57894736842104</c:v>
                </c:pt>
                <c:pt idx="2">
                  <c:v>151.51515151515153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54-4B2F-A07C-82A1BCDA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1645135"/>
        <c:axId val="1"/>
      </c:scatterChart>
      <c:valAx>
        <c:axId val="1611645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61164513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601980</xdr:colOff>
      <xdr:row>115</xdr:row>
      <xdr:rowOff>144780</xdr:rowOff>
    </xdr:from>
    <xdr:to>
      <xdr:col>42</xdr:col>
      <xdr:colOff>929640</xdr:colOff>
      <xdr:row>127</xdr:row>
      <xdr:rowOff>144780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4F2D90A-3302-49A0-B154-82F22AAEA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w%20data/Database/MembSynPropsL4BC%20and%20MC%2001102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aw%20data\Database\Database%20summary%20data%20finale%20120523%20(version%201)%20(version%201)310824.xls" TargetMode="External"/><Relationship Id="rId1" Type="http://schemas.openxmlformats.org/officeDocument/2006/relationships/externalLinkPath" Target="/Raw%20data/Database/Database%20summary%20data%20finale%20120523%20(version%201)%20(version%201)3108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Prop germline  P64-77"/>
      <sheetName val="Memb props BC germline P64-90"/>
      <sheetName val="Memb props BC germ short AP"/>
      <sheetName val="PCA germline adult BC"/>
      <sheetName val="Memb props BC germline P20 30"/>
      <sheetName val="PCA analysis BC germ p20 30"/>
      <sheetName val="Germline p20 30 sst "/>
      <sheetName val="Firing analysis p20 30 bc germl"/>
      <sheetName val="Firing analysis p20 30  SST Ger"/>
      <sheetName val="Foglio1"/>
      <sheetName val="PCA analysis germline"/>
      <sheetName val="Memb prop BC Germ P64 90 short"/>
      <sheetName val="Memb prop BC germ P64 90 broad"/>
      <sheetName val="firing analysis freq. germl"/>
      <sheetName val="fir analys freq. AP BC short"/>
      <sheetName val="fir analy freq. AP bc broad"/>
      <sheetName val="Memb props SST total 64-90 germ"/>
      <sheetName val="PCA germline ctrl P64 90"/>
      <sheetName val="Memb props SST GERML P64 90 "/>
      <sheetName val="Firing analysis SST P64 90 GERM"/>
      <sheetName val="Firing Analysis P64-77"/>
      <sheetName val="Memb props Cond P64 77 BC"/>
      <sheetName val="Finale tot cond p64 90 BC"/>
      <sheetName val="Memb props cutoff 0.73 ms ctrl"/>
      <sheetName val="Marker PV PCA het"/>
      <sheetName val="Finale Memb tot PCA new data"/>
      <sheetName val="Finale Memb tot SST BC new data"/>
      <sheetName val="Finale broad AP BC adult condit"/>
      <sheetName val="Finale Short AP BC 0.75 max"/>
      <sheetName val="Firing Finale short AP BC 0.73 "/>
      <sheetName val="Firing finale broad  BC"/>
      <sheetName val="Finale Broad spike BC"/>
      <sheetName val="Memb props 0.8 ms analysis"/>
      <sheetName val="PCA analysis 150323"/>
      <sheetName val="PCA analysis 150323 hET"/>
      <sheetName val="Cluster analysis 150323"/>
      <sheetName val="cluster analysis"/>
      <sheetName val="last PCA analysis 0.8 ms cutoff"/>
      <sheetName val="alpha dend experiments"/>
      <sheetName val="Delta for rheob and AP"/>
      <sheetName val="Fir analys al dend. BC P60 90 "/>
      <sheetName val="Delta for firing number"/>
      <sheetName val="0.7 ms cutoff Memb prop cond BC"/>
      <sheetName val="Memb props Con p64 77 SST tot"/>
      <sheetName val="Foglio12"/>
      <sheetName val="PCA analysis total bc ctrl het"/>
      <sheetName val="Foglio2"/>
      <sheetName val="PCA analysis CTRL pv and sst"/>
      <sheetName val="PCA analysis het pv and sst"/>
      <sheetName val="BC broad AP width"/>
      <sheetName val="Foglio3"/>
      <sheetName val="BC short AP width"/>
      <sheetName val="V C relationship AP short BC"/>
      <sheetName val="delay latency AP cur relation"/>
      <sheetName val="Tau membr potential relationshi"/>
      <sheetName val="AP threshold analysis BC"/>
      <sheetName val="AP threshold analysis Delta BC"/>
      <sheetName val="Firing Analysis BC AP number"/>
      <sheetName val="Firing Analysis BC ap freq"/>
      <sheetName val="table precise firing an. frequ"/>
      <sheetName val="table precise firing spik overs"/>
      <sheetName val="Finale tot bc firi spik overs "/>
      <sheetName val="short width bc fir spik overs"/>
      <sheetName val="broad width bc fir spik overs"/>
      <sheetName val="table mean instant freq. avg BC"/>
      <sheetName val="table inst. freq. 1st spike int"/>
      <sheetName val="same as previous sheet"/>
      <sheetName val="Firing Analysis BC Firing frequ"/>
      <sheetName val="Firing analysis BC AP width"/>
      <sheetName val="Instantenous frequency BC 40 AP"/>
      <sheetName val="mAHP voltage curr BC"/>
      <sheetName val="IV relationship steady state"/>
      <sheetName val="IV relat steady state BC"/>
      <sheetName val="IV relat stead stat BC"/>
      <sheetName val="Input resistance BC monitoring"/>
      <sheetName val="Sag ratio Current relationship"/>
      <sheetName val="Input resist current relationsh"/>
      <sheetName val="Memb prop Cond adult MC and sst"/>
      <sheetName val="Memb prop cond adult MC"/>
      <sheetName val="Memb prop cond adult sst"/>
      <sheetName val="Firing analysis sst mc AP freq"/>
      <sheetName val="sst total  firing analysis freq"/>
      <sheetName val="Firing analysis MC fir frequenc"/>
      <sheetName val="AP width firing analysis MC"/>
      <sheetName val="mAHP MC current volt relationsh"/>
      <sheetName val="Input resistance 300922RF2c"/>
      <sheetName val="Input resitance 260922RF3a"/>
      <sheetName val="Input resistance 260922RF2b"/>
      <sheetName val="Input resistance 260922RF2a"/>
      <sheetName val="Input resistance 260922RF1d"/>
      <sheetName val="Input resistance 260922RF1b"/>
      <sheetName val="Input resistance 260922RF1a"/>
      <sheetName val="Input resistance 180822RF4"/>
      <sheetName val="Input resistance 280922RF2"/>
      <sheetName val="Input resistance 280922RF1"/>
      <sheetName val="Input resistance 270922RF2"/>
      <sheetName val="Input resistance 270922RF1"/>
      <sheetName val="Input resistance 260922RF4"/>
      <sheetName val="Input resistance 260922RF3c"/>
      <sheetName val="Input resistance 260922RF2c"/>
      <sheetName val="Input resistance 220922RF3"/>
      <sheetName val="Input resistance 220922RF2"/>
      <sheetName val="Input resistance 220922RF1"/>
      <sheetName val="Input resistance 210922RF1d"/>
      <sheetName val="Input resistance 210922RF1c"/>
      <sheetName val="Input resistance 210922RF1a"/>
      <sheetName val="Input resistance 300822RF3"/>
      <sheetName val="Input resistance 300822RF2"/>
      <sheetName val="Input resistance 300822RF1"/>
      <sheetName val="Input resistance 250822RF4d"/>
      <sheetName val="Input resistance 250822RF3"/>
      <sheetName val="Input resistance 250822RF2"/>
      <sheetName val="Input resistance 250822RF1c"/>
      <sheetName val="Input resistance 230822RF4a"/>
      <sheetName val="Input resistance 230822RF2b"/>
      <sheetName val="Input resistance 220822RF4c"/>
      <sheetName val="Input resistance 220822RF3"/>
      <sheetName val="Input resistance 190822RF2b"/>
      <sheetName val="Input resistance 190822RF1"/>
      <sheetName val="Input resistance 290822RF6"/>
      <sheetName val="Input resistance 290822RF5"/>
      <sheetName val="Input resistance 140721RF1a"/>
      <sheetName val="Input resistance 140722RF1b"/>
      <sheetName val="Input resistance 140722RF4 "/>
      <sheetName val="Input resistance 150722RF4"/>
      <sheetName val="Input resistance 150722RF5b"/>
      <sheetName val="Input resistance 150722RF6"/>
      <sheetName val="Input resistance 190722RF2"/>
      <sheetName val="Input resistance 190722RF3"/>
      <sheetName val="Input resistance 140722RF2"/>
      <sheetName val="Input resistance 140722RF5"/>
      <sheetName val="Input resistance 150722RF1"/>
      <sheetName val="Input resistance 150722RF2"/>
      <sheetName val="Input resistance 150722RF3"/>
      <sheetName val="Input resistance 150722RF5a"/>
      <sheetName val="Input resistance 190722RF4"/>
      <sheetName val="Input resistance 250722RF2"/>
      <sheetName val="Input resistance 250722RF3b "/>
      <sheetName val="Input resistance 250722RF4 "/>
      <sheetName val="Input resistance 270722RF1"/>
      <sheetName val="Input resistance 270722RF3"/>
      <sheetName val="Input resistance 270722RF4b"/>
      <sheetName val="Input resistance 270722RF6"/>
      <sheetName val="Input resistance 250722RF1"/>
      <sheetName val="Input resistance 270722RF2"/>
      <sheetName val="Input resistance 270722RF5"/>
      <sheetName val="Input resistance 020822RF3"/>
      <sheetName val="Input resistance 020822RF1"/>
      <sheetName val="Input resistance 020822RF2 "/>
      <sheetName val="Input resistance 030822RF1"/>
      <sheetName val="Input resistance 030822R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7">
          <cell r="P87">
            <v>0.52</v>
          </cell>
          <cell r="U87">
            <v>120</v>
          </cell>
          <cell r="V87">
            <v>-50</v>
          </cell>
        </row>
        <row r="88">
          <cell r="U88">
            <v>120</v>
          </cell>
          <cell r="V88">
            <v>-42.5</v>
          </cell>
        </row>
        <row r="89">
          <cell r="U89">
            <v>160</v>
          </cell>
          <cell r="V89">
            <v>-36</v>
          </cell>
        </row>
        <row r="90">
          <cell r="U90">
            <v>140</v>
          </cell>
          <cell r="V90">
            <v>-44</v>
          </cell>
        </row>
        <row r="91">
          <cell r="U91">
            <v>120</v>
          </cell>
          <cell r="V91">
            <v>-40.299999999999997</v>
          </cell>
        </row>
        <row r="92">
          <cell r="U92">
            <v>160</v>
          </cell>
          <cell r="V92">
            <v>-40.9</v>
          </cell>
        </row>
        <row r="93">
          <cell r="U93">
            <v>160</v>
          </cell>
          <cell r="V93">
            <v>-39</v>
          </cell>
        </row>
        <row r="94">
          <cell r="U94">
            <v>120</v>
          </cell>
          <cell r="V94">
            <v>-41.5</v>
          </cell>
        </row>
        <row r="95">
          <cell r="U95">
            <v>200</v>
          </cell>
          <cell r="V95">
            <v>-36.799999999999997</v>
          </cell>
        </row>
        <row r="96">
          <cell r="U96">
            <v>80</v>
          </cell>
          <cell r="V96">
            <v>-33.700000000000003</v>
          </cell>
        </row>
        <row r="97">
          <cell r="U97">
            <v>120</v>
          </cell>
          <cell r="V97">
            <v>-45.2</v>
          </cell>
        </row>
        <row r="98">
          <cell r="U98">
            <v>80</v>
          </cell>
          <cell r="V98">
            <v>-43.9</v>
          </cell>
        </row>
        <row r="99">
          <cell r="U99">
            <v>120</v>
          </cell>
          <cell r="V99">
            <v>-46.1</v>
          </cell>
        </row>
        <row r="100">
          <cell r="U100">
            <v>160</v>
          </cell>
          <cell r="V100">
            <v>-36.6</v>
          </cell>
        </row>
        <row r="101">
          <cell r="U101">
            <v>120</v>
          </cell>
          <cell r="V101">
            <v>-41.8</v>
          </cell>
        </row>
        <row r="102">
          <cell r="U102">
            <v>120</v>
          </cell>
          <cell r="V102">
            <v>-42.6</v>
          </cell>
        </row>
        <row r="103">
          <cell r="U103">
            <v>160</v>
          </cell>
          <cell r="V103">
            <v>-41</v>
          </cell>
        </row>
        <row r="104">
          <cell r="U104">
            <v>160</v>
          </cell>
          <cell r="V104">
            <v>-42.6</v>
          </cell>
        </row>
        <row r="105">
          <cell r="U105">
            <v>120</v>
          </cell>
          <cell r="V105">
            <v>-39.5</v>
          </cell>
        </row>
        <row r="106">
          <cell r="U106">
            <v>120</v>
          </cell>
          <cell r="V106">
            <v>-40.4</v>
          </cell>
        </row>
        <row r="107">
          <cell r="U107">
            <v>120</v>
          </cell>
          <cell r="V107">
            <v>-41.1</v>
          </cell>
        </row>
        <row r="108">
          <cell r="U108">
            <v>80</v>
          </cell>
          <cell r="V108">
            <v>-45.9</v>
          </cell>
        </row>
        <row r="109">
          <cell r="U109">
            <v>80</v>
          </cell>
          <cell r="V109">
            <v>-55.6</v>
          </cell>
        </row>
        <row r="110">
          <cell r="U110">
            <v>80</v>
          </cell>
          <cell r="V110">
            <v>-38.799999999999997</v>
          </cell>
        </row>
        <row r="111">
          <cell r="U111">
            <v>120</v>
          </cell>
          <cell r="V111">
            <v>-43.4</v>
          </cell>
        </row>
        <row r="112">
          <cell r="U112">
            <v>80</v>
          </cell>
          <cell r="V112">
            <v>-52.2</v>
          </cell>
        </row>
        <row r="113">
          <cell r="U113">
            <v>80</v>
          </cell>
          <cell r="V113">
            <v>-49.1</v>
          </cell>
        </row>
        <row r="114">
          <cell r="U114">
            <v>80</v>
          </cell>
          <cell r="V114">
            <v>-52.9</v>
          </cell>
        </row>
        <row r="115">
          <cell r="U115">
            <v>160</v>
          </cell>
          <cell r="V115">
            <v>-25.1</v>
          </cell>
        </row>
        <row r="116">
          <cell r="U116">
            <v>160</v>
          </cell>
          <cell r="V116">
            <v>-27.1</v>
          </cell>
        </row>
        <row r="117">
          <cell r="U117">
            <v>120</v>
          </cell>
          <cell r="V117">
            <v>-47.2</v>
          </cell>
        </row>
        <row r="118">
          <cell r="U118">
            <v>120</v>
          </cell>
          <cell r="V118">
            <v>-44.1</v>
          </cell>
        </row>
      </sheetData>
      <sheetData sheetId="23"/>
      <sheetData sheetId="24"/>
      <sheetData sheetId="25">
        <row r="58">
          <cell r="P58">
            <v>0.42307692307692307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 prop BC adul tot Cond"/>
      <sheetName val="Total number of cells old new e"/>
      <sheetName val="Total num cells new no dep"/>
      <sheetName val="Foglio2"/>
      <sheetName val="Comparison PVcre som vs aud cor"/>
      <sheetName val="Comp firin LV som vs LIV aud"/>
      <sheetName val="Comparison NKX and PVCRE bc"/>
      <sheetName val="Comp firing freq nkx vs pv cre"/>
      <sheetName val="Comp firing unt 600 pa nkx pv c"/>
      <sheetName val="Database PV Cre BC Male wt aud "/>
      <sheetName val="Database PV Cre BC AP#"/>
      <sheetName val="Database PV Cre Male wt som cor"/>
      <sheetName val="Input Resistance analysis"/>
      <sheetName val="Steady state mem pot. analysis"/>
      <sheetName val="Ih Study as function of current"/>
      <sheetName val="mAHP as function of positive cu"/>
      <sheetName val="Latency to first AP"/>
      <sheetName val="Firin freq bc pv cre wt AUD"/>
      <sheetName val="Fir freq bc pv cre wt som cort"/>
      <sheetName val="Firing analysis at 2xRheobase"/>
      <sheetName val="Fir an. 2x rhe ap thr fast ahp"/>
      <sheetName val="Firing analysis Norm."/>
      <sheetName val="Firing analysis kinetics"/>
      <sheetName val="Cor. dur ap and dep rep max sp."/>
      <sheetName val="dendro ax vs som ax bc wt"/>
      <sheetName val="Foglio3"/>
      <sheetName val="total old cells no dep BC"/>
      <sheetName val="Foglio21"/>
      <sheetName val="Male old P91-110 BC wt"/>
      <sheetName val="Firing Male old p91 110 wt BC"/>
      <sheetName val="Comp firing young old bc wt bc "/>
      <sheetName val="total female bc ADULT MICE"/>
      <sheetName val="total female bc adult over P90 "/>
      <sheetName val="Total female Bc adult &gt;90"/>
      <sheetName val="Benjamin Code"/>
      <sheetName val="Stratified analysis BC"/>
      <sheetName val="P89 To P105 BC"/>
      <sheetName val="AP amplitude threshold analysis"/>
      <sheetName val="Foglio12"/>
      <sheetName val="Analysis AVG ANIM D+P vS M+E"/>
      <sheetName val="database of before"/>
      <sheetName val="Total female BC adult&gt;90 Broad"/>
      <sheetName val="Total female bc adult&gt;90 short"/>
      <sheetName val="diestrus comparison bc &gt;90"/>
      <sheetName val="proestrus comparison bc&gt;90"/>
      <sheetName val="metestrus comparison bc&gt;90"/>
      <sheetName val="estrus comparison bc&gt;90"/>
      <sheetName val="medium slices"/>
      <sheetName val="dorsal slices"/>
      <sheetName val="IHC confirmed BC cells"/>
      <sheetName val="Tot female bc over 90 AP#"/>
      <sheetName val="#AP BC strat. age 89 to 105"/>
      <sheetName val="total female sst adult over p90"/>
      <sheetName val="total sst fem adult over p90#AP"/>
      <sheetName val="Test double recordings"/>
      <sheetName val="One way ANOVA"/>
      <sheetName val="AVG cells per animal over 90 BC"/>
      <sheetName val="compar AVG per cells over 90"/>
      <sheetName val="Comp mal old P90 vs old p90  di"/>
      <sheetName val="Comp mal ov P90 vs ov p90 metes"/>
      <sheetName val="Comp mal ov p90 vs ov p90 proes"/>
      <sheetName val="Comp mal ov p90 vs ov p90 estru"/>
      <sheetName val="Comparison male young vs old"/>
      <sheetName val="Comparison male vs dies BC WT "/>
      <sheetName val="Comp male vs estr bc wt"/>
      <sheetName val="Comp male vs proestrus bc wt"/>
      <sheetName val="Comp male vs metestrus bc wt"/>
      <sheetName val="Comp wt germl vs wt cond BC adu"/>
      <sheetName val="Foglio5"/>
      <sheetName val="Foglio7"/>
      <sheetName val="Firing BC female adult AP#"/>
      <sheetName val="Firing BC fem over P90 #AP"/>
      <sheetName val="Firing BC fem over P90 fir. fre"/>
      <sheetName val="total female SST adult mice"/>
      <sheetName val="total female SST over90 Mice"/>
      <sheetName val="total male SST Over90 mice"/>
      <sheetName val="PCA sst"/>
      <sheetName val="Comparis mal over 90 dies SST "/>
      <sheetName val="Comparis mal over 90estr SST"/>
      <sheetName val="Comparis mal over 90 proestrus"/>
      <sheetName val="Comparis mal over 90 metestrus"/>
      <sheetName val="Firing SST female adult AP #"/>
      <sheetName val="Firing SST Over p90 adult"/>
      <sheetName val="Firing SST female adult AP freq"/>
      <sheetName val="total old cells short no dep BC"/>
      <sheetName val="total old cells broad no dep BC"/>
      <sheetName val="PCA total ctrl new analysis"/>
      <sheetName val="PCA tot ctrl new analys"/>
      <sheetName val="PCA total ctrl adult BC cond"/>
      <sheetName val="old new protocol comparison"/>
      <sheetName val="Foglio6"/>
      <sheetName val="Mem prop BC adult cond short"/>
      <sheetName val="bc short new 061124"/>
      <sheetName val="Foglio8"/>
      <sheetName val="Mem prop BC adult cond broad"/>
      <sheetName val="Mem pro BC ad cond  broad new a"/>
      <sheetName val="Comparison wt sh and br 190ctob"/>
      <sheetName val="Comp. male fema broad BC wt"/>
      <sheetName val="Firing analys BC adult cond tot"/>
      <sheetName val="Firing total old new experiment"/>
      <sheetName val="Firing tot ol new exp no dep"/>
      <sheetName val="Firing short cond 311024"/>
      <sheetName val="Firing broad cond 311024"/>
      <sheetName val="Firing 200824 New anal. fr rheo"/>
      <sheetName val="100923 #APs ol new no dep AP "/>
      <sheetName val="rheobase organized"/>
      <sheetName val="Firi tot short new no dep cells"/>
      <sheetName val="Fir.#AP short BC no dep cells"/>
      <sheetName val="Fir tot broad new no dep cells"/>
      <sheetName val="#AP braod no dep BC"/>
      <sheetName val="Firin analy fem BC broad"/>
      <sheetName val="Comp fir mal vs Fem dies BC bro"/>
      <sheetName val="261023 rh thre adtx exp"/>
      <sheetName val="check"/>
      <sheetName val="Foglio1"/>
      <sheetName val="Delt rh ap thre tot BC"/>
      <sheetName val="261023 ap lat cur no dep new an"/>
      <sheetName val="Foglio13"/>
      <sheetName val="Fir adtx exp"/>
      <sheetName val="Foglio11"/>
      <sheetName val="2610 Firing an. no dep dend"/>
      <sheetName val="Delta firing tot BC 160 pA"/>
      <sheetName val="Firing total old new with drug"/>
      <sheetName val="Firing ana BC adult cond short"/>
      <sheetName val="Firing ana BC adult cond broad"/>
      <sheetName val="Memb prop sst adult cond total"/>
      <sheetName val="SST mem prop 061124 no dep"/>
      <sheetName val="Cell to check anatomy"/>
      <sheetName val="Anatomy Separated Cond MC"/>
      <sheetName val="Anatomy Separated Cond Non MC"/>
      <sheetName val="Firing Analysis 271024"/>
      <sheetName val="241024 sst New protocol"/>
      <sheetName val="Memb props sst p90 110 wt"/>
      <sheetName val="mem prop sst adu cond tot no de"/>
      <sheetName val="mem prop sst adu diestr "/>
      <sheetName val="comp mal fem dies sst tot adult"/>
      <sheetName val="291024 Firing ana adu sst cond"/>
      <sheetName val="291024 Firing sst ad no dep cel"/>
      <sheetName val="061124 Fir sst no dep AP num"/>
      <sheetName val="Firing #ap SST OVER 90 male"/>
      <sheetName val="Firing ana adul sst cond no dep"/>
      <sheetName val="#APs sst no dep. cells"/>
      <sheetName val="Firing analy sst fem dies adu"/>
      <sheetName val="Comp firin sst mal vs fem dies "/>
      <sheetName val="PCA bc shor broad sst mc"/>
      <sheetName val="Foglio9"/>
      <sheetName val="Foglio4"/>
    </sheetNames>
    <sheetDataSet>
      <sheetData sheetId="0"/>
      <sheetData sheetId="1"/>
      <sheetData sheetId="2">
        <row r="94">
          <cell r="AU94">
            <v>0.74336283185840701</v>
          </cell>
          <cell r="AV94" t="str">
            <v>fast spiking</v>
          </cell>
        </row>
        <row r="95">
          <cell r="AU95">
            <v>0.37</v>
          </cell>
          <cell r="AV95">
            <v>131.57894736842104</v>
          </cell>
        </row>
        <row r="96">
          <cell r="AU96" t="str">
            <v>0,692307692307692</v>
          </cell>
          <cell r="AV96">
            <v>151.51515151515153</v>
          </cell>
        </row>
        <row r="105">
          <cell r="AU105" t="str">
            <v>0,692307692307692</v>
          </cell>
        </row>
        <row r="107">
          <cell r="AU107" t="str">
            <v>0,57742782152231</v>
          </cell>
        </row>
        <row r="108">
          <cell r="AU108" t="str">
            <v>0,730696798493409</v>
          </cell>
        </row>
        <row r="109">
          <cell r="AU109" t="str">
            <v>0,723618090452261</v>
          </cell>
        </row>
        <row r="110">
          <cell r="AU110" t="str">
            <v>0,569974554707379</v>
          </cell>
        </row>
        <row r="111">
          <cell r="AU111" t="str">
            <v>0,668555240793201</v>
          </cell>
        </row>
        <row r="112">
          <cell r="AU112" t="str">
            <v>0,622950819672131</v>
          </cell>
        </row>
        <row r="113">
          <cell r="AU113" t="str">
            <v>0,432203389830509</v>
          </cell>
        </row>
        <row r="114">
          <cell r="AU114" t="str">
            <v>0,542372881355932</v>
          </cell>
        </row>
        <row r="115">
          <cell r="AU115" t="str">
            <v>0,541935483870968</v>
          </cell>
        </row>
        <row r="117">
          <cell r="AU117" t="str">
            <v>0,606965174129353</v>
          </cell>
        </row>
        <row r="118">
          <cell r="AU118" t="str">
            <v>0,722222222222222</v>
          </cell>
        </row>
        <row r="120">
          <cell r="AU120" t="str">
            <v>0,672811059907834</v>
          </cell>
        </row>
        <row r="121">
          <cell r="AU121" t="str">
            <v>0,818181818181818</v>
          </cell>
        </row>
        <row r="122">
          <cell r="AU122" t="str">
            <v>0,585774058577406</v>
          </cell>
        </row>
        <row r="123">
          <cell r="AU123" t="str">
            <v>0,482142857142857</v>
          </cell>
        </row>
        <row r="124">
          <cell r="AU124" t="str">
            <v>0,595185995623632</v>
          </cell>
        </row>
        <row r="125">
          <cell r="AU125" t="str">
            <v>0,574525745257453</v>
          </cell>
        </row>
        <row r="126">
          <cell r="AU126" t="str">
            <v>0,545994065281899</v>
          </cell>
        </row>
        <row r="127">
          <cell r="AU127" t="str">
            <v>0,671428571428571</v>
          </cell>
        </row>
        <row r="128">
          <cell r="AU128" t="str">
            <v>0,605128205128205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CB202"/>
  <sheetViews>
    <sheetView tabSelected="1" topLeftCell="A68" workbookViewId="0">
      <selection activeCell="A35" sqref="A35:XFD74"/>
    </sheetView>
  </sheetViews>
  <sheetFormatPr defaultColWidth="9.109375" defaultRowHeight="14.4" x14ac:dyDescent="0.3"/>
  <cols>
    <col min="1" max="1" width="10.44140625" style="2" customWidth="1"/>
    <col min="2" max="2" width="11.88671875" style="2" customWidth="1"/>
    <col min="3" max="3" width="23.77734375" style="2" customWidth="1"/>
    <col min="4" max="4" width="10.33203125" style="2" customWidth="1"/>
    <col min="5" max="5" width="6.109375" style="2" customWidth="1"/>
    <col min="6" max="6" width="10.109375" style="2" customWidth="1"/>
    <col min="7" max="7" width="6.109375" style="2" customWidth="1"/>
    <col min="8" max="8" width="7" style="2" customWidth="1"/>
    <col min="9" max="11" width="9.109375" style="2"/>
    <col min="12" max="12" width="13.44140625" style="2" customWidth="1"/>
    <col min="13" max="13" width="12.33203125" style="2" customWidth="1"/>
    <col min="14" max="14" width="14" style="2" customWidth="1"/>
    <col min="15" max="15" width="10.109375" style="2" bestFit="1" customWidth="1"/>
    <col min="16" max="16" width="10.109375" style="2" customWidth="1"/>
    <col min="17" max="17" width="16.21875" style="2" customWidth="1"/>
    <col min="18" max="18" width="16.33203125" style="2" customWidth="1"/>
    <col min="19" max="19" width="18.5546875" style="2" customWidth="1"/>
    <col min="20" max="20" width="20.33203125" style="2" customWidth="1"/>
    <col min="21" max="21" width="26.44140625" style="2" customWidth="1"/>
    <col min="22" max="22" width="22.88671875" style="2" customWidth="1"/>
    <col min="23" max="23" width="30.21875" style="2" customWidth="1"/>
    <col min="24" max="24" width="22.88671875" style="2" customWidth="1"/>
    <col min="25" max="25" width="17.88671875" style="2" customWidth="1"/>
    <col min="26" max="26" width="13.109375" style="2" customWidth="1"/>
    <col min="27" max="27" width="17.21875" style="2" customWidth="1"/>
    <col min="28" max="28" width="17.44140625" style="2" customWidth="1"/>
    <col min="29" max="29" width="21.21875" style="2" customWidth="1"/>
    <col min="30" max="30" width="6.33203125" style="2" customWidth="1"/>
    <col min="31" max="31" width="24.6640625" style="2" customWidth="1"/>
    <col min="32" max="33" width="32.44140625" style="2" customWidth="1"/>
    <col min="34" max="34" width="26.109375" style="2" customWidth="1"/>
    <col min="35" max="35" width="17.6640625" style="2" customWidth="1"/>
    <col min="36" max="36" width="13" style="2" customWidth="1"/>
    <col min="37" max="37" width="17" style="2" customWidth="1"/>
    <col min="38" max="38" width="28.77734375" style="2" customWidth="1"/>
    <col min="39" max="39" width="25.109375" style="2" customWidth="1"/>
    <col min="40" max="40" width="9.109375" style="2" customWidth="1"/>
    <col min="41" max="41" width="5.6640625" style="2" customWidth="1"/>
    <col min="42" max="42" width="6.5546875" style="2" customWidth="1"/>
    <col min="43" max="43" width="22.88671875" style="2" customWidth="1"/>
    <col min="44" max="44" width="15.109375" style="6" customWidth="1"/>
    <col min="45" max="45" width="74.44140625" style="2" customWidth="1"/>
    <col min="46" max="47" width="9.109375" style="2"/>
    <col min="48" max="48" width="14.109375" style="2" customWidth="1"/>
    <col min="49" max="49" width="12.44140625" style="2" customWidth="1"/>
    <col min="50" max="50" width="13.44140625" style="2" customWidth="1"/>
    <col min="51" max="51" width="11.109375" style="2" customWidth="1"/>
    <col min="52" max="55" width="17.33203125" style="2" customWidth="1"/>
    <col min="56" max="59" width="9.109375" style="2"/>
    <col min="60" max="61" width="22.33203125" style="2" customWidth="1"/>
    <col min="62" max="62" width="11.88671875" style="2" customWidth="1"/>
    <col min="63" max="63" width="10.109375" style="2" customWidth="1"/>
    <col min="64" max="65" width="9.109375" style="2"/>
    <col min="66" max="66" width="13.33203125" style="2" customWidth="1"/>
    <col min="67" max="67" width="11.44140625" style="2" customWidth="1"/>
    <col min="68" max="68" width="13.33203125" style="2" bestFit="1" customWidth="1"/>
    <col min="69" max="69" width="16.88671875" style="2" bestFit="1" customWidth="1"/>
    <col min="70" max="72" width="14.44140625" style="2" customWidth="1"/>
    <col min="73" max="73" width="9.88671875" style="2" customWidth="1"/>
    <col min="74" max="76" width="17" style="2" customWidth="1"/>
    <col min="77" max="77" width="9.109375" style="2"/>
    <col min="78" max="78" width="17" style="2" customWidth="1"/>
    <col min="79" max="79" width="10.44140625" style="2" customWidth="1"/>
    <col min="80" max="248" width="9.109375" style="2"/>
    <col min="249" max="249" width="18.44140625" style="2" customWidth="1"/>
    <col min="250" max="251" width="11.88671875" style="2" customWidth="1"/>
    <col min="252" max="253" width="10.109375" style="2" customWidth="1"/>
    <col min="254" max="255" width="13.6640625" style="2" customWidth="1"/>
    <col min="256" max="260" width="23.77734375" style="2" customWidth="1"/>
    <col min="261" max="263" width="9.109375" style="2"/>
    <col min="264" max="264" width="21" style="2" customWidth="1"/>
    <col min="265" max="265" width="12.33203125" style="2" customWidth="1"/>
    <col min="266" max="266" width="14" style="2" customWidth="1"/>
    <col min="267" max="267" width="10.109375" style="2" bestFit="1" customWidth="1"/>
    <col min="268" max="268" width="10.109375" style="2" customWidth="1"/>
    <col min="269" max="269" width="27.21875" style="2" customWidth="1"/>
    <col min="270" max="270" width="24.5546875" style="2" customWidth="1"/>
    <col min="271" max="271" width="16.21875" style="2" customWidth="1"/>
    <col min="272" max="272" width="16.33203125" style="2" customWidth="1"/>
    <col min="273" max="273" width="18.5546875" style="2" customWidth="1"/>
    <col min="274" max="274" width="20.33203125" style="2" customWidth="1"/>
    <col min="275" max="275" width="26.44140625" style="2" customWidth="1"/>
    <col min="276" max="276" width="22.88671875" style="2" customWidth="1"/>
    <col min="277" max="277" width="30.21875" style="2" customWidth="1"/>
    <col min="278" max="278" width="22.88671875" style="2" customWidth="1"/>
    <col min="279" max="282" width="18" style="2" customWidth="1"/>
    <col min="283" max="283" width="17.21875" style="2" customWidth="1"/>
    <col min="284" max="284" width="16.6640625" style="2" customWidth="1"/>
    <col min="285" max="285" width="17.44140625" style="2" customWidth="1"/>
    <col min="286" max="286" width="24.21875" style="2" customWidth="1"/>
    <col min="287" max="287" width="20.44140625" style="2" customWidth="1"/>
    <col min="288" max="288" width="41.5546875" style="2" customWidth="1"/>
    <col min="289" max="290" width="32.44140625" style="2" customWidth="1"/>
    <col min="291" max="295" width="41.5546875" style="2" customWidth="1"/>
    <col min="296" max="296" width="30.44140625" style="2" customWidth="1"/>
    <col min="297" max="297" width="22.33203125" style="2" customWidth="1"/>
    <col min="298" max="298" width="9.109375" style="2"/>
    <col min="299" max="299" width="22.88671875" style="2" customWidth="1"/>
    <col min="300" max="300" width="23.77734375" style="2" customWidth="1"/>
    <col min="301" max="301" width="74.44140625" style="2" customWidth="1"/>
    <col min="302" max="303" width="9.109375" style="2"/>
    <col min="304" max="304" width="14.109375" style="2" customWidth="1"/>
    <col min="305" max="305" width="12.44140625" style="2" customWidth="1"/>
    <col min="306" max="306" width="13.44140625" style="2" customWidth="1"/>
    <col min="307" max="307" width="11.109375" style="2" customWidth="1"/>
    <col min="308" max="311" width="17.33203125" style="2" customWidth="1"/>
    <col min="312" max="315" width="9.109375" style="2"/>
    <col min="316" max="317" width="22.33203125" style="2" customWidth="1"/>
    <col min="318" max="318" width="11.88671875" style="2" customWidth="1"/>
    <col min="319" max="319" width="10.109375" style="2" customWidth="1"/>
    <col min="320" max="321" width="9.109375" style="2"/>
    <col min="322" max="322" width="13.33203125" style="2" customWidth="1"/>
    <col min="323" max="323" width="11.44140625" style="2" customWidth="1"/>
    <col min="324" max="324" width="13.33203125" style="2" bestFit="1" customWidth="1"/>
    <col min="325" max="325" width="16.88671875" style="2" bestFit="1" customWidth="1"/>
    <col min="326" max="328" width="14.44140625" style="2" customWidth="1"/>
    <col min="329" max="329" width="9.88671875" style="2" customWidth="1"/>
    <col min="330" max="332" width="17" style="2" customWidth="1"/>
    <col min="333" max="333" width="9.109375" style="2"/>
    <col min="334" max="334" width="17" style="2" customWidth="1"/>
    <col min="335" max="335" width="10.44140625" style="2" customWidth="1"/>
    <col min="336" max="504" width="9.109375" style="2"/>
    <col min="505" max="505" width="18.44140625" style="2" customWidth="1"/>
    <col min="506" max="507" width="11.88671875" style="2" customWidth="1"/>
    <col min="508" max="509" width="10.109375" style="2" customWidth="1"/>
    <col min="510" max="511" width="13.6640625" style="2" customWidth="1"/>
    <col min="512" max="516" width="23.77734375" style="2" customWidth="1"/>
    <col min="517" max="519" width="9.109375" style="2"/>
    <col min="520" max="520" width="21" style="2" customWidth="1"/>
    <col min="521" max="521" width="12.33203125" style="2" customWidth="1"/>
    <col min="522" max="522" width="14" style="2" customWidth="1"/>
    <col min="523" max="523" width="10.109375" style="2" bestFit="1" customWidth="1"/>
    <col min="524" max="524" width="10.109375" style="2" customWidth="1"/>
    <col min="525" max="525" width="27.21875" style="2" customWidth="1"/>
    <col min="526" max="526" width="24.5546875" style="2" customWidth="1"/>
    <col min="527" max="527" width="16.21875" style="2" customWidth="1"/>
    <col min="528" max="528" width="16.33203125" style="2" customWidth="1"/>
    <col min="529" max="529" width="18.5546875" style="2" customWidth="1"/>
    <col min="530" max="530" width="20.33203125" style="2" customWidth="1"/>
    <col min="531" max="531" width="26.44140625" style="2" customWidth="1"/>
    <col min="532" max="532" width="22.88671875" style="2" customWidth="1"/>
    <col min="533" max="533" width="30.21875" style="2" customWidth="1"/>
    <col min="534" max="534" width="22.88671875" style="2" customWidth="1"/>
    <col min="535" max="538" width="18" style="2" customWidth="1"/>
    <col min="539" max="539" width="17.21875" style="2" customWidth="1"/>
    <col min="540" max="540" width="16.6640625" style="2" customWidth="1"/>
    <col min="541" max="541" width="17.44140625" style="2" customWidth="1"/>
    <col min="542" max="542" width="24.21875" style="2" customWidth="1"/>
    <col min="543" max="543" width="20.44140625" style="2" customWidth="1"/>
    <col min="544" max="544" width="41.5546875" style="2" customWidth="1"/>
    <col min="545" max="546" width="32.44140625" style="2" customWidth="1"/>
    <col min="547" max="551" width="41.5546875" style="2" customWidth="1"/>
    <col min="552" max="552" width="30.44140625" style="2" customWidth="1"/>
    <col min="553" max="553" width="22.33203125" style="2" customWidth="1"/>
    <col min="554" max="554" width="9.109375" style="2"/>
    <col min="555" max="555" width="22.88671875" style="2" customWidth="1"/>
    <col min="556" max="556" width="23.77734375" style="2" customWidth="1"/>
    <col min="557" max="557" width="74.44140625" style="2" customWidth="1"/>
    <col min="558" max="559" width="9.109375" style="2"/>
    <col min="560" max="560" width="14.109375" style="2" customWidth="1"/>
    <col min="561" max="561" width="12.44140625" style="2" customWidth="1"/>
    <col min="562" max="562" width="13.44140625" style="2" customWidth="1"/>
    <col min="563" max="563" width="11.109375" style="2" customWidth="1"/>
    <col min="564" max="567" width="17.33203125" style="2" customWidth="1"/>
    <col min="568" max="571" width="9.109375" style="2"/>
    <col min="572" max="573" width="22.33203125" style="2" customWidth="1"/>
    <col min="574" max="574" width="11.88671875" style="2" customWidth="1"/>
    <col min="575" max="575" width="10.109375" style="2" customWidth="1"/>
    <col min="576" max="577" width="9.109375" style="2"/>
    <col min="578" max="578" width="13.33203125" style="2" customWidth="1"/>
    <col min="579" max="579" width="11.44140625" style="2" customWidth="1"/>
    <col min="580" max="580" width="13.33203125" style="2" bestFit="1" customWidth="1"/>
    <col min="581" max="581" width="16.88671875" style="2" bestFit="1" customWidth="1"/>
    <col min="582" max="584" width="14.44140625" style="2" customWidth="1"/>
    <col min="585" max="585" width="9.88671875" style="2" customWidth="1"/>
    <col min="586" max="588" width="17" style="2" customWidth="1"/>
    <col min="589" max="589" width="9.109375" style="2"/>
    <col min="590" max="590" width="17" style="2" customWidth="1"/>
    <col min="591" max="591" width="10.44140625" style="2" customWidth="1"/>
    <col min="592" max="760" width="9.109375" style="2"/>
    <col min="761" max="761" width="18.44140625" style="2" customWidth="1"/>
    <col min="762" max="763" width="11.88671875" style="2" customWidth="1"/>
    <col min="764" max="765" width="10.109375" style="2" customWidth="1"/>
    <col min="766" max="767" width="13.6640625" style="2" customWidth="1"/>
    <col min="768" max="772" width="23.77734375" style="2" customWidth="1"/>
    <col min="773" max="775" width="9.109375" style="2"/>
    <col min="776" max="776" width="21" style="2" customWidth="1"/>
    <col min="777" max="777" width="12.33203125" style="2" customWidth="1"/>
    <col min="778" max="778" width="14" style="2" customWidth="1"/>
    <col min="779" max="779" width="10.109375" style="2" bestFit="1" customWidth="1"/>
    <col min="780" max="780" width="10.109375" style="2" customWidth="1"/>
    <col min="781" max="781" width="27.21875" style="2" customWidth="1"/>
    <col min="782" max="782" width="24.5546875" style="2" customWidth="1"/>
    <col min="783" max="783" width="16.21875" style="2" customWidth="1"/>
    <col min="784" max="784" width="16.33203125" style="2" customWidth="1"/>
    <col min="785" max="785" width="18.5546875" style="2" customWidth="1"/>
    <col min="786" max="786" width="20.33203125" style="2" customWidth="1"/>
    <col min="787" max="787" width="26.44140625" style="2" customWidth="1"/>
    <col min="788" max="788" width="22.88671875" style="2" customWidth="1"/>
    <col min="789" max="789" width="30.21875" style="2" customWidth="1"/>
    <col min="790" max="790" width="22.88671875" style="2" customWidth="1"/>
    <col min="791" max="794" width="18" style="2" customWidth="1"/>
    <col min="795" max="795" width="17.21875" style="2" customWidth="1"/>
    <col min="796" max="796" width="16.6640625" style="2" customWidth="1"/>
    <col min="797" max="797" width="17.44140625" style="2" customWidth="1"/>
    <col min="798" max="798" width="24.21875" style="2" customWidth="1"/>
    <col min="799" max="799" width="20.44140625" style="2" customWidth="1"/>
    <col min="800" max="800" width="41.5546875" style="2" customWidth="1"/>
    <col min="801" max="802" width="32.44140625" style="2" customWidth="1"/>
    <col min="803" max="807" width="41.5546875" style="2" customWidth="1"/>
    <col min="808" max="808" width="30.44140625" style="2" customWidth="1"/>
    <col min="809" max="809" width="22.33203125" style="2" customWidth="1"/>
    <col min="810" max="810" width="9.109375" style="2"/>
    <col min="811" max="811" width="22.88671875" style="2" customWidth="1"/>
    <col min="812" max="812" width="23.77734375" style="2" customWidth="1"/>
    <col min="813" max="813" width="74.44140625" style="2" customWidth="1"/>
    <col min="814" max="815" width="9.109375" style="2"/>
    <col min="816" max="816" width="14.109375" style="2" customWidth="1"/>
    <col min="817" max="817" width="12.44140625" style="2" customWidth="1"/>
    <col min="818" max="818" width="13.44140625" style="2" customWidth="1"/>
    <col min="819" max="819" width="11.109375" style="2" customWidth="1"/>
    <col min="820" max="823" width="17.33203125" style="2" customWidth="1"/>
    <col min="824" max="827" width="9.109375" style="2"/>
    <col min="828" max="829" width="22.33203125" style="2" customWidth="1"/>
    <col min="830" max="830" width="11.88671875" style="2" customWidth="1"/>
    <col min="831" max="831" width="10.109375" style="2" customWidth="1"/>
    <col min="832" max="833" width="9.109375" style="2"/>
    <col min="834" max="834" width="13.33203125" style="2" customWidth="1"/>
    <col min="835" max="835" width="11.44140625" style="2" customWidth="1"/>
    <col min="836" max="836" width="13.33203125" style="2" bestFit="1" customWidth="1"/>
    <col min="837" max="837" width="16.88671875" style="2" bestFit="1" customWidth="1"/>
    <col min="838" max="840" width="14.44140625" style="2" customWidth="1"/>
    <col min="841" max="841" width="9.88671875" style="2" customWidth="1"/>
    <col min="842" max="844" width="17" style="2" customWidth="1"/>
    <col min="845" max="845" width="9.109375" style="2"/>
    <col min="846" max="846" width="17" style="2" customWidth="1"/>
    <col min="847" max="847" width="10.44140625" style="2" customWidth="1"/>
    <col min="848" max="1016" width="9.109375" style="2"/>
    <col min="1017" max="1017" width="18.44140625" style="2" customWidth="1"/>
    <col min="1018" max="1019" width="11.88671875" style="2" customWidth="1"/>
    <col min="1020" max="1021" width="10.109375" style="2" customWidth="1"/>
    <col min="1022" max="1023" width="13.6640625" style="2" customWidth="1"/>
    <col min="1024" max="1028" width="23.77734375" style="2" customWidth="1"/>
    <col min="1029" max="1031" width="9.109375" style="2"/>
    <col min="1032" max="1032" width="21" style="2" customWidth="1"/>
    <col min="1033" max="1033" width="12.33203125" style="2" customWidth="1"/>
    <col min="1034" max="1034" width="14" style="2" customWidth="1"/>
    <col min="1035" max="1035" width="10.109375" style="2" bestFit="1" customWidth="1"/>
    <col min="1036" max="1036" width="10.109375" style="2" customWidth="1"/>
    <col min="1037" max="1037" width="27.21875" style="2" customWidth="1"/>
    <col min="1038" max="1038" width="24.5546875" style="2" customWidth="1"/>
    <col min="1039" max="1039" width="16.21875" style="2" customWidth="1"/>
    <col min="1040" max="1040" width="16.33203125" style="2" customWidth="1"/>
    <col min="1041" max="1041" width="18.5546875" style="2" customWidth="1"/>
    <col min="1042" max="1042" width="20.33203125" style="2" customWidth="1"/>
    <col min="1043" max="1043" width="26.44140625" style="2" customWidth="1"/>
    <col min="1044" max="1044" width="22.88671875" style="2" customWidth="1"/>
    <col min="1045" max="1045" width="30.21875" style="2" customWidth="1"/>
    <col min="1046" max="1046" width="22.88671875" style="2" customWidth="1"/>
    <col min="1047" max="1050" width="18" style="2" customWidth="1"/>
    <col min="1051" max="1051" width="17.21875" style="2" customWidth="1"/>
    <col min="1052" max="1052" width="16.6640625" style="2" customWidth="1"/>
    <col min="1053" max="1053" width="17.44140625" style="2" customWidth="1"/>
    <col min="1054" max="1054" width="24.21875" style="2" customWidth="1"/>
    <col min="1055" max="1055" width="20.44140625" style="2" customWidth="1"/>
    <col min="1056" max="1056" width="41.5546875" style="2" customWidth="1"/>
    <col min="1057" max="1058" width="32.44140625" style="2" customWidth="1"/>
    <col min="1059" max="1063" width="41.5546875" style="2" customWidth="1"/>
    <col min="1064" max="1064" width="30.44140625" style="2" customWidth="1"/>
    <col min="1065" max="1065" width="22.33203125" style="2" customWidth="1"/>
    <col min="1066" max="1066" width="9.109375" style="2"/>
    <col min="1067" max="1067" width="22.88671875" style="2" customWidth="1"/>
    <col min="1068" max="1068" width="23.77734375" style="2" customWidth="1"/>
    <col min="1069" max="1069" width="74.44140625" style="2" customWidth="1"/>
    <col min="1070" max="1071" width="9.109375" style="2"/>
    <col min="1072" max="1072" width="14.109375" style="2" customWidth="1"/>
    <col min="1073" max="1073" width="12.44140625" style="2" customWidth="1"/>
    <col min="1074" max="1074" width="13.44140625" style="2" customWidth="1"/>
    <col min="1075" max="1075" width="11.109375" style="2" customWidth="1"/>
    <col min="1076" max="1079" width="17.33203125" style="2" customWidth="1"/>
    <col min="1080" max="1083" width="9.109375" style="2"/>
    <col min="1084" max="1085" width="22.33203125" style="2" customWidth="1"/>
    <col min="1086" max="1086" width="11.88671875" style="2" customWidth="1"/>
    <col min="1087" max="1087" width="10.109375" style="2" customWidth="1"/>
    <col min="1088" max="1089" width="9.109375" style="2"/>
    <col min="1090" max="1090" width="13.33203125" style="2" customWidth="1"/>
    <col min="1091" max="1091" width="11.44140625" style="2" customWidth="1"/>
    <col min="1092" max="1092" width="13.33203125" style="2" bestFit="1" customWidth="1"/>
    <col min="1093" max="1093" width="16.88671875" style="2" bestFit="1" customWidth="1"/>
    <col min="1094" max="1096" width="14.44140625" style="2" customWidth="1"/>
    <col min="1097" max="1097" width="9.88671875" style="2" customWidth="1"/>
    <col min="1098" max="1100" width="17" style="2" customWidth="1"/>
    <col min="1101" max="1101" width="9.109375" style="2"/>
    <col min="1102" max="1102" width="17" style="2" customWidth="1"/>
    <col min="1103" max="1103" width="10.44140625" style="2" customWidth="1"/>
    <col min="1104" max="1272" width="9.109375" style="2"/>
    <col min="1273" max="1273" width="18.44140625" style="2" customWidth="1"/>
    <col min="1274" max="1275" width="11.88671875" style="2" customWidth="1"/>
    <col min="1276" max="1277" width="10.109375" style="2" customWidth="1"/>
    <col min="1278" max="1279" width="13.6640625" style="2" customWidth="1"/>
    <col min="1280" max="1284" width="23.77734375" style="2" customWidth="1"/>
    <col min="1285" max="1287" width="9.109375" style="2"/>
    <col min="1288" max="1288" width="21" style="2" customWidth="1"/>
    <col min="1289" max="1289" width="12.33203125" style="2" customWidth="1"/>
    <col min="1290" max="1290" width="14" style="2" customWidth="1"/>
    <col min="1291" max="1291" width="10.109375" style="2" bestFit="1" customWidth="1"/>
    <col min="1292" max="1292" width="10.109375" style="2" customWidth="1"/>
    <col min="1293" max="1293" width="27.21875" style="2" customWidth="1"/>
    <col min="1294" max="1294" width="24.5546875" style="2" customWidth="1"/>
    <col min="1295" max="1295" width="16.21875" style="2" customWidth="1"/>
    <col min="1296" max="1296" width="16.33203125" style="2" customWidth="1"/>
    <col min="1297" max="1297" width="18.5546875" style="2" customWidth="1"/>
    <col min="1298" max="1298" width="20.33203125" style="2" customWidth="1"/>
    <col min="1299" max="1299" width="26.44140625" style="2" customWidth="1"/>
    <col min="1300" max="1300" width="22.88671875" style="2" customWidth="1"/>
    <col min="1301" max="1301" width="30.21875" style="2" customWidth="1"/>
    <col min="1302" max="1302" width="22.88671875" style="2" customWidth="1"/>
    <col min="1303" max="1306" width="18" style="2" customWidth="1"/>
    <col min="1307" max="1307" width="17.21875" style="2" customWidth="1"/>
    <col min="1308" max="1308" width="16.6640625" style="2" customWidth="1"/>
    <col min="1309" max="1309" width="17.44140625" style="2" customWidth="1"/>
    <col min="1310" max="1310" width="24.21875" style="2" customWidth="1"/>
    <col min="1311" max="1311" width="20.44140625" style="2" customWidth="1"/>
    <col min="1312" max="1312" width="41.5546875" style="2" customWidth="1"/>
    <col min="1313" max="1314" width="32.44140625" style="2" customWidth="1"/>
    <col min="1315" max="1319" width="41.5546875" style="2" customWidth="1"/>
    <col min="1320" max="1320" width="30.44140625" style="2" customWidth="1"/>
    <col min="1321" max="1321" width="22.33203125" style="2" customWidth="1"/>
    <col min="1322" max="1322" width="9.109375" style="2"/>
    <col min="1323" max="1323" width="22.88671875" style="2" customWidth="1"/>
    <col min="1324" max="1324" width="23.77734375" style="2" customWidth="1"/>
    <col min="1325" max="1325" width="74.44140625" style="2" customWidth="1"/>
    <col min="1326" max="1327" width="9.109375" style="2"/>
    <col min="1328" max="1328" width="14.109375" style="2" customWidth="1"/>
    <col min="1329" max="1329" width="12.44140625" style="2" customWidth="1"/>
    <col min="1330" max="1330" width="13.44140625" style="2" customWidth="1"/>
    <col min="1331" max="1331" width="11.109375" style="2" customWidth="1"/>
    <col min="1332" max="1335" width="17.33203125" style="2" customWidth="1"/>
    <col min="1336" max="1339" width="9.109375" style="2"/>
    <col min="1340" max="1341" width="22.33203125" style="2" customWidth="1"/>
    <col min="1342" max="1342" width="11.88671875" style="2" customWidth="1"/>
    <col min="1343" max="1343" width="10.109375" style="2" customWidth="1"/>
    <col min="1344" max="1345" width="9.109375" style="2"/>
    <col min="1346" max="1346" width="13.33203125" style="2" customWidth="1"/>
    <col min="1347" max="1347" width="11.44140625" style="2" customWidth="1"/>
    <col min="1348" max="1348" width="13.33203125" style="2" bestFit="1" customWidth="1"/>
    <col min="1349" max="1349" width="16.88671875" style="2" bestFit="1" customWidth="1"/>
    <col min="1350" max="1352" width="14.44140625" style="2" customWidth="1"/>
    <col min="1353" max="1353" width="9.88671875" style="2" customWidth="1"/>
    <col min="1354" max="1356" width="17" style="2" customWidth="1"/>
    <col min="1357" max="1357" width="9.109375" style="2"/>
    <col min="1358" max="1358" width="17" style="2" customWidth="1"/>
    <col min="1359" max="1359" width="10.44140625" style="2" customWidth="1"/>
    <col min="1360" max="1528" width="9.109375" style="2"/>
    <col min="1529" max="1529" width="18.44140625" style="2" customWidth="1"/>
    <col min="1530" max="1531" width="11.88671875" style="2" customWidth="1"/>
    <col min="1532" max="1533" width="10.109375" style="2" customWidth="1"/>
    <col min="1534" max="1535" width="13.6640625" style="2" customWidth="1"/>
    <col min="1536" max="1540" width="23.77734375" style="2" customWidth="1"/>
    <col min="1541" max="1543" width="9.109375" style="2"/>
    <col min="1544" max="1544" width="21" style="2" customWidth="1"/>
    <col min="1545" max="1545" width="12.33203125" style="2" customWidth="1"/>
    <col min="1546" max="1546" width="14" style="2" customWidth="1"/>
    <col min="1547" max="1547" width="10.109375" style="2" bestFit="1" customWidth="1"/>
    <col min="1548" max="1548" width="10.109375" style="2" customWidth="1"/>
    <col min="1549" max="1549" width="27.21875" style="2" customWidth="1"/>
    <col min="1550" max="1550" width="24.5546875" style="2" customWidth="1"/>
    <col min="1551" max="1551" width="16.21875" style="2" customWidth="1"/>
    <col min="1552" max="1552" width="16.33203125" style="2" customWidth="1"/>
    <col min="1553" max="1553" width="18.5546875" style="2" customWidth="1"/>
    <col min="1554" max="1554" width="20.33203125" style="2" customWidth="1"/>
    <col min="1555" max="1555" width="26.44140625" style="2" customWidth="1"/>
    <col min="1556" max="1556" width="22.88671875" style="2" customWidth="1"/>
    <col min="1557" max="1557" width="30.21875" style="2" customWidth="1"/>
    <col min="1558" max="1558" width="22.88671875" style="2" customWidth="1"/>
    <col min="1559" max="1562" width="18" style="2" customWidth="1"/>
    <col min="1563" max="1563" width="17.21875" style="2" customWidth="1"/>
    <col min="1564" max="1564" width="16.6640625" style="2" customWidth="1"/>
    <col min="1565" max="1565" width="17.44140625" style="2" customWidth="1"/>
    <col min="1566" max="1566" width="24.21875" style="2" customWidth="1"/>
    <col min="1567" max="1567" width="20.44140625" style="2" customWidth="1"/>
    <col min="1568" max="1568" width="41.5546875" style="2" customWidth="1"/>
    <col min="1569" max="1570" width="32.44140625" style="2" customWidth="1"/>
    <col min="1571" max="1575" width="41.5546875" style="2" customWidth="1"/>
    <col min="1576" max="1576" width="30.44140625" style="2" customWidth="1"/>
    <col min="1577" max="1577" width="22.33203125" style="2" customWidth="1"/>
    <col min="1578" max="1578" width="9.109375" style="2"/>
    <col min="1579" max="1579" width="22.88671875" style="2" customWidth="1"/>
    <col min="1580" max="1580" width="23.77734375" style="2" customWidth="1"/>
    <col min="1581" max="1581" width="74.44140625" style="2" customWidth="1"/>
    <col min="1582" max="1583" width="9.109375" style="2"/>
    <col min="1584" max="1584" width="14.109375" style="2" customWidth="1"/>
    <col min="1585" max="1585" width="12.44140625" style="2" customWidth="1"/>
    <col min="1586" max="1586" width="13.44140625" style="2" customWidth="1"/>
    <col min="1587" max="1587" width="11.109375" style="2" customWidth="1"/>
    <col min="1588" max="1591" width="17.33203125" style="2" customWidth="1"/>
    <col min="1592" max="1595" width="9.109375" style="2"/>
    <col min="1596" max="1597" width="22.33203125" style="2" customWidth="1"/>
    <col min="1598" max="1598" width="11.88671875" style="2" customWidth="1"/>
    <col min="1599" max="1599" width="10.109375" style="2" customWidth="1"/>
    <col min="1600" max="1601" width="9.109375" style="2"/>
    <col min="1602" max="1602" width="13.33203125" style="2" customWidth="1"/>
    <col min="1603" max="1603" width="11.44140625" style="2" customWidth="1"/>
    <col min="1604" max="1604" width="13.33203125" style="2" bestFit="1" customWidth="1"/>
    <col min="1605" max="1605" width="16.88671875" style="2" bestFit="1" customWidth="1"/>
    <col min="1606" max="1608" width="14.44140625" style="2" customWidth="1"/>
    <col min="1609" max="1609" width="9.88671875" style="2" customWidth="1"/>
    <col min="1610" max="1612" width="17" style="2" customWidth="1"/>
    <col min="1613" max="1613" width="9.109375" style="2"/>
    <col min="1614" max="1614" width="17" style="2" customWidth="1"/>
    <col min="1615" max="1615" width="10.44140625" style="2" customWidth="1"/>
    <col min="1616" max="1784" width="9.109375" style="2"/>
    <col min="1785" max="1785" width="18.44140625" style="2" customWidth="1"/>
    <col min="1786" max="1787" width="11.88671875" style="2" customWidth="1"/>
    <col min="1788" max="1789" width="10.109375" style="2" customWidth="1"/>
    <col min="1790" max="1791" width="13.6640625" style="2" customWidth="1"/>
    <col min="1792" max="1796" width="23.77734375" style="2" customWidth="1"/>
    <col min="1797" max="1799" width="9.109375" style="2"/>
    <col min="1800" max="1800" width="21" style="2" customWidth="1"/>
    <col min="1801" max="1801" width="12.33203125" style="2" customWidth="1"/>
    <col min="1802" max="1802" width="14" style="2" customWidth="1"/>
    <col min="1803" max="1803" width="10.109375" style="2" bestFit="1" customWidth="1"/>
    <col min="1804" max="1804" width="10.109375" style="2" customWidth="1"/>
    <col min="1805" max="1805" width="27.21875" style="2" customWidth="1"/>
    <col min="1806" max="1806" width="24.5546875" style="2" customWidth="1"/>
    <col min="1807" max="1807" width="16.21875" style="2" customWidth="1"/>
    <col min="1808" max="1808" width="16.33203125" style="2" customWidth="1"/>
    <col min="1809" max="1809" width="18.5546875" style="2" customWidth="1"/>
    <col min="1810" max="1810" width="20.33203125" style="2" customWidth="1"/>
    <col min="1811" max="1811" width="26.44140625" style="2" customWidth="1"/>
    <col min="1812" max="1812" width="22.88671875" style="2" customWidth="1"/>
    <col min="1813" max="1813" width="30.21875" style="2" customWidth="1"/>
    <col min="1814" max="1814" width="22.88671875" style="2" customWidth="1"/>
    <col min="1815" max="1818" width="18" style="2" customWidth="1"/>
    <col min="1819" max="1819" width="17.21875" style="2" customWidth="1"/>
    <col min="1820" max="1820" width="16.6640625" style="2" customWidth="1"/>
    <col min="1821" max="1821" width="17.44140625" style="2" customWidth="1"/>
    <col min="1822" max="1822" width="24.21875" style="2" customWidth="1"/>
    <col min="1823" max="1823" width="20.44140625" style="2" customWidth="1"/>
    <col min="1824" max="1824" width="41.5546875" style="2" customWidth="1"/>
    <col min="1825" max="1826" width="32.44140625" style="2" customWidth="1"/>
    <col min="1827" max="1831" width="41.5546875" style="2" customWidth="1"/>
    <col min="1832" max="1832" width="30.44140625" style="2" customWidth="1"/>
    <col min="1833" max="1833" width="22.33203125" style="2" customWidth="1"/>
    <col min="1834" max="1834" width="9.109375" style="2"/>
    <col min="1835" max="1835" width="22.88671875" style="2" customWidth="1"/>
    <col min="1836" max="1836" width="23.77734375" style="2" customWidth="1"/>
    <col min="1837" max="1837" width="74.44140625" style="2" customWidth="1"/>
    <col min="1838" max="1839" width="9.109375" style="2"/>
    <col min="1840" max="1840" width="14.109375" style="2" customWidth="1"/>
    <col min="1841" max="1841" width="12.44140625" style="2" customWidth="1"/>
    <col min="1842" max="1842" width="13.44140625" style="2" customWidth="1"/>
    <col min="1843" max="1843" width="11.109375" style="2" customWidth="1"/>
    <col min="1844" max="1847" width="17.33203125" style="2" customWidth="1"/>
    <col min="1848" max="1851" width="9.109375" style="2"/>
    <col min="1852" max="1853" width="22.33203125" style="2" customWidth="1"/>
    <col min="1854" max="1854" width="11.88671875" style="2" customWidth="1"/>
    <col min="1855" max="1855" width="10.109375" style="2" customWidth="1"/>
    <col min="1856" max="1857" width="9.109375" style="2"/>
    <col min="1858" max="1858" width="13.33203125" style="2" customWidth="1"/>
    <col min="1859" max="1859" width="11.44140625" style="2" customWidth="1"/>
    <col min="1860" max="1860" width="13.33203125" style="2" bestFit="1" customWidth="1"/>
    <col min="1861" max="1861" width="16.88671875" style="2" bestFit="1" customWidth="1"/>
    <col min="1862" max="1864" width="14.44140625" style="2" customWidth="1"/>
    <col min="1865" max="1865" width="9.88671875" style="2" customWidth="1"/>
    <col min="1866" max="1868" width="17" style="2" customWidth="1"/>
    <col min="1869" max="1869" width="9.109375" style="2"/>
    <col min="1870" max="1870" width="17" style="2" customWidth="1"/>
    <col min="1871" max="1871" width="10.44140625" style="2" customWidth="1"/>
    <col min="1872" max="2040" width="9.109375" style="2"/>
    <col min="2041" max="2041" width="18.44140625" style="2" customWidth="1"/>
    <col min="2042" max="2043" width="11.88671875" style="2" customWidth="1"/>
    <col min="2044" max="2045" width="10.109375" style="2" customWidth="1"/>
    <col min="2046" max="2047" width="13.6640625" style="2" customWidth="1"/>
    <col min="2048" max="2052" width="23.77734375" style="2" customWidth="1"/>
    <col min="2053" max="2055" width="9.109375" style="2"/>
    <col min="2056" max="2056" width="21" style="2" customWidth="1"/>
    <col min="2057" max="2057" width="12.33203125" style="2" customWidth="1"/>
    <col min="2058" max="2058" width="14" style="2" customWidth="1"/>
    <col min="2059" max="2059" width="10.109375" style="2" bestFit="1" customWidth="1"/>
    <col min="2060" max="2060" width="10.109375" style="2" customWidth="1"/>
    <col min="2061" max="2061" width="27.21875" style="2" customWidth="1"/>
    <col min="2062" max="2062" width="24.5546875" style="2" customWidth="1"/>
    <col min="2063" max="2063" width="16.21875" style="2" customWidth="1"/>
    <col min="2064" max="2064" width="16.33203125" style="2" customWidth="1"/>
    <col min="2065" max="2065" width="18.5546875" style="2" customWidth="1"/>
    <col min="2066" max="2066" width="20.33203125" style="2" customWidth="1"/>
    <col min="2067" max="2067" width="26.44140625" style="2" customWidth="1"/>
    <col min="2068" max="2068" width="22.88671875" style="2" customWidth="1"/>
    <col min="2069" max="2069" width="30.21875" style="2" customWidth="1"/>
    <col min="2070" max="2070" width="22.88671875" style="2" customWidth="1"/>
    <col min="2071" max="2074" width="18" style="2" customWidth="1"/>
    <col min="2075" max="2075" width="17.21875" style="2" customWidth="1"/>
    <col min="2076" max="2076" width="16.6640625" style="2" customWidth="1"/>
    <col min="2077" max="2077" width="17.44140625" style="2" customWidth="1"/>
    <col min="2078" max="2078" width="24.21875" style="2" customWidth="1"/>
    <col min="2079" max="2079" width="20.44140625" style="2" customWidth="1"/>
    <col min="2080" max="2080" width="41.5546875" style="2" customWidth="1"/>
    <col min="2081" max="2082" width="32.44140625" style="2" customWidth="1"/>
    <col min="2083" max="2087" width="41.5546875" style="2" customWidth="1"/>
    <col min="2088" max="2088" width="30.44140625" style="2" customWidth="1"/>
    <col min="2089" max="2089" width="22.33203125" style="2" customWidth="1"/>
    <col min="2090" max="2090" width="9.109375" style="2"/>
    <col min="2091" max="2091" width="22.88671875" style="2" customWidth="1"/>
    <col min="2092" max="2092" width="23.77734375" style="2" customWidth="1"/>
    <col min="2093" max="2093" width="74.44140625" style="2" customWidth="1"/>
    <col min="2094" max="2095" width="9.109375" style="2"/>
    <col min="2096" max="2096" width="14.109375" style="2" customWidth="1"/>
    <col min="2097" max="2097" width="12.44140625" style="2" customWidth="1"/>
    <col min="2098" max="2098" width="13.44140625" style="2" customWidth="1"/>
    <col min="2099" max="2099" width="11.109375" style="2" customWidth="1"/>
    <col min="2100" max="2103" width="17.33203125" style="2" customWidth="1"/>
    <col min="2104" max="2107" width="9.109375" style="2"/>
    <col min="2108" max="2109" width="22.33203125" style="2" customWidth="1"/>
    <col min="2110" max="2110" width="11.88671875" style="2" customWidth="1"/>
    <col min="2111" max="2111" width="10.109375" style="2" customWidth="1"/>
    <col min="2112" max="2113" width="9.109375" style="2"/>
    <col min="2114" max="2114" width="13.33203125" style="2" customWidth="1"/>
    <col min="2115" max="2115" width="11.44140625" style="2" customWidth="1"/>
    <col min="2116" max="2116" width="13.33203125" style="2" bestFit="1" customWidth="1"/>
    <col min="2117" max="2117" width="16.88671875" style="2" bestFit="1" customWidth="1"/>
    <col min="2118" max="2120" width="14.44140625" style="2" customWidth="1"/>
    <col min="2121" max="2121" width="9.88671875" style="2" customWidth="1"/>
    <col min="2122" max="2124" width="17" style="2" customWidth="1"/>
    <col min="2125" max="2125" width="9.109375" style="2"/>
    <col min="2126" max="2126" width="17" style="2" customWidth="1"/>
    <col min="2127" max="2127" width="10.44140625" style="2" customWidth="1"/>
    <col min="2128" max="2296" width="9.109375" style="2"/>
    <col min="2297" max="2297" width="18.44140625" style="2" customWidth="1"/>
    <col min="2298" max="2299" width="11.88671875" style="2" customWidth="1"/>
    <col min="2300" max="2301" width="10.109375" style="2" customWidth="1"/>
    <col min="2302" max="2303" width="13.6640625" style="2" customWidth="1"/>
    <col min="2304" max="2308" width="23.77734375" style="2" customWidth="1"/>
    <col min="2309" max="2311" width="9.109375" style="2"/>
    <col min="2312" max="2312" width="21" style="2" customWidth="1"/>
    <col min="2313" max="2313" width="12.33203125" style="2" customWidth="1"/>
    <col min="2314" max="2314" width="14" style="2" customWidth="1"/>
    <col min="2315" max="2315" width="10.109375" style="2" bestFit="1" customWidth="1"/>
    <col min="2316" max="2316" width="10.109375" style="2" customWidth="1"/>
    <col min="2317" max="2317" width="27.21875" style="2" customWidth="1"/>
    <col min="2318" max="2318" width="24.5546875" style="2" customWidth="1"/>
    <col min="2319" max="2319" width="16.21875" style="2" customWidth="1"/>
    <col min="2320" max="2320" width="16.33203125" style="2" customWidth="1"/>
    <col min="2321" max="2321" width="18.5546875" style="2" customWidth="1"/>
    <col min="2322" max="2322" width="20.33203125" style="2" customWidth="1"/>
    <col min="2323" max="2323" width="26.44140625" style="2" customWidth="1"/>
    <col min="2324" max="2324" width="22.88671875" style="2" customWidth="1"/>
    <col min="2325" max="2325" width="30.21875" style="2" customWidth="1"/>
    <col min="2326" max="2326" width="22.88671875" style="2" customWidth="1"/>
    <col min="2327" max="2330" width="18" style="2" customWidth="1"/>
    <col min="2331" max="2331" width="17.21875" style="2" customWidth="1"/>
    <col min="2332" max="2332" width="16.6640625" style="2" customWidth="1"/>
    <col min="2333" max="2333" width="17.44140625" style="2" customWidth="1"/>
    <col min="2334" max="2334" width="24.21875" style="2" customWidth="1"/>
    <col min="2335" max="2335" width="20.44140625" style="2" customWidth="1"/>
    <col min="2336" max="2336" width="41.5546875" style="2" customWidth="1"/>
    <col min="2337" max="2338" width="32.44140625" style="2" customWidth="1"/>
    <col min="2339" max="2343" width="41.5546875" style="2" customWidth="1"/>
    <col min="2344" max="2344" width="30.44140625" style="2" customWidth="1"/>
    <col min="2345" max="2345" width="22.33203125" style="2" customWidth="1"/>
    <col min="2346" max="2346" width="9.109375" style="2"/>
    <col min="2347" max="2347" width="22.88671875" style="2" customWidth="1"/>
    <col min="2348" max="2348" width="23.77734375" style="2" customWidth="1"/>
    <col min="2349" max="2349" width="74.44140625" style="2" customWidth="1"/>
    <col min="2350" max="2351" width="9.109375" style="2"/>
    <col min="2352" max="2352" width="14.109375" style="2" customWidth="1"/>
    <col min="2353" max="2353" width="12.44140625" style="2" customWidth="1"/>
    <col min="2354" max="2354" width="13.44140625" style="2" customWidth="1"/>
    <col min="2355" max="2355" width="11.109375" style="2" customWidth="1"/>
    <col min="2356" max="2359" width="17.33203125" style="2" customWidth="1"/>
    <col min="2360" max="2363" width="9.109375" style="2"/>
    <col min="2364" max="2365" width="22.33203125" style="2" customWidth="1"/>
    <col min="2366" max="2366" width="11.88671875" style="2" customWidth="1"/>
    <col min="2367" max="2367" width="10.109375" style="2" customWidth="1"/>
    <col min="2368" max="2369" width="9.109375" style="2"/>
    <col min="2370" max="2370" width="13.33203125" style="2" customWidth="1"/>
    <col min="2371" max="2371" width="11.44140625" style="2" customWidth="1"/>
    <col min="2372" max="2372" width="13.33203125" style="2" bestFit="1" customWidth="1"/>
    <col min="2373" max="2373" width="16.88671875" style="2" bestFit="1" customWidth="1"/>
    <col min="2374" max="2376" width="14.44140625" style="2" customWidth="1"/>
    <col min="2377" max="2377" width="9.88671875" style="2" customWidth="1"/>
    <col min="2378" max="2380" width="17" style="2" customWidth="1"/>
    <col min="2381" max="2381" width="9.109375" style="2"/>
    <col min="2382" max="2382" width="17" style="2" customWidth="1"/>
    <col min="2383" max="2383" width="10.44140625" style="2" customWidth="1"/>
    <col min="2384" max="2552" width="9.109375" style="2"/>
    <col min="2553" max="2553" width="18.44140625" style="2" customWidth="1"/>
    <col min="2554" max="2555" width="11.88671875" style="2" customWidth="1"/>
    <col min="2556" max="2557" width="10.109375" style="2" customWidth="1"/>
    <col min="2558" max="2559" width="13.6640625" style="2" customWidth="1"/>
    <col min="2560" max="2564" width="23.77734375" style="2" customWidth="1"/>
    <col min="2565" max="2567" width="9.109375" style="2"/>
    <col min="2568" max="2568" width="21" style="2" customWidth="1"/>
    <col min="2569" max="2569" width="12.33203125" style="2" customWidth="1"/>
    <col min="2570" max="2570" width="14" style="2" customWidth="1"/>
    <col min="2571" max="2571" width="10.109375" style="2" bestFit="1" customWidth="1"/>
    <col min="2572" max="2572" width="10.109375" style="2" customWidth="1"/>
    <col min="2573" max="2573" width="27.21875" style="2" customWidth="1"/>
    <col min="2574" max="2574" width="24.5546875" style="2" customWidth="1"/>
    <col min="2575" max="2575" width="16.21875" style="2" customWidth="1"/>
    <col min="2576" max="2576" width="16.33203125" style="2" customWidth="1"/>
    <col min="2577" max="2577" width="18.5546875" style="2" customWidth="1"/>
    <col min="2578" max="2578" width="20.33203125" style="2" customWidth="1"/>
    <col min="2579" max="2579" width="26.44140625" style="2" customWidth="1"/>
    <col min="2580" max="2580" width="22.88671875" style="2" customWidth="1"/>
    <col min="2581" max="2581" width="30.21875" style="2" customWidth="1"/>
    <col min="2582" max="2582" width="22.88671875" style="2" customWidth="1"/>
    <col min="2583" max="2586" width="18" style="2" customWidth="1"/>
    <col min="2587" max="2587" width="17.21875" style="2" customWidth="1"/>
    <col min="2588" max="2588" width="16.6640625" style="2" customWidth="1"/>
    <col min="2589" max="2589" width="17.44140625" style="2" customWidth="1"/>
    <col min="2590" max="2590" width="24.21875" style="2" customWidth="1"/>
    <col min="2591" max="2591" width="20.44140625" style="2" customWidth="1"/>
    <col min="2592" max="2592" width="41.5546875" style="2" customWidth="1"/>
    <col min="2593" max="2594" width="32.44140625" style="2" customWidth="1"/>
    <col min="2595" max="2599" width="41.5546875" style="2" customWidth="1"/>
    <col min="2600" max="2600" width="30.44140625" style="2" customWidth="1"/>
    <col min="2601" max="2601" width="22.33203125" style="2" customWidth="1"/>
    <col min="2602" max="2602" width="9.109375" style="2"/>
    <col min="2603" max="2603" width="22.88671875" style="2" customWidth="1"/>
    <col min="2604" max="2604" width="23.77734375" style="2" customWidth="1"/>
    <col min="2605" max="2605" width="74.44140625" style="2" customWidth="1"/>
    <col min="2606" max="2607" width="9.109375" style="2"/>
    <col min="2608" max="2608" width="14.109375" style="2" customWidth="1"/>
    <col min="2609" max="2609" width="12.44140625" style="2" customWidth="1"/>
    <col min="2610" max="2610" width="13.44140625" style="2" customWidth="1"/>
    <col min="2611" max="2611" width="11.109375" style="2" customWidth="1"/>
    <col min="2612" max="2615" width="17.33203125" style="2" customWidth="1"/>
    <col min="2616" max="2619" width="9.109375" style="2"/>
    <col min="2620" max="2621" width="22.33203125" style="2" customWidth="1"/>
    <col min="2622" max="2622" width="11.88671875" style="2" customWidth="1"/>
    <col min="2623" max="2623" width="10.109375" style="2" customWidth="1"/>
    <col min="2624" max="2625" width="9.109375" style="2"/>
    <col min="2626" max="2626" width="13.33203125" style="2" customWidth="1"/>
    <col min="2627" max="2627" width="11.44140625" style="2" customWidth="1"/>
    <col min="2628" max="2628" width="13.33203125" style="2" bestFit="1" customWidth="1"/>
    <col min="2629" max="2629" width="16.88671875" style="2" bestFit="1" customWidth="1"/>
    <col min="2630" max="2632" width="14.44140625" style="2" customWidth="1"/>
    <col min="2633" max="2633" width="9.88671875" style="2" customWidth="1"/>
    <col min="2634" max="2636" width="17" style="2" customWidth="1"/>
    <col min="2637" max="2637" width="9.109375" style="2"/>
    <col min="2638" max="2638" width="17" style="2" customWidth="1"/>
    <col min="2639" max="2639" width="10.44140625" style="2" customWidth="1"/>
    <col min="2640" max="2808" width="9.109375" style="2"/>
    <col min="2809" max="2809" width="18.44140625" style="2" customWidth="1"/>
    <col min="2810" max="2811" width="11.88671875" style="2" customWidth="1"/>
    <col min="2812" max="2813" width="10.109375" style="2" customWidth="1"/>
    <col min="2814" max="2815" width="13.6640625" style="2" customWidth="1"/>
    <col min="2816" max="2820" width="23.77734375" style="2" customWidth="1"/>
    <col min="2821" max="2823" width="9.109375" style="2"/>
    <col min="2824" max="2824" width="21" style="2" customWidth="1"/>
    <col min="2825" max="2825" width="12.33203125" style="2" customWidth="1"/>
    <col min="2826" max="2826" width="14" style="2" customWidth="1"/>
    <col min="2827" max="2827" width="10.109375" style="2" bestFit="1" customWidth="1"/>
    <col min="2828" max="2828" width="10.109375" style="2" customWidth="1"/>
    <col min="2829" max="2829" width="27.21875" style="2" customWidth="1"/>
    <col min="2830" max="2830" width="24.5546875" style="2" customWidth="1"/>
    <col min="2831" max="2831" width="16.21875" style="2" customWidth="1"/>
    <col min="2832" max="2832" width="16.33203125" style="2" customWidth="1"/>
    <col min="2833" max="2833" width="18.5546875" style="2" customWidth="1"/>
    <col min="2834" max="2834" width="20.33203125" style="2" customWidth="1"/>
    <col min="2835" max="2835" width="26.44140625" style="2" customWidth="1"/>
    <col min="2836" max="2836" width="22.88671875" style="2" customWidth="1"/>
    <col min="2837" max="2837" width="30.21875" style="2" customWidth="1"/>
    <col min="2838" max="2838" width="22.88671875" style="2" customWidth="1"/>
    <col min="2839" max="2842" width="18" style="2" customWidth="1"/>
    <col min="2843" max="2843" width="17.21875" style="2" customWidth="1"/>
    <col min="2844" max="2844" width="16.6640625" style="2" customWidth="1"/>
    <col min="2845" max="2845" width="17.44140625" style="2" customWidth="1"/>
    <col min="2846" max="2846" width="24.21875" style="2" customWidth="1"/>
    <col min="2847" max="2847" width="20.44140625" style="2" customWidth="1"/>
    <col min="2848" max="2848" width="41.5546875" style="2" customWidth="1"/>
    <col min="2849" max="2850" width="32.44140625" style="2" customWidth="1"/>
    <col min="2851" max="2855" width="41.5546875" style="2" customWidth="1"/>
    <col min="2856" max="2856" width="30.44140625" style="2" customWidth="1"/>
    <col min="2857" max="2857" width="22.33203125" style="2" customWidth="1"/>
    <col min="2858" max="2858" width="9.109375" style="2"/>
    <col min="2859" max="2859" width="22.88671875" style="2" customWidth="1"/>
    <col min="2860" max="2860" width="23.77734375" style="2" customWidth="1"/>
    <col min="2861" max="2861" width="74.44140625" style="2" customWidth="1"/>
    <col min="2862" max="2863" width="9.109375" style="2"/>
    <col min="2864" max="2864" width="14.109375" style="2" customWidth="1"/>
    <col min="2865" max="2865" width="12.44140625" style="2" customWidth="1"/>
    <col min="2866" max="2866" width="13.44140625" style="2" customWidth="1"/>
    <col min="2867" max="2867" width="11.109375" style="2" customWidth="1"/>
    <col min="2868" max="2871" width="17.33203125" style="2" customWidth="1"/>
    <col min="2872" max="2875" width="9.109375" style="2"/>
    <col min="2876" max="2877" width="22.33203125" style="2" customWidth="1"/>
    <col min="2878" max="2878" width="11.88671875" style="2" customWidth="1"/>
    <col min="2879" max="2879" width="10.109375" style="2" customWidth="1"/>
    <col min="2880" max="2881" width="9.109375" style="2"/>
    <col min="2882" max="2882" width="13.33203125" style="2" customWidth="1"/>
    <col min="2883" max="2883" width="11.44140625" style="2" customWidth="1"/>
    <col min="2884" max="2884" width="13.33203125" style="2" bestFit="1" customWidth="1"/>
    <col min="2885" max="2885" width="16.88671875" style="2" bestFit="1" customWidth="1"/>
    <col min="2886" max="2888" width="14.44140625" style="2" customWidth="1"/>
    <col min="2889" max="2889" width="9.88671875" style="2" customWidth="1"/>
    <col min="2890" max="2892" width="17" style="2" customWidth="1"/>
    <col min="2893" max="2893" width="9.109375" style="2"/>
    <col min="2894" max="2894" width="17" style="2" customWidth="1"/>
    <col min="2895" max="2895" width="10.44140625" style="2" customWidth="1"/>
    <col min="2896" max="3064" width="9.109375" style="2"/>
    <col min="3065" max="3065" width="18.44140625" style="2" customWidth="1"/>
    <col min="3066" max="3067" width="11.88671875" style="2" customWidth="1"/>
    <col min="3068" max="3069" width="10.109375" style="2" customWidth="1"/>
    <col min="3070" max="3071" width="13.6640625" style="2" customWidth="1"/>
    <col min="3072" max="3076" width="23.77734375" style="2" customWidth="1"/>
    <col min="3077" max="3079" width="9.109375" style="2"/>
    <col min="3080" max="3080" width="21" style="2" customWidth="1"/>
    <col min="3081" max="3081" width="12.33203125" style="2" customWidth="1"/>
    <col min="3082" max="3082" width="14" style="2" customWidth="1"/>
    <col min="3083" max="3083" width="10.109375" style="2" bestFit="1" customWidth="1"/>
    <col min="3084" max="3084" width="10.109375" style="2" customWidth="1"/>
    <col min="3085" max="3085" width="27.21875" style="2" customWidth="1"/>
    <col min="3086" max="3086" width="24.5546875" style="2" customWidth="1"/>
    <col min="3087" max="3087" width="16.21875" style="2" customWidth="1"/>
    <col min="3088" max="3088" width="16.33203125" style="2" customWidth="1"/>
    <col min="3089" max="3089" width="18.5546875" style="2" customWidth="1"/>
    <col min="3090" max="3090" width="20.33203125" style="2" customWidth="1"/>
    <col min="3091" max="3091" width="26.44140625" style="2" customWidth="1"/>
    <col min="3092" max="3092" width="22.88671875" style="2" customWidth="1"/>
    <col min="3093" max="3093" width="30.21875" style="2" customWidth="1"/>
    <col min="3094" max="3094" width="22.88671875" style="2" customWidth="1"/>
    <col min="3095" max="3098" width="18" style="2" customWidth="1"/>
    <col min="3099" max="3099" width="17.21875" style="2" customWidth="1"/>
    <col min="3100" max="3100" width="16.6640625" style="2" customWidth="1"/>
    <col min="3101" max="3101" width="17.44140625" style="2" customWidth="1"/>
    <col min="3102" max="3102" width="24.21875" style="2" customWidth="1"/>
    <col min="3103" max="3103" width="20.44140625" style="2" customWidth="1"/>
    <col min="3104" max="3104" width="41.5546875" style="2" customWidth="1"/>
    <col min="3105" max="3106" width="32.44140625" style="2" customWidth="1"/>
    <col min="3107" max="3111" width="41.5546875" style="2" customWidth="1"/>
    <col min="3112" max="3112" width="30.44140625" style="2" customWidth="1"/>
    <col min="3113" max="3113" width="22.33203125" style="2" customWidth="1"/>
    <col min="3114" max="3114" width="9.109375" style="2"/>
    <col min="3115" max="3115" width="22.88671875" style="2" customWidth="1"/>
    <col min="3116" max="3116" width="23.77734375" style="2" customWidth="1"/>
    <col min="3117" max="3117" width="74.44140625" style="2" customWidth="1"/>
    <col min="3118" max="3119" width="9.109375" style="2"/>
    <col min="3120" max="3120" width="14.109375" style="2" customWidth="1"/>
    <col min="3121" max="3121" width="12.44140625" style="2" customWidth="1"/>
    <col min="3122" max="3122" width="13.44140625" style="2" customWidth="1"/>
    <col min="3123" max="3123" width="11.109375" style="2" customWidth="1"/>
    <col min="3124" max="3127" width="17.33203125" style="2" customWidth="1"/>
    <col min="3128" max="3131" width="9.109375" style="2"/>
    <col min="3132" max="3133" width="22.33203125" style="2" customWidth="1"/>
    <col min="3134" max="3134" width="11.88671875" style="2" customWidth="1"/>
    <col min="3135" max="3135" width="10.109375" style="2" customWidth="1"/>
    <col min="3136" max="3137" width="9.109375" style="2"/>
    <col min="3138" max="3138" width="13.33203125" style="2" customWidth="1"/>
    <col min="3139" max="3139" width="11.44140625" style="2" customWidth="1"/>
    <col min="3140" max="3140" width="13.33203125" style="2" bestFit="1" customWidth="1"/>
    <col min="3141" max="3141" width="16.88671875" style="2" bestFit="1" customWidth="1"/>
    <col min="3142" max="3144" width="14.44140625" style="2" customWidth="1"/>
    <col min="3145" max="3145" width="9.88671875" style="2" customWidth="1"/>
    <col min="3146" max="3148" width="17" style="2" customWidth="1"/>
    <col min="3149" max="3149" width="9.109375" style="2"/>
    <col min="3150" max="3150" width="17" style="2" customWidth="1"/>
    <col min="3151" max="3151" width="10.44140625" style="2" customWidth="1"/>
    <col min="3152" max="3320" width="9.109375" style="2"/>
    <col min="3321" max="3321" width="18.44140625" style="2" customWidth="1"/>
    <col min="3322" max="3323" width="11.88671875" style="2" customWidth="1"/>
    <col min="3324" max="3325" width="10.109375" style="2" customWidth="1"/>
    <col min="3326" max="3327" width="13.6640625" style="2" customWidth="1"/>
    <col min="3328" max="3332" width="23.77734375" style="2" customWidth="1"/>
    <col min="3333" max="3335" width="9.109375" style="2"/>
    <col min="3336" max="3336" width="21" style="2" customWidth="1"/>
    <col min="3337" max="3337" width="12.33203125" style="2" customWidth="1"/>
    <col min="3338" max="3338" width="14" style="2" customWidth="1"/>
    <col min="3339" max="3339" width="10.109375" style="2" bestFit="1" customWidth="1"/>
    <col min="3340" max="3340" width="10.109375" style="2" customWidth="1"/>
    <col min="3341" max="3341" width="27.21875" style="2" customWidth="1"/>
    <col min="3342" max="3342" width="24.5546875" style="2" customWidth="1"/>
    <col min="3343" max="3343" width="16.21875" style="2" customWidth="1"/>
    <col min="3344" max="3344" width="16.33203125" style="2" customWidth="1"/>
    <col min="3345" max="3345" width="18.5546875" style="2" customWidth="1"/>
    <col min="3346" max="3346" width="20.33203125" style="2" customWidth="1"/>
    <col min="3347" max="3347" width="26.44140625" style="2" customWidth="1"/>
    <col min="3348" max="3348" width="22.88671875" style="2" customWidth="1"/>
    <col min="3349" max="3349" width="30.21875" style="2" customWidth="1"/>
    <col min="3350" max="3350" width="22.88671875" style="2" customWidth="1"/>
    <col min="3351" max="3354" width="18" style="2" customWidth="1"/>
    <col min="3355" max="3355" width="17.21875" style="2" customWidth="1"/>
    <col min="3356" max="3356" width="16.6640625" style="2" customWidth="1"/>
    <col min="3357" max="3357" width="17.44140625" style="2" customWidth="1"/>
    <col min="3358" max="3358" width="24.21875" style="2" customWidth="1"/>
    <col min="3359" max="3359" width="20.44140625" style="2" customWidth="1"/>
    <col min="3360" max="3360" width="41.5546875" style="2" customWidth="1"/>
    <col min="3361" max="3362" width="32.44140625" style="2" customWidth="1"/>
    <col min="3363" max="3367" width="41.5546875" style="2" customWidth="1"/>
    <col min="3368" max="3368" width="30.44140625" style="2" customWidth="1"/>
    <col min="3369" max="3369" width="22.33203125" style="2" customWidth="1"/>
    <col min="3370" max="3370" width="9.109375" style="2"/>
    <col min="3371" max="3371" width="22.88671875" style="2" customWidth="1"/>
    <col min="3372" max="3372" width="23.77734375" style="2" customWidth="1"/>
    <col min="3373" max="3373" width="74.44140625" style="2" customWidth="1"/>
    <col min="3374" max="3375" width="9.109375" style="2"/>
    <col min="3376" max="3376" width="14.109375" style="2" customWidth="1"/>
    <col min="3377" max="3377" width="12.44140625" style="2" customWidth="1"/>
    <col min="3378" max="3378" width="13.44140625" style="2" customWidth="1"/>
    <col min="3379" max="3379" width="11.109375" style="2" customWidth="1"/>
    <col min="3380" max="3383" width="17.33203125" style="2" customWidth="1"/>
    <col min="3384" max="3387" width="9.109375" style="2"/>
    <col min="3388" max="3389" width="22.33203125" style="2" customWidth="1"/>
    <col min="3390" max="3390" width="11.88671875" style="2" customWidth="1"/>
    <col min="3391" max="3391" width="10.109375" style="2" customWidth="1"/>
    <col min="3392" max="3393" width="9.109375" style="2"/>
    <col min="3394" max="3394" width="13.33203125" style="2" customWidth="1"/>
    <col min="3395" max="3395" width="11.44140625" style="2" customWidth="1"/>
    <col min="3396" max="3396" width="13.33203125" style="2" bestFit="1" customWidth="1"/>
    <col min="3397" max="3397" width="16.88671875" style="2" bestFit="1" customWidth="1"/>
    <col min="3398" max="3400" width="14.44140625" style="2" customWidth="1"/>
    <col min="3401" max="3401" width="9.88671875" style="2" customWidth="1"/>
    <col min="3402" max="3404" width="17" style="2" customWidth="1"/>
    <col min="3405" max="3405" width="9.109375" style="2"/>
    <col min="3406" max="3406" width="17" style="2" customWidth="1"/>
    <col min="3407" max="3407" width="10.44140625" style="2" customWidth="1"/>
    <col min="3408" max="3576" width="9.109375" style="2"/>
    <col min="3577" max="3577" width="18.44140625" style="2" customWidth="1"/>
    <col min="3578" max="3579" width="11.88671875" style="2" customWidth="1"/>
    <col min="3580" max="3581" width="10.109375" style="2" customWidth="1"/>
    <col min="3582" max="3583" width="13.6640625" style="2" customWidth="1"/>
    <col min="3584" max="3588" width="23.77734375" style="2" customWidth="1"/>
    <col min="3589" max="3591" width="9.109375" style="2"/>
    <col min="3592" max="3592" width="21" style="2" customWidth="1"/>
    <col min="3593" max="3593" width="12.33203125" style="2" customWidth="1"/>
    <col min="3594" max="3594" width="14" style="2" customWidth="1"/>
    <col min="3595" max="3595" width="10.109375" style="2" bestFit="1" customWidth="1"/>
    <col min="3596" max="3596" width="10.109375" style="2" customWidth="1"/>
    <col min="3597" max="3597" width="27.21875" style="2" customWidth="1"/>
    <col min="3598" max="3598" width="24.5546875" style="2" customWidth="1"/>
    <col min="3599" max="3599" width="16.21875" style="2" customWidth="1"/>
    <col min="3600" max="3600" width="16.33203125" style="2" customWidth="1"/>
    <col min="3601" max="3601" width="18.5546875" style="2" customWidth="1"/>
    <col min="3602" max="3602" width="20.33203125" style="2" customWidth="1"/>
    <col min="3603" max="3603" width="26.44140625" style="2" customWidth="1"/>
    <col min="3604" max="3604" width="22.88671875" style="2" customWidth="1"/>
    <col min="3605" max="3605" width="30.21875" style="2" customWidth="1"/>
    <col min="3606" max="3606" width="22.88671875" style="2" customWidth="1"/>
    <col min="3607" max="3610" width="18" style="2" customWidth="1"/>
    <col min="3611" max="3611" width="17.21875" style="2" customWidth="1"/>
    <col min="3612" max="3612" width="16.6640625" style="2" customWidth="1"/>
    <col min="3613" max="3613" width="17.44140625" style="2" customWidth="1"/>
    <col min="3614" max="3614" width="24.21875" style="2" customWidth="1"/>
    <col min="3615" max="3615" width="20.44140625" style="2" customWidth="1"/>
    <col min="3616" max="3616" width="41.5546875" style="2" customWidth="1"/>
    <col min="3617" max="3618" width="32.44140625" style="2" customWidth="1"/>
    <col min="3619" max="3623" width="41.5546875" style="2" customWidth="1"/>
    <col min="3624" max="3624" width="30.44140625" style="2" customWidth="1"/>
    <col min="3625" max="3625" width="22.33203125" style="2" customWidth="1"/>
    <col min="3626" max="3626" width="9.109375" style="2"/>
    <col min="3627" max="3627" width="22.88671875" style="2" customWidth="1"/>
    <col min="3628" max="3628" width="23.77734375" style="2" customWidth="1"/>
    <col min="3629" max="3629" width="74.44140625" style="2" customWidth="1"/>
    <col min="3630" max="3631" width="9.109375" style="2"/>
    <col min="3632" max="3632" width="14.109375" style="2" customWidth="1"/>
    <col min="3633" max="3633" width="12.44140625" style="2" customWidth="1"/>
    <col min="3634" max="3634" width="13.44140625" style="2" customWidth="1"/>
    <col min="3635" max="3635" width="11.109375" style="2" customWidth="1"/>
    <col min="3636" max="3639" width="17.33203125" style="2" customWidth="1"/>
    <col min="3640" max="3643" width="9.109375" style="2"/>
    <col min="3644" max="3645" width="22.33203125" style="2" customWidth="1"/>
    <col min="3646" max="3646" width="11.88671875" style="2" customWidth="1"/>
    <col min="3647" max="3647" width="10.109375" style="2" customWidth="1"/>
    <col min="3648" max="3649" width="9.109375" style="2"/>
    <col min="3650" max="3650" width="13.33203125" style="2" customWidth="1"/>
    <col min="3651" max="3651" width="11.44140625" style="2" customWidth="1"/>
    <col min="3652" max="3652" width="13.33203125" style="2" bestFit="1" customWidth="1"/>
    <col min="3653" max="3653" width="16.88671875" style="2" bestFit="1" customWidth="1"/>
    <col min="3654" max="3656" width="14.44140625" style="2" customWidth="1"/>
    <col min="3657" max="3657" width="9.88671875" style="2" customWidth="1"/>
    <col min="3658" max="3660" width="17" style="2" customWidth="1"/>
    <col min="3661" max="3661" width="9.109375" style="2"/>
    <col min="3662" max="3662" width="17" style="2" customWidth="1"/>
    <col min="3663" max="3663" width="10.44140625" style="2" customWidth="1"/>
    <col min="3664" max="3832" width="9.109375" style="2"/>
    <col min="3833" max="3833" width="18.44140625" style="2" customWidth="1"/>
    <col min="3834" max="3835" width="11.88671875" style="2" customWidth="1"/>
    <col min="3836" max="3837" width="10.109375" style="2" customWidth="1"/>
    <col min="3838" max="3839" width="13.6640625" style="2" customWidth="1"/>
    <col min="3840" max="3844" width="23.77734375" style="2" customWidth="1"/>
    <col min="3845" max="3847" width="9.109375" style="2"/>
    <col min="3848" max="3848" width="21" style="2" customWidth="1"/>
    <col min="3849" max="3849" width="12.33203125" style="2" customWidth="1"/>
    <col min="3850" max="3850" width="14" style="2" customWidth="1"/>
    <col min="3851" max="3851" width="10.109375" style="2" bestFit="1" customWidth="1"/>
    <col min="3852" max="3852" width="10.109375" style="2" customWidth="1"/>
    <col min="3853" max="3853" width="27.21875" style="2" customWidth="1"/>
    <col min="3854" max="3854" width="24.5546875" style="2" customWidth="1"/>
    <col min="3855" max="3855" width="16.21875" style="2" customWidth="1"/>
    <col min="3856" max="3856" width="16.33203125" style="2" customWidth="1"/>
    <col min="3857" max="3857" width="18.5546875" style="2" customWidth="1"/>
    <col min="3858" max="3858" width="20.33203125" style="2" customWidth="1"/>
    <col min="3859" max="3859" width="26.44140625" style="2" customWidth="1"/>
    <col min="3860" max="3860" width="22.88671875" style="2" customWidth="1"/>
    <col min="3861" max="3861" width="30.21875" style="2" customWidth="1"/>
    <col min="3862" max="3862" width="22.88671875" style="2" customWidth="1"/>
    <col min="3863" max="3866" width="18" style="2" customWidth="1"/>
    <col min="3867" max="3867" width="17.21875" style="2" customWidth="1"/>
    <col min="3868" max="3868" width="16.6640625" style="2" customWidth="1"/>
    <col min="3869" max="3869" width="17.44140625" style="2" customWidth="1"/>
    <col min="3870" max="3870" width="24.21875" style="2" customWidth="1"/>
    <col min="3871" max="3871" width="20.44140625" style="2" customWidth="1"/>
    <col min="3872" max="3872" width="41.5546875" style="2" customWidth="1"/>
    <col min="3873" max="3874" width="32.44140625" style="2" customWidth="1"/>
    <col min="3875" max="3879" width="41.5546875" style="2" customWidth="1"/>
    <col min="3880" max="3880" width="30.44140625" style="2" customWidth="1"/>
    <col min="3881" max="3881" width="22.33203125" style="2" customWidth="1"/>
    <col min="3882" max="3882" width="9.109375" style="2"/>
    <col min="3883" max="3883" width="22.88671875" style="2" customWidth="1"/>
    <col min="3884" max="3884" width="23.77734375" style="2" customWidth="1"/>
    <col min="3885" max="3885" width="74.44140625" style="2" customWidth="1"/>
    <col min="3886" max="3887" width="9.109375" style="2"/>
    <col min="3888" max="3888" width="14.109375" style="2" customWidth="1"/>
    <col min="3889" max="3889" width="12.44140625" style="2" customWidth="1"/>
    <col min="3890" max="3890" width="13.44140625" style="2" customWidth="1"/>
    <col min="3891" max="3891" width="11.109375" style="2" customWidth="1"/>
    <col min="3892" max="3895" width="17.33203125" style="2" customWidth="1"/>
    <col min="3896" max="3899" width="9.109375" style="2"/>
    <col min="3900" max="3901" width="22.33203125" style="2" customWidth="1"/>
    <col min="3902" max="3902" width="11.88671875" style="2" customWidth="1"/>
    <col min="3903" max="3903" width="10.109375" style="2" customWidth="1"/>
    <col min="3904" max="3905" width="9.109375" style="2"/>
    <col min="3906" max="3906" width="13.33203125" style="2" customWidth="1"/>
    <col min="3907" max="3907" width="11.44140625" style="2" customWidth="1"/>
    <col min="3908" max="3908" width="13.33203125" style="2" bestFit="1" customWidth="1"/>
    <col min="3909" max="3909" width="16.88671875" style="2" bestFit="1" customWidth="1"/>
    <col min="3910" max="3912" width="14.44140625" style="2" customWidth="1"/>
    <col min="3913" max="3913" width="9.88671875" style="2" customWidth="1"/>
    <col min="3914" max="3916" width="17" style="2" customWidth="1"/>
    <col min="3917" max="3917" width="9.109375" style="2"/>
    <col min="3918" max="3918" width="17" style="2" customWidth="1"/>
    <col min="3919" max="3919" width="10.44140625" style="2" customWidth="1"/>
    <col min="3920" max="4088" width="9.109375" style="2"/>
    <col min="4089" max="4089" width="18.44140625" style="2" customWidth="1"/>
    <col min="4090" max="4091" width="11.88671875" style="2" customWidth="1"/>
    <col min="4092" max="4093" width="10.109375" style="2" customWidth="1"/>
    <col min="4094" max="4095" width="13.6640625" style="2" customWidth="1"/>
    <col min="4096" max="4100" width="23.77734375" style="2" customWidth="1"/>
    <col min="4101" max="4103" width="9.109375" style="2"/>
    <col min="4104" max="4104" width="21" style="2" customWidth="1"/>
    <col min="4105" max="4105" width="12.33203125" style="2" customWidth="1"/>
    <col min="4106" max="4106" width="14" style="2" customWidth="1"/>
    <col min="4107" max="4107" width="10.109375" style="2" bestFit="1" customWidth="1"/>
    <col min="4108" max="4108" width="10.109375" style="2" customWidth="1"/>
    <col min="4109" max="4109" width="27.21875" style="2" customWidth="1"/>
    <col min="4110" max="4110" width="24.5546875" style="2" customWidth="1"/>
    <col min="4111" max="4111" width="16.21875" style="2" customWidth="1"/>
    <col min="4112" max="4112" width="16.33203125" style="2" customWidth="1"/>
    <col min="4113" max="4113" width="18.5546875" style="2" customWidth="1"/>
    <col min="4114" max="4114" width="20.33203125" style="2" customWidth="1"/>
    <col min="4115" max="4115" width="26.44140625" style="2" customWidth="1"/>
    <col min="4116" max="4116" width="22.88671875" style="2" customWidth="1"/>
    <col min="4117" max="4117" width="30.21875" style="2" customWidth="1"/>
    <col min="4118" max="4118" width="22.88671875" style="2" customWidth="1"/>
    <col min="4119" max="4122" width="18" style="2" customWidth="1"/>
    <col min="4123" max="4123" width="17.21875" style="2" customWidth="1"/>
    <col min="4124" max="4124" width="16.6640625" style="2" customWidth="1"/>
    <col min="4125" max="4125" width="17.44140625" style="2" customWidth="1"/>
    <col min="4126" max="4126" width="24.21875" style="2" customWidth="1"/>
    <col min="4127" max="4127" width="20.44140625" style="2" customWidth="1"/>
    <col min="4128" max="4128" width="41.5546875" style="2" customWidth="1"/>
    <col min="4129" max="4130" width="32.44140625" style="2" customWidth="1"/>
    <col min="4131" max="4135" width="41.5546875" style="2" customWidth="1"/>
    <col min="4136" max="4136" width="30.44140625" style="2" customWidth="1"/>
    <col min="4137" max="4137" width="22.33203125" style="2" customWidth="1"/>
    <col min="4138" max="4138" width="9.109375" style="2"/>
    <col min="4139" max="4139" width="22.88671875" style="2" customWidth="1"/>
    <col min="4140" max="4140" width="23.77734375" style="2" customWidth="1"/>
    <col min="4141" max="4141" width="74.44140625" style="2" customWidth="1"/>
    <col min="4142" max="4143" width="9.109375" style="2"/>
    <col min="4144" max="4144" width="14.109375" style="2" customWidth="1"/>
    <col min="4145" max="4145" width="12.44140625" style="2" customWidth="1"/>
    <col min="4146" max="4146" width="13.44140625" style="2" customWidth="1"/>
    <col min="4147" max="4147" width="11.109375" style="2" customWidth="1"/>
    <col min="4148" max="4151" width="17.33203125" style="2" customWidth="1"/>
    <col min="4152" max="4155" width="9.109375" style="2"/>
    <col min="4156" max="4157" width="22.33203125" style="2" customWidth="1"/>
    <col min="4158" max="4158" width="11.88671875" style="2" customWidth="1"/>
    <col min="4159" max="4159" width="10.109375" style="2" customWidth="1"/>
    <col min="4160" max="4161" width="9.109375" style="2"/>
    <col min="4162" max="4162" width="13.33203125" style="2" customWidth="1"/>
    <col min="4163" max="4163" width="11.44140625" style="2" customWidth="1"/>
    <col min="4164" max="4164" width="13.33203125" style="2" bestFit="1" customWidth="1"/>
    <col min="4165" max="4165" width="16.88671875" style="2" bestFit="1" customWidth="1"/>
    <col min="4166" max="4168" width="14.44140625" style="2" customWidth="1"/>
    <col min="4169" max="4169" width="9.88671875" style="2" customWidth="1"/>
    <col min="4170" max="4172" width="17" style="2" customWidth="1"/>
    <col min="4173" max="4173" width="9.109375" style="2"/>
    <col min="4174" max="4174" width="17" style="2" customWidth="1"/>
    <col min="4175" max="4175" width="10.44140625" style="2" customWidth="1"/>
    <col min="4176" max="4344" width="9.109375" style="2"/>
    <col min="4345" max="4345" width="18.44140625" style="2" customWidth="1"/>
    <col min="4346" max="4347" width="11.88671875" style="2" customWidth="1"/>
    <col min="4348" max="4349" width="10.109375" style="2" customWidth="1"/>
    <col min="4350" max="4351" width="13.6640625" style="2" customWidth="1"/>
    <col min="4352" max="4356" width="23.77734375" style="2" customWidth="1"/>
    <col min="4357" max="4359" width="9.109375" style="2"/>
    <col min="4360" max="4360" width="21" style="2" customWidth="1"/>
    <col min="4361" max="4361" width="12.33203125" style="2" customWidth="1"/>
    <col min="4362" max="4362" width="14" style="2" customWidth="1"/>
    <col min="4363" max="4363" width="10.109375" style="2" bestFit="1" customWidth="1"/>
    <col min="4364" max="4364" width="10.109375" style="2" customWidth="1"/>
    <col min="4365" max="4365" width="27.21875" style="2" customWidth="1"/>
    <col min="4366" max="4366" width="24.5546875" style="2" customWidth="1"/>
    <col min="4367" max="4367" width="16.21875" style="2" customWidth="1"/>
    <col min="4368" max="4368" width="16.33203125" style="2" customWidth="1"/>
    <col min="4369" max="4369" width="18.5546875" style="2" customWidth="1"/>
    <col min="4370" max="4370" width="20.33203125" style="2" customWidth="1"/>
    <col min="4371" max="4371" width="26.44140625" style="2" customWidth="1"/>
    <col min="4372" max="4372" width="22.88671875" style="2" customWidth="1"/>
    <col min="4373" max="4373" width="30.21875" style="2" customWidth="1"/>
    <col min="4374" max="4374" width="22.88671875" style="2" customWidth="1"/>
    <col min="4375" max="4378" width="18" style="2" customWidth="1"/>
    <col min="4379" max="4379" width="17.21875" style="2" customWidth="1"/>
    <col min="4380" max="4380" width="16.6640625" style="2" customWidth="1"/>
    <col min="4381" max="4381" width="17.44140625" style="2" customWidth="1"/>
    <col min="4382" max="4382" width="24.21875" style="2" customWidth="1"/>
    <col min="4383" max="4383" width="20.44140625" style="2" customWidth="1"/>
    <col min="4384" max="4384" width="41.5546875" style="2" customWidth="1"/>
    <col min="4385" max="4386" width="32.44140625" style="2" customWidth="1"/>
    <col min="4387" max="4391" width="41.5546875" style="2" customWidth="1"/>
    <col min="4392" max="4392" width="30.44140625" style="2" customWidth="1"/>
    <col min="4393" max="4393" width="22.33203125" style="2" customWidth="1"/>
    <col min="4394" max="4394" width="9.109375" style="2"/>
    <col min="4395" max="4395" width="22.88671875" style="2" customWidth="1"/>
    <col min="4396" max="4396" width="23.77734375" style="2" customWidth="1"/>
    <col min="4397" max="4397" width="74.44140625" style="2" customWidth="1"/>
    <col min="4398" max="4399" width="9.109375" style="2"/>
    <col min="4400" max="4400" width="14.109375" style="2" customWidth="1"/>
    <col min="4401" max="4401" width="12.44140625" style="2" customWidth="1"/>
    <col min="4402" max="4402" width="13.44140625" style="2" customWidth="1"/>
    <col min="4403" max="4403" width="11.109375" style="2" customWidth="1"/>
    <col min="4404" max="4407" width="17.33203125" style="2" customWidth="1"/>
    <col min="4408" max="4411" width="9.109375" style="2"/>
    <col min="4412" max="4413" width="22.33203125" style="2" customWidth="1"/>
    <col min="4414" max="4414" width="11.88671875" style="2" customWidth="1"/>
    <col min="4415" max="4415" width="10.109375" style="2" customWidth="1"/>
    <col min="4416" max="4417" width="9.109375" style="2"/>
    <col min="4418" max="4418" width="13.33203125" style="2" customWidth="1"/>
    <col min="4419" max="4419" width="11.44140625" style="2" customWidth="1"/>
    <col min="4420" max="4420" width="13.33203125" style="2" bestFit="1" customWidth="1"/>
    <col min="4421" max="4421" width="16.88671875" style="2" bestFit="1" customWidth="1"/>
    <col min="4422" max="4424" width="14.44140625" style="2" customWidth="1"/>
    <col min="4425" max="4425" width="9.88671875" style="2" customWidth="1"/>
    <col min="4426" max="4428" width="17" style="2" customWidth="1"/>
    <col min="4429" max="4429" width="9.109375" style="2"/>
    <col min="4430" max="4430" width="17" style="2" customWidth="1"/>
    <col min="4431" max="4431" width="10.44140625" style="2" customWidth="1"/>
    <col min="4432" max="4600" width="9.109375" style="2"/>
    <col min="4601" max="4601" width="18.44140625" style="2" customWidth="1"/>
    <col min="4602" max="4603" width="11.88671875" style="2" customWidth="1"/>
    <col min="4604" max="4605" width="10.109375" style="2" customWidth="1"/>
    <col min="4606" max="4607" width="13.6640625" style="2" customWidth="1"/>
    <col min="4608" max="4612" width="23.77734375" style="2" customWidth="1"/>
    <col min="4613" max="4615" width="9.109375" style="2"/>
    <col min="4616" max="4616" width="21" style="2" customWidth="1"/>
    <col min="4617" max="4617" width="12.33203125" style="2" customWidth="1"/>
    <col min="4618" max="4618" width="14" style="2" customWidth="1"/>
    <col min="4619" max="4619" width="10.109375" style="2" bestFit="1" customWidth="1"/>
    <col min="4620" max="4620" width="10.109375" style="2" customWidth="1"/>
    <col min="4621" max="4621" width="27.21875" style="2" customWidth="1"/>
    <col min="4622" max="4622" width="24.5546875" style="2" customWidth="1"/>
    <col min="4623" max="4623" width="16.21875" style="2" customWidth="1"/>
    <col min="4624" max="4624" width="16.33203125" style="2" customWidth="1"/>
    <col min="4625" max="4625" width="18.5546875" style="2" customWidth="1"/>
    <col min="4626" max="4626" width="20.33203125" style="2" customWidth="1"/>
    <col min="4627" max="4627" width="26.44140625" style="2" customWidth="1"/>
    <col min="4628" max="4628" width="22.88671875" style="2" customWidth="1"/>
    <col min="4629" max="4629" width="30.21875" style="2" customWidth="1"/>
    <col min="4630" max="4630" width="22.88671875" style="2" customWidth="1"/>
    <col min="4631" max="4634" width="18" style="2" customWidth="1"/>
    <col min="4635" max="4635" width="17.21875" style="2" customWidth="1"/>
    <col min="4636" max="4636" width="16.6640625" style="2" customWidth="1"/>
    <col min="4637" max="4637" width="17.44140625" style="2" customWidth="1"/>
    <col min="4638" max="4638" width="24.21875" style="2" customWidth="1"/>
    <col min="4639" max="4639" width="20.44140625" style="2" customWidth="1"/>
    <col min="4640" max="4640" width="41.5546875" style="2" customWidth="1"/>
    <col min="4641" max="4642" width="32.44140625" style="2" customWidth="1"/>
    <col min="4643" max="4647" width="41.5546875" style="2" customWidth="1"/>
    <col min="4648" max="4648" width="30.44140625" style="2" customWidth="1"/>
    <col min="4649" max="4649" width="22.33203125" style="2" customWidth="1"/>
    <col min="4650" max="4650" width="9.109375" style="2"/>
    <col min="4651" max="4651" width="22.88671875" style="2" customWidth="1"/>
    <col min="4652" max="4652" width="23.77734375" style="2" customWidth="1"/>
    <col min="4653" max="4653" width="74.44140625" style="2" customWidth="1"/>
    <col min="4654" max="4655" width="9.109375" style="2"/>
    <col min="4656" max="4656" width="14.109375" style="2" customWidth="1"/>
    <col min="4657" max="4657" width="12.44140625" style="2" customWidth="1"/>
    <col min="4658" max="4658" width="13.44140625" style="2" customWidth="1"/>
    <col min="4659" max="4659" width="11.109375" style="2" customWidth="1"/>
    <col min="4660" max="4663" width="17.33203125" style="2" customWidth="1"/>
    <col min="4664" max="4667" width="9.109375" style="2"/>
    <col min="4668" max="4669" width="22.33203125" style="2" customWidth="1"/>
    <col min="4670" max="4670" width="11.88671875" style="2" customWidth="1"/>
    <col min="4671" max="4671" width="10.109375" style="2" customWidth="1"/>
    <col min="4672" max="4673" width="9.109375" style="2"/>
    <col min="4674" max="4674" width="13.33203125" style="2" customWidth="1"/>
    <col min="4675" max="4675" width="11.44140625" style="2" customWidth="1"/>
    <col min="4676" max="4676" width="13.33203125" style="2" bestFit="1" customWidth="1"/>
    <col min="4677" max="4677" width="16.88671875" style="2" bestFit="1" customWidth="1"/>
    <col min="4678" max="4680" width="14.44140625" style="2" customWidth="1"/>
    <col min="4681" max="4681" width="9.88671875" style="2" customWidth="1"/>
    <col min="4682" max="4684" width="17" style="2" customWidth="1"/>
    <col min="4685" max="4685" width="9.109375" style="2"/>
    <col min="4686" max="4686" width="17" style="2" customWidth="1"/>
    <col min="4687" max="4687" width="10.44140625" style="2" customWidth="1"/>
    <col min="4688" max="4856" width="9.109375" style="2"/>
    <col min="4857" max="4857" width="18.44140625" style="2" customWidth="1"/>
    <col min="4858" max="4859" width="11.88671875" style="2" customWidth="1"/>
    <col min="4860" max="4861" width="10.109375" style="2" customWidth="1"/>
    <col min="4862" max="4863" width="13.6640625" style="2" customWidth="1"/>
    <col min="4864" max="4868" width="23.77734375" style="2" customWidth="1"/>
    <col min="4869" max="4871" width="9.109375" style="2"/>
    <col min="4872" max="4872" width="21" style="2" customWidth="1"/>
    <col min="4873" max="4873" width="12.33203125" style="2" customWidth="1"/>
    <col min="4874" max="4874" width="14" style="2" customWidth="1"/>
    <col min="4875" max="4875" width="10.109375" style="2" bestFit="1" customWidth="1"/>
    <col min="4876" max="4876" width="10.109375" style="2" customWidth="1"/>
    <col min="4877" max="4877" width="27.21875" style="2" customWidth="1"/>
    <col min="4878" max="4878" width="24.5546875" style="2" customWidth="1"/>
    <col min="4879" max="4879" width="16.21875" style="2" customWidth="1"/>
    <col min="4880" max="4880" width="16.33203125" style="2" customWidth="1"/>
    <col min="4881" max="4881" width="18.5546875" style="2" customWidth="1"/>
    <col min="4882" max="4882" width="20.33203125" style="2" customWidth="1"/>
    <col min="4883" max="4883" width="26.44140625" style="2" customWidth="1"/>
    <col min="4884" max="4884" width="22.88671875" style="2" customWidth="1"/>
    <col min="4885" max="4885" width="30.21875" style="2" customWidth="1"/>
    <col min="4886" max="4886" width="22.88671875" style="2" customWidth="1"/>
    <col min="4887" max="4890" width="18" style="2" customWidth="1"/>
    <col min="4891" max="4891" width="17.21875" style="2" customWidth="1"/>
    <col min="4892" max="4892" width="16.6640625" style="2" customWidth="1"/>
    <col min="4893" max="4893" width="17.44140625" style="2" customWidth="1"/>
    <col min="4894" max="4894" width="24.21875" style="2" customWidth="1"/>
    <col min="4895" max="4895" width="20.44140625" style="2" customWidth="1"/>
    <col min="4896" max="4896" width="41.5546875" style="2" customWidth="1"/>
    <col min="4897" max="4898" width="32.44140625" style="2" customWidth="1"/>
    <col min="4899" max="4903" width="41.5546875" style="2" customWidth="1"/>
    <col min="4904" max="4904" width="30.44140625" style="2" customWidth="1"/>
    <col min="4905" max="4905" width="22.33203125" style="2" customWidth="1"/>
    <col min="4906" max="4906" width="9.109375" style="2"/>
    <col min="4907" max="4907" width="22.88671875" style="2" customWidth="1"/>
    <col min="4908" max="4908" width="23.77734375" style="2" customWidth="1"/>
    <col min="4909" max="4909" width="74.44140625" style="2" customWidth="1"/>
    <col min="4910" max="4911" width="9.109375" style="2"/>
    <col min="4912" max="4912" width="14.109375" style="2" customWidth="1"/>
    <col min="4913" max="4913" width="12.44140625" style="2" customWidth="1"/>
    <col min="4914" max="4914" width="13.44140625" style="2" customWidth="1"/>
    <col min="4915" max="4915" width="11.109375" style="2" customWidth="1"/>
    <col min="4916" max="4919" width="17.33203125" style="2" customWidth="1"/>
    <col min="4920" max="4923" width="9.109375" style="2"/>
    <col min="4924" max="4925" width="22.33203125" style="2" customWidth="1"/>
    <col min="4926" max="4926" width="11.88671875" style="2" customWidth="1"/>
    <col min="4927" max="4927" width="10.109375" style="2" customWidth="1"/>
    <col min="4928" max="4929" width="9.109375" style="2"/>
    <col min="4930" max="4930" width="13.33203125" style="2" customWidth="1"/>
    <col min="4931" max="4931" width="11.44140625" style="2" customWidth="1"/>
    <col min="4932" max="4932" width="13.33203125" style="2" bestFit="1" customWidth="1"/>
    <col min="4933" max="4933" width="16.88671875" style="2" bestFit="1" customWidth="1"/>
    <col min="4934" max="4936" width="14.44140625" style="2" customWidth="1"/>
    <col min="4937" max="4937" width="9.88671875" style="2" customWidth="1"/>
    <col min="4938" max="4940" width="17" style="2" customWidth="1"/>
    <col min="4941" max="4941" width="9.109375" style="2"/>
    <col min="4942" max="4942" width="17" style="2" customWidth="1"/>
    <col min="4943" max="4943" width="10.44140625" style="2" customWidth="1"/>
    <col min="4944" max="5112" width="9.109375" style="2"/>
    <col min="5113" max="5113" width="18.44140625" style="2" customWidth="1"/>
    <col min="5114" max="5115" width="11.88671875" style="2" customWidth="1"/>
    <col min="5116" max="5117" width="10.109375" style="2" customWidth="1"/>
    <col min="5118" max="5119" width="13.6640625" style="2" customWidth="1"/>
    <col min="5120" max="5124" width="23.77734375" style="2" customWidth="1"/>
    <col min="5125" max="5127" width="9.109375" style="2"/>
    <col min="5128" max="5128" width="21" style="2" customWidth="1"/>
    <col min="5129" max="5129" width="12.33203125" style="2" customWidth="1"/>
    <col min="5130" max="5130" width="14" style="2" customWidth="1"/>
    <col min="5131" max="5131" width="10.109375" style="2" bestFit="1" customWidth="1"/>
    <col min="5132" max="5132" width="10.109375" style="2" customWidth="1"/>
    <col min="5133" max="5133" width="27.21875" style="2" customWidth="1"/>
    <col min="5134" max="5134" width="24.5546875" style="2" customWidth="1"/>
    <col min="5135" max="5135" width="16.21875" style="2" customWidth="1"/>
    <col min="5136" max="5136" width="16.33203125" style="2" customWidth="1"/>
    <col min="5137" max="5137" width="18.5546875" style="2" customWidth="1"/>
    <col min="5138" max="5138" width="20.33203125" style="2" customWidth="1"/>
    <col min="5139" max="5139" width="26.44140625" style="2" customWidth="1"/>
    <col min="5140" max="5140" width="22.88671875" style="2" customWidth="1"/>
    <col min="5141" max="5141" width="30.21875" style="2" customWidth="1"/>
    <col min="5142" max="5142" width="22.88671875" style="2" customWidth="1"/>
    <col min="5143" max="5146" width="18" style="2" customWidth="1"/>
    <col min="5147" max="5147" width="17.21875" style="2" customWidth="1"/>
    <col min="5148" max="5148" width="16.6640625" style="2" customWidth="1"/>
    <col min="5149" max="5149" width="17.44140625" style="2" customWidth="1"/>
    <col min="5150" max="5150" width="24.21875" style="2" customWidth="1"/>
    <col min="5151" max="5151" width="20.44140625" style="2" customWidth="1"/>
    <col min="5152" max="5152" width="41.5546875" style="2" customWidth="1"/>
    <col min="5153" max="5154" width="32.44140625" style="2" customWidth="1"/>
    <col min="5155" max="5159" width="41.5546875" style="2" customWidth="1"/>
    <col min="5160" max="5160" width="30.44140625" style="2" customWidth="1"/>
    <col min="5161" max="5161" width="22.33203125" style="2" customWidth="1"/>
    <col min="5162" max="5162" width="9.109375" style="2"/>
    <col min="5163" max="5163" width="22.88671875" style="2" customWidth="1"/>
    <col min="5164" max="5164" width="23.77734375" style="2" customWidth="1"/>
    <col min="5165" max="5165" width="74.44140625" style="2" customWidth="1"/>
    <col min="5166" max="5167" width="9.109375" style="2"/>
    <col min="5168" max="5168" width="14.109375" style="2" customWidth="1"/>
    <col min="5169" max="5169" width="12.44140625" style="2" customWidth="1"/>
    <col min="5170" max="5170" width="13.44140625" style="2" customWidth="1"/>
    <col min="5171" max="5171" width="11.109375" style="2" customWidth="1"/>
    <col min="5172" max="5175" width="17.33203125" style="2" customWidth="1"/>
    <col min="5176" max="5179" width="9.109375" style="2"/>
    <col min="5180" max="5181" width="22.33203125" style="2" customWidth="1"/>
    <col min="5182" max="5182" width="11.88671875" style="2" customWidth="1"/>
    <col min="5183" max="5183" width="10.109375" style="2" customWidth="1"/>
    <col min="5184" max="5185" width="9.109375" style="2"/>
    <col min="5186" max="5186" width="13.33203125" style="2" customWidth="1"/>
    <col min="5187" max="5187" width="11.44140625" style="2" customWidth="1"/>
    <col min="5188" max="5188" width="13.33203125" style="2" bestFit="1" customWidth="1"/>
    <col min="5189" max="5189" width="16.88671875" style="2" bestFit="1" customWidth="1"/>
    <col min="5190" max="5192" width="14.44140625" style="2" customWidth="1"/>
    <col min="5193" max="5193" width="9.88671875" style="2" customWidth="1"/>
    <col min="5194" max="5196" width="17" style="2" customWidth="1"/>
    <col min="5197" max="5197" width="9.109375" style="2"/>
    <col min="5198" max="5198" width="17" style="2" customWidth="1"/>
    <col min="5199" max="5199" width="10.44140625" style="2" customWidth="1"/>
    <col min="5200" max="5368" width="9.109375" style="2"/>
    <col min="5369" max="5369" width="18.44140625" style="2" customWidth="1"/>
    <col min="5370" max="5371" width="11.88671875" style="2" customWidth="1"/>
    <col min="5372" max="5373" width="10.109375" style="2" customWidth="1"/>
    <col min="5374" max="5375" width="13.6640625" style="2" customWidth="1"/>
    <col min="5376" max="5380" width="23.77734375" style="2" customWidth="1"/>
    <col min="5381" max="5383" width="9.109375" style="2"/>
    <col min="5384" max="5384" width="21" style="2" customWidth="1"/>
    <col min="5385" max="5385" width="12.33203125" style="2" customWidth="1"/>
    <col min="5386" max="5386" width="14" style="2" customWidth="1"/>
    <col min="5387" max="5387" width="10.109375" style="2" bestFit="1" customWidth="1"/>
    <col min="5388" max="5388" width="10.109375" style="2" customWidth="1"/>
    <col min="5389" max="5389" width="27.21875" style="2" customWidth="1"/>
    <col min="5390" max="5390" width="24.5546875" style="2" customWidth="1"/>
    <col min="5391" max="5391" width="16.21875" style="2" customWidth="1"/>
    <col min="5392" max="5392" width="16.33203125" style="2" customWidth="1"/>
    <col min="5393" max="5393" width="18.5546875" style="2" customWidth="1"/>
    <col min="5394" max="5394" width="20.33203125" style="2" customWidth="1"/>
    <col min="5395" max="5395" width="26.44140625" style="2" customWidth="1"/>
    <col min="5396" max="5396" width="22.88671875" style="2" customWidth="1"/>
    <col min="5397" max="5397" width="30.21875" style="2" customWidth="1"/>
    <col min="5398" max="5398" width="22.88671875" style="2" customWidth="1"/>
    <col min="5399" max="5402" width="18" style="2" customWidth="1"/>
    <col min="5403" max="5403" width="17.21875" style="2" customWidth="1"/>
    <col min="5404" max="5404" width="16.6640625" style="2" customWidth="1"/>
    <col min="5405" max="5405" width="17.44140625" style="2" customWidth="1"/>
    <col min="5406" max="5406" width="24.21875" style="2" customWidth="1"/>
    <col min="5407" max="5407" width="20.44140625" style="2" customWidth="1"/>
    <col min="5408" max="5408" width="41.5546875" style="2" customWidth="1"/>
    <col min="5409" max="5410" width="32.44140625" style="2" customWidth="1"/>
    <col min="5411" max="5415" width="41.5546875" style="2" customWidth="1"/>
    <col min="5416" max="5416" width="30.44140625" style="2" customWidth="1"/>
    <col min="5417" max="5417" width="22.33203125" style="2" customWidth="1"/>
    <col min="5418" max="5418" width="9.109375" style="2"/>
    <col min="5419" max="5419" width="22.88671875" style="2" customWidth="1"/>
    <col min="5420" max="5420" width="23.77734375" style="2" customWidth="1"/>
    <col min="5421" max="5421" width="74.44140625" style="2" customWidth="1"/>
    <col min="5422" max="5423" width="9.109375" style="2"/>
    <col min="5424" max="5424" width="14.109375" style="2" customWidth="1"/>
    <col min="5425" max="5425" width="12.44140625" style="2" customWidth="1"/>
    <col min="5426" max="5426" width="13.44140625" style="2" customWidth="1"/>
    <col min="5427" max="5427" width="11.109375" style="2" customWidth="1"/>
    <col min="5428" max="5431" width="17.33203125" style="2" customWidth="1"/>
    <col min="5432" max="5435" width="9.109375" style="2"/>
    <col min="5436" max="5437" width="22.33203125" style="2" customWidth="1"/>
    <col min="5438" max="5438" width="11.88671875" style="2" customWidth="1"/>
    <col min="5439" max="5439" width="10.109375" style="2" customWidth="1"/>
    <col min="5440" max="5441" width="9.109375" style="2"/>
    <col min="5442" max="5442" width="13.33203125" style="2" customWidth="1"/>
    <col min="5443" max="5443" width="11.44140625" style="2" customWidth="1"/>
    <col min="5444" max="5444" width="13.33203125" style="2" bestFit="1" customWidth="1"/>
    <col min="5445" max="5445" width="16.88671875" style="2" bestFit="1" customWidth="1"/>
    <col min="5446" max="5448" width="14.44140625" style="2" customWidth="1"/>
    <col min="5449" max="5449" width="9.88671875" style="2" customWidth="1"/>
    <col min="5450" max="5452" width="17" style="2" customWidth="1"/>
    <col min="5453" max="5453" width="9.109375" style="2"/>
    <col min="5454" max="5454" width="17" style="2" customWidth="1"/>
    <col min="5455" max="5455" width="10.44140625" style="2" customWidth="1"/>
    <col min="5456" max="5624" width="9.109375" style="2"/>
    <col min="5625" max="5625" width="18.44140625" style="2" customWidth="1"/>
    <col min="5626" max="5627" width="11.88671875" style="2" customWidth="1"/>
    <col min="5628" max="5629" width="10.109375" style="2" customWidth="1"/>
    <col min="5630" max="5631" width="13.6640625" style="2" customWidth="1"/>
    <col min="5632" max="5636" width="23.77734375" style="2" customWidth="1"/>
    <col min="5637" max="5639" width="9.109375" style="2"/>
    <col min="5640" max="5640" width="21" style="2" customWidth="1"/>
    <col min="5641" max="5641" width="12.33203125" style="2" customWidth="1"/>
    <col min="5642" max="5642" width="14" style="2" customWidth="1"/>
    <col min="5643" max="5643" width="10.109375" style="2" bestFit="1" customWidth="1"/>
    <col min="5644" max="5644" width="10.109375" style="2" customWidth="1"/>
    <col min="5645" max="5645" width="27.21875" style="2" customWidth="1"/>
    <col min="5646" max="5646" width="24.5546875" style="2" customWidth="1"/>
    <col min="5647" max="5647" width="16.21875" style="2" customWidth="1"/>
    <col min="5648" max="5648" width="16.33203125" style="2" customWidth="1"/>
    <col min="5649" max="5649" width="18.5546875" style="2" customWidth="1"/>
    <col min="5650" max="5650" width="20.33203125" style="2" customWidth="1"/>
    <col min="5651" max="5651" width="26.44140625" style="2" customWidth="1"/>
    <col min="5652" max="5652" width="22.88671875" style="2" customWidth="1"/>
    <col min="5653" max="5653" width="30.21875" style="2" customWidth="1"/>
    <col min="5654" max="5654" width="22.88671875" style="2" customWidth="1"/>
    <col min="5655" max="5658" width="18" style="2" customWidth="1"/>
    <col min="5659" max="5659" width="17.21875" style="2" customWidth="1"/>
    <col min="5660" max="5660" width="16.6640625" style="2" customWidth="1"/>
    <col min="5661" max="5661" width="17.44140625" style="2" customWidth="1"/>
    <col min="5662" max="5662" width="24.21875" style="2" customWidth="1"/>
    <col min="5663" max="5663" width="20.44140625" style="2" customWidth="1"/>
    <col min="5664" max="5664" width="41.5546875" style="2" customWidth="1"/>
    <col min="5665" max="5666" width="32.44140625" style="2" customWidth="1"/>
    <col min="5667" max="5671" width="41.5546875" style="2" customWidth="1"/>
    <col min="5672" max="5672" width="30.44140625" style="2" customWidth="1"/>
    <col min="5673" max="5673" width="22.33203125" style="2" customWidth="1"/>
    <col min="5674" max="5674" width="9.109375" style="2"/>
    <col min="5675" max="5675" width="22.88671875" style="2" customWidth="1"/>
    <col min="5676" max="5676" width="23.77734375" style="2" customWidth="1"/>
    <col min="5677" max="5677" width="74.44140625" style="2" customWidth="1"/>
    <col min="5678" max="5679" width="9.109375" style="2"/>
    <col min="5680" max="5680" width="14.109375" style="2" customWidth="1"/>
    <col min="5681" max="5681" width="12.44140625" style="2" customWidth="1"/>
    <col min="5682" max="5682" width="13.44140625" style="2" customWidth="1"/>
    <col min="5683" max="5683" width="11.109375" style="2" customWidth="1"/>
    <col min="5684" max="5687" width="17.33203125" style="2" customWidth="1"/>
    <col min="5688" max="5691" width="9.109375" style="2"/>
    <col min="5692" max="5693" width="22.33203125" style="2" customWidth="1"/>
    <col min="5694" max="5694" width="11.88671875" style="2" customWidth="1"/>
    <col min="5695" max="5695" width="10.109375" style="2" customWidth="1"/>
    <col min="5696" max="5697" width="9.109375" style="2"/>
    <col min="5698" max="5698" width="13.33203125" style="2" customWidth="1"/>
    <col min="5699" max="5699" width="11.44140625" style="2" customWidth="1"/>
    <col min="5700" max="5700" width="13.33203125" style="2" bestFit="1" customWidth="1"/>
    <col min="5701" max="5701" width="16.88671875" style="2" bestFit="1" customWidth="1"/>
    <col min="5702" max="5704" width="14.44140625" style="2" customWidth="1"/>
    <col min="5705" max="5705" width="9.88671875" style="2" customWidth="1"/>
    <col min="5706" max="5708" width="17" style="2" customWidth="1"/>
    <col min="5709" max="5709" width="9.109375" style="2"/>
    <col min="5710" max="5710" width="17" style="2" customWidth="1"/>
    <col min="5711" max="5711" width="10.44140625" style="2" customWidth="1"/>
    <col min="5712" max="5880" width="9.109375" style="2"/>
    <col min="5881" max="5881" width="18.44140625" style="2" customWidth="1"/>
    <col min="5882" max="5883" width="11.88671875" style="2" customWidth="1"/>
    <col min="5884" max="5885" width="10.109375" style="2" customWidth="1"/>
    <col min="5886" max="5887" width="13.6640625" style="2" customWidth="1"/>
    <col min="5888" max="5892" width="23.77734375" style="2" customWidth="1"/>
    <col min="5893" max="5895" width="9.109375" style="2"/>
    <col min="5896" max="5896" width="21" style="2" customWidth="1"/>
    <col min="5897" max="5897" width="12.33203125" style="2" customWidth="1"/>
    <col min="5898" max="5898" width="14" style="2" customWidth="1"/>
    <col min="5899" max="5899" width="10.109375" style="2" bestFit="1" customWidth="1"/>
    <col min="5900" max="5900" width="10.109375" style="2" customWidth="1"/>
    <col min="5901" max="5901" width="27.21875" style="2" customWidth="1"/>
    <col min="5902" max="5902" width="24.5546875" style="2" customWidth="1"/>
    <col min="5903" max="5903" width="16.21875" style="2" customWidth="1"/>
    <col min="5904" max="5904" width="16.33203125" style="2" customWidth="1"/>
    <col min="5905" max="5905" width="18.5546875" style="2" customWidth="1"/>
    <col min="5906" max="5906" width="20.33203125" style="2" customWidth="1"/>
    <col min="5907" max="5907" width="26.44140625" style="2" customWidth="1"/>
    <col min="5908" max="5908" width="22.88671875" style="2" customWidth="1"/>
    <col min="5909" max="5909" width="30.21875" style="2" customWidth="1"/>
    <col min="5910" max="5910" width="22.88671875" style="2" customWidth="1"/>
    <col min="5911" max="5914" width="18" style="2" customWidth="1"/>
    <col min="5915" max="5915" width="17.21875" style="2" customWidth="1"/>
    <col min="5916" max="5916" width="16.6640625" style="2" customWidth="1"/>
    <col min="5917" max="5917" width="17.44140625" style="2" customWidth="1"/>
    <col min="5918" max="5918" width="24.21875" style="2" customWidth="1"/>
    <col min="5919" max="5919" width="20.44140625" style="2" customWidth="1"/>
    <col min="5920" max="5920" width="41.5546875" style="2" customWidth="1"/>
    <col min="5921" max="5922" width="32.44140625" style="2" customWidth="1"/>
    <col min="5923" max="5927" width="41.5546875" style="2" customWidth="1"/>
    <col min="5928" max="5928" width="30.44140625" style="2" customWidth="1"/>
    <col min="5929" max="5929" width="22.33203125" style="2" customWidth="1"/>
    <col min="5930" max="5930" width="9.109375" style="2"/>
    <col min="5931" max="5931" width="22.88671875" style="2" customWidth="1"/>
    <col min="5932" max="5932" width="23.77734375" style="2" customWidth="1"/>
    <col min="5933" max="5933" width="74.44140625" style="2" customWidth="1"/>
    <col min="5934" max="5935" width="9.109375" style="2"/>
    <col min="5936" max="5936" width="14.109375" style="2" customWidth="1"/>
    <col min="5937" max="5937" width="12.44140625" style="2" customWidth="1"/>
    <col min="5938" max="5938" width="13.44140625" style="2" customWidth="1"/>
    <col min="5939" max="5939" width="11.109375" style="2" customWidth="1"/>
    <col min="5940" max="5943" width="17.33203125" style="2" customWidth="1"/>
    <col min="5944" max="5947" width="9.109375" style="2"/>
    <col min="5948" max="5949" width="22.33203125" style="2" customWidth="1"/>
    <col min="5950" max="5950" width="11.88671875" style="2" customWidth="1"/>
    <col min="5951" max="5951" width="10.109375" style="2" customWidth="1"/>
    <col min="5952" max="5953" width="9.109375" style="2"/>
    <col min="5954" max="5954" width="13.33203125" style="2" customWidth="1"/>
    <col min="5955" max="5955" width="11.44140625" style="2" customWidth="1"/>
    <col min="5956" max="5956" width="13.33203125" style="2" bestFit="1" customWidth="1"/>
    <col min="5957" max="5957" width="16.88671875" style="2" bestFit="1" customWidth="1"/>
    <col min="5958" max="5960" width="14.44140625" style="2" customWidth="1"/>
    <col min="5961" max="5961" width="9.88671875" style="2" customWidth="1"/>
    <col min="5962" max="5964" width="17" style="2" customWidth="1"/>
    <col min="5965" max="5965" width="9.109375" style="2"/>
    <col min="5966" max="5966" width="17" style="2" customWidth="1"/>
    <col min="5967" max="5967" width="10.44140625" style="2" customWidth="1"/>
    <col min="5968" max="6136" width="9.109375" style="2"/>
    <col min="6137" max="6137" width="18.44140625" style="2" customWidth="1"/>
    <col min="6138" max="6139" width="11.88671875" style="2" customWidth="1"/>
    <col min="6140" max="6141" width="10.109375" style="2" customWidth="1"/>
    <col min="6142" max="6143" width="13.6640625" style="2" customWidth="1"/>
    <col min="6144" max="6148" width="23.77734375" style="2" customWidth="1"/>
    <col min="6149" max="6151" width="9.109375" style="2"/>
    <col min="6152" max="6152" width="21" style="2" customWidth="1"/>
    <col min="6153" max="6153" width="12.33203125" style="2" customWidth="1"/>
    <col min="6154" max="6154" width="14" style="2" customWidth="1"/>
    <col min="6155" max="6155" width="10.109375" style="2" bestFit="1" customWidth="1"/>
    <col min="6156" max="6156" width="10.109375" style="2" customWidth="1"/>
    <col min="6157" max="6157" width="27.21875" style="2" customWidth="1"/>
    <col min="6158" max="6158" width="24.5546875" style="2" customWidth="1"/>
    <col min="6159" max="6159" width="16.21875" style="2" customWidth="1"/>
    <col min="6160" max="6160" width="16.33203125" style="2" customWidth="1"/>
    <col min="6161" max="6161" width="18.5546875" style="2" customWidth="1"/>
    <col min="6162" max="6162" width="20.33203125" style="2" customWidth="1"/>
    <col min="6163" max="6163" width="26.44140625" style="2" customWidth="1"/>
    <col min="6164" max="6164" width="22.88671875" style="2" customWidth="1"/>
    <col min="6165" max="6165" width="30.21875" style="2" customWidth="1"/>
    <col min="6166" max="6166" width="22.88671875" style="2" customWidth="1"/>
    <col min="6167" max="6170" width="18" style="2" customWidth="1"/>
    <col min="6171" max="6171" width="17.21875" style="2" customWidth="1"/>
    <col min="6172" max="6172" width="16.6640625" style="2" customWidth="1"/>
    <col min="6173" max="6173" width="17.44140625" style="2" customWidth="1"/>
    <col min="6174" max="6174" width="24.21875" style="2" customWidth="1"/>
    <col min="6175" max="6175" width="20.44140625" style="2" customWidth="1"/>
    <col min="6176" max="6176" width="41.5546875" style="2" customWidth="1"/>
    <col min="6177" max="6178" width="32.44140625" style="2" customWidth="1"/>
    <col min="6179" max="6183" width="41.5546875" style="2" customWidth="1"/>
    <col min="6184" max="6184" width="30.44140625" style="2" customWidth="1"/>
    <col min="6185" max="6185" width="22.33203125" style="2" customWidth="1"/>
    <col min="6186" max="6186" width="9.109375" style="2"/>
    <col min="6187" max="6187" width="22.88671875" style="2" customWidth="1"/>
    <col min="6188" max="6188" width="23.77734375" style="2" customWidth="1"/>
    <col min="6189" max="6189" width="74.44140625" style="2" customWidth="1"/>
    <col min="6190" max="6191" width="9.109375" style="2"/>
    <col min="6192" max="6192" width="14.109375" style="2" customWidth="1"/>
    <col min="6193" max="6193" width="12.44140625" style="2" customWidth="1"/>
    <col min="6194" max="6194" width="13.44140625" style="2" customWidth="1"/>
    <col min="6195" max="6195" width="11.109375" style="2" customWidth="1"/>
    <col min="6196" max="6199" width="17.33203125" style="2" customWidth="1"/>
    <col min="6200" max="6203" width="9.109375" style="2"/>
    <col min="6204" max="6205" width="22.33203125" style="2" customWidth="1"/>
    <col min="6206" max="6206" width="11.88671875" style="2" customWidth="1"/>
    <col min="6207" max="6207" width="10.109375" style="2" customWidth="1"/>
    <col min="6208" max="6209" width="9.109375" style="2"/>
    <col min="6210" max="6210" width="13.33203125" style="2" customWidth="1"/>
    <col min="6211" max="6211" width="11.44140625" style="2" customWidth="1"/>
    <col min="6212" max="6212" width="13.33203125" style="2" bestFit="1" customWidth="1"/>
    <col min="6213" max="6213" width="16.88671875" style="2" bestFit="1" customWidth="1"/>
    <col min="6214" max="6216" width="14.44140625" style="2" customWidth="1"/>
    <col min="6217" max="6217" width="9.88671875" style="2" customWidth="1"/>
    <col min="6218" max="6220" width="17" style="2" customWidth="1"/>
    <col min="6221" max="6221" width="9.109375" style="2"/>
    <col min="6222" max="6222" width="17" style="2" customWidth="1"/>
    <col min="6223" max="6223" width="10.44140625" style="2" customWidth="1"/>
    <col min="6224" max="6392" width="9.109375" style="2"/>
    <col min="6393" max="6393" width="18.44140625" style="2" customWidth="1"/>
    <col min="6394" max="6395" width="11.88671875" style="2" customWidth="1"/>
    <col min="6396" max="6397" width="10.109375" style="2" customWidth="1"/>
    <col min="6398" max="6399" width="13.6640625" style="2" customWidth="1"/>
    <col min="6400" max="6404" width="23.77734375" style="2" customWidth="1"/>
    <col min="6405" max="6407" width="9.109375" style="2"/>
    <col min="6408" max="6408" width="21" style="2" customWidth="1"/>
    <col min="6409" max="6409" width="12.33203125" style="2" customWidth="1"/>
    <col min="6410" max="6410" width="14" style="2" customWidth="1"/>
    <col min="6411" max="6411" width="10.109375" style="2" bestFit="1" customWidth="1"/>
    <col min="6412" max="6412" width="10.109375" style="2" customWidth="1"/>
    <col min="6413" max="6413" width="27.21875" style="2" customWidth="1"/>
    <col min="6414" max="6414" width="24.5546875" style="2" customWidth="1"/>
    <col min="6415" max="6415" width="16.21875" style="2" customWidth="1"/>
    <col min="6416" max="6416" width="16.33203125" style="2" customWidth="1"/>
    <col min="6417" max="6417" width="18.5546875" style="2" customWidth="1"/>
    <col min="6418" max="6418" width="20.33203125" style="2" customWidth="1"/>
    <col min="6419" max="6419" width="26.44140625" style="2" customWidth="1"/>
    <col min="6420" max="6420" width="22.88671875" style="2" customWidth="1"/>
    <col min="6421" max="6421" width="30.21875" style="2" customWidth="1"/>
    <col min="6422" max="6422" width="22.88671875" style="2" customWidth="1"/>
    <col min="6423" max="6426" width="18" style="2" customWidth="1"/>
    <col min="6427" max="6427" width="17.21875" style="2" customWidth="1"/>
    <col min="6428" max="6428" width="16.6640625" style="2" customWidth="1"/>
    <col min="6429" max="6429" width="17.44140625" style="2" customWidth="1"/>
    <col min="6430" max="6430" width="24.21875" style="2" customWidth="1"/>
    <col min="6431" max="6431" width="20.44140625" style="2" customWidth="1"/>
    <col min="6432" max="6432" width="41.5546875" style="2" customWidth="1"/>
    <col min="6433" max="6434" width="32.44140625" style="2" customWidth="1"/>
    <col min="6435" max="6439" width="41.5546875" style="2" customWidth="1"/>
    <col min="6440" max="6440" width="30.44140625" style="2" customWidth="1"/>
    <col min="6441" max="6441" width="22.33203125" style="2" customWidth="1"/>
    <col min="6442" max="6442" width="9.109375" style="2"/>
    <col min="6443" max="6443" width="22.88671875" style="2" customWidth="1"/>
    <col min="6444" max="6444" width="23.77734375" style="2" customWidth="1"/>
    <col min="6445" max="6445" width="74.44140625" style="2" customWidth="1"/>
    <col min="6446" max="6447" width="9.109375" style="2"/>
    <col min="6448" max="6448" width="14.109375" style="2" customWidth="1"/>
    <col min="6449" max="6449" width="12.44140625" style="2" customWidth="1"/>
    <col min="6450" max="6450" width="13.44140625" style="2" customWidth="1"/>
    <col min="6451" max="6451" width="11.109375" style="2" customWidth="1"/>
    <col min="6452" max="6455" width="17.33203125" style="2" customWidth="1"/>
    <col min="6456" max="6459" width="9.109375" style="2"/>
    <col min="6460" max="6461" width="22.33203125" style="2" customWidth="1"/>
    <col min="6462" max="6462" width="11.88671875" style="2" customWidth="1"/>
    <col min="6463" max="6463" width="10.109375" style="2" customWidth="1"/>
    <col min="6464" max="6465" width="9.109375" style="2"/>
    <col min="6466" max="6466" width="13.33203125" style="2" customWidth="1"/>
    <col min="6467" max="6467" width="11.44140625" style="2" customWidth="1"/>
    <col min="6468" max="6468" width="13.33203125" style="2" bestFit="1" customWidth="1"/>
    <col min="6469" max="6469" width="16.88671875" style="2" bestFit="1" customWidth="1"/>
    <col min="6470" max="6472" width="14.44140625" style="2" customWidth="1"/>
    <col min="6473" max="6473" width="9.88671875" style="2" customWidth="1"/>
    <col min="6474" max="6476" width="17" style="2" customWidth="1"/>
    <col min="6477" max="6477" width="9.109375" style="2"/>
    <col min="6478" max="6478" width="17" style="2" customWidth="1"/>
    <col min="6479" max="6479" width="10.44140625" style="2" customWidth="1"/>
    <col min="6480" max="6648" width="9.109375" style="2"/>
    <col min="6649" max="6649" width="18.44140625" style="2" customWidth="1"/>
    <col min="6650" max="6651" width="11.88671875" style="2" customWidth="1"/>
    <col min="6652" max="6653" width="10.109375" style="2" customWidth="1"/>
    <col min="6654" max="6655" width="13.6640625" style="2" customWidth="1"/>
    <col min="6656" max="6660" width="23.77734375" style="2" customWidth="1"/>
    <col min="6661" max="6663" width="9.109375" style="2"/>
    <col min="6664" max="6664" width="21" style="2" customWidth="1"/>
    <col min="6665" max="6665" width="12.33203125" style="2" customWidth="1"/>
    <col min="6666" max="6666" width="14" style="2" customWidth="1"/>
    <col min="6667" max="6667" width="10.109375" style="2" bestFit="1" customWidth="1"/>
    <col min="6668" max="6668" width="10.109375" style="2" customWidth="1"/>
    <col min="6669" max="6669" width="27.21875" style="2" customWidth="1"/>
    <col min="6670" max="6670" width="24.5546875" style="2" customWidth="1"/>
    <col min="6671" max="6671" width="16.21875" style="2" customWidth="1"/>
    <col min="6672" max="6672" width="16.33203125" style="2" customWidth="1"/>
    <col min="6673" max="6673" width="18.5546875" style="2" customWidth="1"/>
    <col min="6674" max="6674" width="20.33203125" style="2" customWidth="1"/>
    <col min="6675" max="6675" width="26.44140625" style="2" customWidth="1"/>
    <col min="6676" max="6676" width="22.88671875" style="2" customWidth="1"/>
    <col min="6677" max="6677" width="30.21875" style="2" customWidth="1"/>
    <col min="6678" max="6678" width="22.88671875" style="2" customWidth="1"/>
    <col min="6679" max="6682" width="18" style="2" customWidth="1"/>
    <col min="6683" max="6683" width="17.21875" style="2" customWidth="1"/>
    <col min="6684" max="6684" width="16.6640625" style="2" customWidth="1"/>
    <col min="6685" max="6685" width="17.44140625" style="2" customWidth="1"/>
    <col min="6686" max="6686" width="24.21875" style="2" customWidth="1"/>
    <col min="6687" max="6687" width="20.44140625" style="2" customWidth="1"/>
    <col min="6688" max="6688" width="41.5546875" style="2" customWidth="1"/>
    <col min="6689" max="6690" width="32.44140625" style="2" customWidth="1"/>
    <col min="6691" max="6695" width="41.5546875" style="2" customWidth="1"/>
    <col min="6696" max="6696" width="30.44140625" style="2" customWidth="1"/>
    <col min="6697" max="6697" width="22.33203125" style="2" customWidth="1"/>
    <col min="6698" max="6698" width="9.109375" style="2"/>
    <col min="6699" max="6699" width="22.88671875" style="2" customWidth="1"/>
    <col min="6700" max="6700" width="23.77734375" style="2" customWidth="1"/>
    <col min="6701" max="6701" width="74.44140625" style="2" customWidth="1"/>
    <col min="6702" max="6703" width="9.109375" style="2"/>
    <col min="6704" max="6704" width="14.109375" style="2" customWidth="1"/>
    <col min="6705" max="6705" width="12.44140625" style="2" customWidth="1"/>
    <col min="6706" max="6706" width="13.44140625" style="2" customWidth="1"/>
    <col min="6707" max="6707" width="11.109375" style="2" customWidth="1"/>
    <col min="6708" max="6711" width="17.33203125" style="2" customWidth="1"/>
    <col min="6712" max="6715" width="9.109375" style="2"/>
    <col min="6716" max="6717" width="22.33203125" style="2" customWidth="1"/>
    <col min="6718" max="6718" width="11.88671875" style="2" customWidth="1"/>
    <col min="6719" max="6719" width="10.109375" style="2" customWidth="1"/>
    <col min="6720" max="6721" width="9.109375" style="2"/>
    <col min="6722" max="6722" width="13.33203125" style="2" customWidth="1"/>
    <col min="6723" max="6723" width="11.44140625" style="2" customWidth="1"/>
    <col min="6724" max="6724" width="13.33203125" style="2" bestFit="1" customWidth="1"/>
    <col min="6725" max="6725" width="16.88671875" style="2" bestFit="1" customWidth="1"/>
    <col min="6726" max="6728" width="14.44140625" style="2" customWidth="1"/>
    <col min="6729" max="6729" width="9.88671875" style="2" customWidth="1"/>
    <col min="6730" max="6732" width="17" style="2" customWidth="1"/>
    <col min="6733" max="6733" width="9.109375" style="2"/>
    <col min="6734" max="6734" width="17" style="2" customWidth="1"/>
    <col min="6735" max="6735" width="10.44140625" style="2" customWidth="1"/>
    <col min="6736" max="6904" width="9.109375" style="2"/>
    <col min="6905" max="6905" width="18.44140625" style="2" customWidth="1"/>
    <col min="6906" max="6907" width="11.88671875" style="2" customWidth="1"/>
    <col min="6908" max="6909" width="10.109375" style="2" customWidth="1"/>
    <col min="6910" max="6911" width="13.6640625" style="2" customWidth="1"/>
    <col min="6912" max="6916" width="23.77734375" style="2" customWidth="1"/>
    <col min="6917" max="6919" width="9.109375" style="2"/>
    <col min="6920" max="6920" width="21" style="2" customWidth="1"/>
    <col min="6921" max="6921" width="12.33203125" style="2" customWidth="1"/>
    <col min="6922" max="6922" width="14" style="2" customWidth="1"/>
    <col min="6923" max="6923" width="10.109375" style="2" bestFit="1" customWidth="1"/>
    <col min="6924" max="6924" width="10.109375" style="2" customWidth="1"/>
    <col min="6925" max="6925" width="27.21875" style="2" customWidth="1"/>
    <col min="6926" max="6926" width="24.5546875" style="2" customWidth="1"/>
    <col min="6927" max="6927" width="16.21875" style="2" customWidth="1"/>
    <col min="6928" max="6928" width="16.33203125" style="2" customWidth="1"/>
    <col min="6929" max="6929" width="18.5546875" style="2" customWidth="1"/>
    <col min="6930" max="6930" width="20.33203125" style="2" customWidth="1"/>
    <col min="6931" max="6931" width="26.44140625" style="2" customWidth="1"/>
    <col min="6932" max="6932" width="22.88671875" style="2" customWidth="1"/>
    <col min="6933" max="6933" width="30.21875" style="2" customWidth="1"/>
    <col min="6934" max="6934" width="22.88671875" style="2" customWidth="1"/>
    <col min="6935" max="6938" width="18" style="2" customWidth="1"/>
    <col min="6939" max="6939" width="17.21875" style="2" customWidth="1"/>
    <col min="6940" max="6940" width="16.6640625" style="2" customWidth="1"/>
    <col min="6941" max="6941" width="17.44140625" style="2" customWidth="1"/>
    <col min="6942" max="6942" width="24.21875" style="2" customWidth="1"/>
    <col min="6943" max="6943" width="20.44140625" style="2" customWidth="1"/>
    <col min="6944" max="6944" width="41.5546875" style="2" customWidth="1"/>
    <col min="6945" max="6946" width="32.44140625" style="2" customWidth="1"/>
    <col min="6947" max="6951" width="41.5546875" style="2" customWidth="1"/>
    <col min="6952" max="6952" width="30.44140625" style="2" customWidth="1"/>
    <col min="6953" max="6953" width="22.33203125" style="2" customWidth="1"/>
    <col min="6954" max="6954" width="9.109375" style="2"/>
    <col min="6955" max="6955" width="22.88671875" style="2" customWidth="1"/>
    <col min="6956" max="6956" width="23.77734375" style="2" customWidth="1"/>
    <col min="6957" max="6957" width="74.44140625" style="2" customWidth="1"/>
    <col min="6958" max="6959" width="9.109375" style="2"/>
    <col min="6960" max="6960" width="14.109375" style="2" customWidth="1"/>
    <col min="6961" max="6961" width="12.44140625" style="2" customWidth="1"/>
    <col min="6962" max="6962" width="13.44140625" style="2" customWidth="1"/>
    <col min="6963" max="6963" width="11.109375" style="2" customWidth="1"/>
    <col min="6964" max="6967" width="17.33203125" style="2" customWidth="1"/>
    <col min="6968" max="6971" width="9.109375" style="2"/>
    <col min="6972" max="6973" width="22.33203125" style="2" customWidth="1"/>
    <col min="6974" max="6974" width="11.88671875" style="2" customWidth="1"/>
    <col min="6975" max="6975" width="10.109375" style="2" customWidth="1"/>
    <col min="6976" max="6977" width="9.109375" style="2"/>
    <col min="6978" max="6978" width="13.33203125" style="2" customWidth="1"/>
    <col min="6979" max="6979" width="11.44140625" style="2" customWidth="1"/>
    <col min="6980" max="6980" width="13.33203125" style="2" bestFit="1" customWidth="1"/>
    <col min="6981" max="6981" width="16.88671875" style="2" bestFit="1" customWidth="1"/>
    <col min="6982" max="6984" width="14.44140625" style="2" customWidth="1"/>
    <col min="6985" max="6985" width="9.88671875" style="2" customWidth="1"/>
    <col min="6986" max="6988" width="17" style="2" customWidth="1"/>
    <col min="6989" max="6989" width="9.109375" style="2"/>
    <col min="6990" max="6990" width="17" style="2" customWidth="1"/>
    <col min="6991" max="6991" width="10.44140625" style="2" customWidth="1"/>
    <col min="6992" max="7160" width="9.109375" style="2"/>
    <col min="7161" max="7161" width="18.44140625" style="2" customWidth="1"/>
    <col min="7162" max="7163" width="11.88671875" style="2" customWidth="1"/>
    <col min="7164" max="7165" width="10.109375" style="2" customWidth="1"/>
    <col min="7166" max="7167" width="13.6640625" style="2" customWidth="1"/>
    <col min="7168" max="7172" width="23.77734375" style="2" customWidth="1"/>
    <col min="7173" max="7175" width="9.109375" style="2"/>
    <col min="7176" max="7176" width="21" style="2" customWidth="1"/>
    <col min="7177" max="7177" width="12.33203125" style="2" customWidth="1"/>
    <col min="7178" max="7178" width="14" style="2" customWidth="1"/>
    <col min="7179" max="7179" width="10.109375" style="2" bestFit="1" customWidth="1"/>
    <col min="7180" max="7180" width="10.109375" style="2" customWidth="1"/>
    <col min="7181" max="7181" width="27.21875" style="2" customWidth="1"/>
    <col min="7182" max="7182" width="24.5546875" style="2" customWidth="1"/>
    <col min="7183" max="7183" width="16.21875" style="2" customWidth="1"/>
    <col min="7184" max="7184" width="16.33203125" style="2" customWidth="1"/>
    <col min="7185" max="7185" width="18.5546875" style="2" customWidth="1"/>
    <col min="7186" max="7186" width="20.33203125" style="2" customWidth="1"/>
    <col min="7187" max="7187" width="26.44140625" style="2" customWidth="1"/>
    <col min="7188" max="7188" width="22.88671875" style="2" customWidth="1"/>
    <col min="7189" max="7189" width="30.21875" style="2" customWidth="1"/>
    <col min="7190" max="7190" width="22.88671875" style="2" customWidth="1"/>
    <col min="7191" max="7194" width="18" style="2" customWidth="1"/>
    <col min="7195" max="7195" width="17.21875" style="2" customWidth="1"/>
    <col min="7196" max="7196" width="16.6640625" style="2" customWidth="1"/>
    <col min="7197" max="7197" width="17.44140625" style="2" customWidth="1"/>
    <col min="7198" max="7198" width="24.21875" style="2" customWidth="1"/>
    <col min="7199" max="7199" width="20.44140625" style="2" customWidth="1"/>
    <col min="7200" max="7200" width="41.5546875" style="2" customWidth="1"/>
    <col min="7201" max="7202" width="32.44140625" style="2" customWidth="1"/>
    <col min="7203" max="7207" width="41.5546875" style="2" customWidth="1"/>
    <col min="7208" max="7208" width="30.44140625" style="2" customWidth="1"/>
    <col min="7209" max="7209" width="22.33203125" style="2" customWidth="1"/>
    <col min="7210" max="7210" width="9.109375" style="2"/>
    <col min="7211" max="7211" width="22.88671875" style="2" customWidth="1"/>
    <col min="7212" max="7212" width="23.77734375" style="2" customWidth="1"/>
    <col min="7213" max="7213" width="74.44140625" style="2" customWidth="1"/>
    <col min="7214" max="7215" width="9.109375" style="2"/>
    <col min="7216" max="7216" width="14.109375" style="2" customWidth="1"/>
    <col min="7217" max="7217" width="12.44140625" style="2" customWidth="1"/>
    <col min="7218" max="7218" width="13.44140625" style="2" customWidth="1"/>
    <col min="7219" max="7219" width="11.109375" style="2" customWidth="1"/>
    <col min="7220" max="7223" width="17.33203125" style="2" customWidth="1"/>
    <col min="7224" max="7227" width="9.109375" style="2"/>
    <col min="7228" max="7229" width="22.33203125" style="2" customWidth="1"/>
    <col min="7230" max="7230" width="11.88671875" style="2" customWidth="1"/>
    <col min="7231" max="7231" width="10.109375" style="2" customWidth="1"/>
    <col min="7232" max="7233" width="9.109375" style="2"/>
    <col min="7234" max="7234" width="13.33203125" style="2" customWidth="1"/>
    <col min="7235" max="7235" width="11.44140625" style="2" customWidth="1"/>
    <col min="7236" max="7236" width="13.33203125" style="2" bestFit="1" customWidth="1"/>
    <col min="7237" max="7237" width="16.88671875" style="2" bestFit="1" customWidth="1"/>
    <col min="7238" max="7240" width="14.44140625" style="2" customWidth="1"/>
    <col min="7241" max="7241" width="9.88671875" style="2" customWidth="1"/>
    <col min="7242" max="7244" width="17" style="2" customWidth="1"/>
    <col min="7245" max="7245" width="9.109375" style="2"/>
    <col min="7246" max="7246" width="17" style="2" customWidth="1"/>
    <col min="7247" max="7247" width="10.44140625" style="2" customWidth="1"/>
    <col min="7248" max="7416" width="9.109375" style="2"/>
    <col min="7417" max="7417" width="18.44140625" style="2" customWidth="1"/>
    <col min="7418" max="7419" width="11.88671875" style="2" customWidth="1"/>
    <col min="7420" max="7421" width="10.109375" style="2" customWidth="1"/>
    <col min="7422" max="7423" width="13.6640625" style="2" customWidth="1"/>
    <col min="7424" max="7428" width="23.77734375" style="2" customWidth="1"/>
    <col min="7429" max="7431" width="9.109375" style="2"/>
    <col min="7432" max="7432" width="21" style="2" customWidth="1"/>
    <col min="7433" max="7433" width="12.33203125" style="2" customWidth="1"/>
    <col min="7434" max="7434" width="14" style="2" customWidth="1"/>
    <col min="7435" max="7435" width="10.109375" style="2" bestFit="1" customWidth="1"/>
    <col min="7436" max="7436" width="10.109375" style="2" customWidth="1"/>
    <col min="7437" max="7437" width="27.21875" style="2" customWidth="1"/>
    <col min="7438" max="7438" width="24.5546875" style="2" customWidth="1"/>
    <col min="7439" max="7439" width="16.21875" style="2" customWidth="1"/>
    <col min="7440" max="7440" width="16.33203125" style="2" customWidth="1"/>
    <col min="7441" max="7441" width="18.5546875" style="2" customWidth="1"/>
    <col min="7442" max="7442" width="20.33203125" style="2" customWidth="1"/>
    <col min="7443" max="7443" width="26.44140625" style="2" customWidth="1"/>
    <col min="7444" max="7444" width="22.88671875" style="2" customWidth="1"/>
    <col min="7445" max="7445" width="30.21875" style="2" customWidth="1"/>
    <col min="7446" max="7446" width="22.88671875" style="2" customWidth="1"/>
    <col min="7447" max="7450" width="18" style="2" customWidth="1"/>
    <col min="7451" max="7451" width="17.21875" style="2" customWidth="1"/>
    <col min="7452" max="7452" width="16.6640625" style="2" customWidth="1"/>
    <col min="7453" max="7453" width="17.44140625" style="2" customWidth="1"/>
    <col min="7454" max="7454" width="24.21875" style="2" customWidth="1"/>
    <col min="7455" max="7455" width="20.44140625" style="2" customWidth="1"/>
    <col min="7456" max="7456" width="41.5546875" style="2" customWidth="1"/>
    <col min="7457" max="7458" width="32.44140625" style="2" customWidth="1"/>
    <col min="7459" max="7463" width="41.5546875" style="2" customWidth="1"/>
    <col min="7464" max="7464" width="30.44140625" style="2" customWidth="1"/>
    <col min="7465" max="7465" width="22.33203125" style="2" customWidth="1"/>
    <col min="7466" max="7466" width="9.109375" style="2"/>
    <col min="7467" max="7467" width="22.88671875" style="2" customWidth="1"/>
    <col min="7468" max="7468" width="23.77734375" style="2" customWidth="1"/>
    <col min="7469" max="7469" width="74.44140625" style="2" customWidth="1"/>
    <col min="7470" max="7471" width="9.109375" style="2"/>
    <col min="7472" max="7472" width="14.109375" style="2" customWidth="1"/>
    <col min="7473" max="7473" width="12.44140625" style="2" customWidth="1"/>
    <col min="7474" max="7474" width="13.44140625" style="2" customWidth="1"/>
    <col min="7475" max="7475" width="11.109375" style="2" customWidth="1"/>
    <col min="7476" max="7479" width="17.33203125" style="2" customWidth="1"/>
    <col min="7480" max="7483" width="9.109375" style="2"/>
    <col min="7484" max="7485" width="22.33203125" style="2" customWidth="1"/>
    <col min="7486" max="7486" width="11.88671875" style="2" customWidth="1"/>
    <col min="7487" max="7487" width="10.109375" style="2" customWidth="1"/>
    <col min="7488" max="7489" width="9.109375" style="2"/>
    <col min="7490" max="7490" width="13.33203125" style="2" customWidth="1"/>
    <col min="7491" max="7491" width="11.44140625" style="2" customWidth="1"/>
    <col min="7492" max="7492" width="13.33203125" style="2" bestFit="1" customWidth="1"/>
    <col min="7493" max="7493" width="16.88671875" style="2" bestFit="1" customWidth="1"/>
    <col min="7494" max="7496" width="14.44140625" style="2" customWidth="1"/>
    <col min="7497" max="7497" width="9.88671875" style="2" customWidth="1"/>
    <col min="7498" max="7500" width="17" style="2" customWidth="1"/>
    <col min="7501" max="7501" width="9.109375" style="2"/>
    <col min="7502" max="7502" width="17" style="2" customWidth="1"/>
    <col min="7503" max="7503" width="10.44140625" style="2" customWidth="1"/>
    <col min="7504" max="7672" width="9.109375" style="2"/>
    <col min="7673" max="7673" width="18.44140625" style="2" customWidth="1"/>
    <col min="7674" max="7675" width="11.88671875" style="2" customWidth="1"/>
    <col min="7676" max="7677" width="10.109375" style="2" customWidth="1"/>
    <col min="7678" max="7679" width="13.6640625" style="2" customWidth="1"/>
    <col min="7680" max="7684" width="23.77734375" style="2" customWidth="1"/>
    <col min="7685" max="7687" width="9.109375" style="2"/>
    <col min="7688" max="7688" width="21" style="2" customWidth="1"/>
    <col min="7689" max="7689" width="12.33203125" style="2" customWidth="1"/>
    <col min="7690" max="7690" width="14" style="2" customWidth="1"/>
    <col min="7691" max="7691" width="10.109375" style="2" bestFit="1" customWidth="1"/>
    <col min="7692" max="7692" width="10.109375" style="2" customWidth="1"/>
    <col min="7693" max="7693" width="27.21875" style="2" customWidth="1"/>
    <col min="7694" max="7694" width="24.5546875" style="2" customWidth="1"/>
    <col min="7695" max="7695" width="16.21875" style="2" customWidth="1"/>
    <col min="7696" max="7696" width="16.33203125" style="2" customWidth="1"/>
    <col min="7697" max="7697" width="18.5546875" style="2" customWidth="1"/>
    <col min="7698" max="7698" width="20.33203125" style="2" customWidth="1"/>
    <col min="7699" max="7699" width="26.44140625" style="2" customWidth="1"/>
    <col min="7700" max="7700" width="22.88671875" style="2" customWidth="1"/>
    <col min="7701" max="7701" width="30.21875" style="2" customWidth="1"/>
    <col min="7702" max="7702" width="22.88671875" style="2" customWidth="1"/>
    <col min="7703" max="7706" width="18" style="2" customWidth="1"/>
    <col min="7707" max="7707" width="17.21875" style="2" customWidth="1"/>
    <col min="7708" max="7708" width="16.6640625" style="2" customWidth="1"/>
    <col min="7709" max="7709" width="17.44140625" style="2" customWidth="1"/>
    <col min="7710" max="7710" width="24.21875" style="2" customWidth="1"/>
    <col min="7711" max="7711" width="20.44140625" style="2" customWidth="1"/>
    <col min="7712" max="7712" width="41.5546875" style="2" customWidth="1"/>
    <col min="7713" max="7714" width="32.44140625" style="2" customWidth="1"/>
    <col min="7715" max="7719" width="41.5546875" style="2" customWidth="1"/>
    <col min="7720" max="7720" width="30.44140625" style="2" customWidth="1"/>
    <col min="7721" max="7721" width="22.33203125" style="2" customWidth="1"/>
    <col min="7722" max="7722" width="9.109375" style="2"/>
    <col min="7723" max="7723" width="22.88671875" style="2" customWidth="1"/>
    <col min="7724" max="7724" width="23.77734375" style="2" customWidth="1"/>
    <col min="7725" max="7725" width="74.44140625" style="2" customWidth="1"/>
    <col min="7726" max="7727" width="9.109375" style="2"/>
    <col min="7728" max="7728" width="14.109375" style="2" customWidth="1"/>
    <col min="7729" max="7729" width="12.44140625" style="2" customWidth="1"/>
    <col min="7730" max="7730" width="13.44140625" style="2" customWidth="1"/>
    <col min="7731" max="7731" width="11.109375" style="2" customWidth="1"/>
    <col min="7732" max="7735" width="17.33203125" style="2" customWidth="1"/>
    <col min="7736" max="7739" width="9.109375" style="2"/>
    <col min="7740" max="7741" width="22.33203125" style="2" customWidth="1"/>
    <col min="7742" max="7742" width="11.88671875" style="2" customWidth="1"/>
    <col min="7743" max="7743" width="10.109375" style="2" customWidth="1"/>
    <col min="7744" max="7745" width="9.109375" style="2"/>
    <col min="7746" max="7746" width="13.33203125" style="2" customWidth="1"/>
    <col min="7747" max="7747" width="11.44140625" style="2" customWidth="1"/>
    <col min="7748" max="7748" width="13.33203125" style="2" bestFit="1" customWidth="1"/>
    <col min="7749" max="7749" width="16.88671875" style="2" bestFit="1" customWidth="1"/>
    <col min="7750" max="7752" width="14.44140625" style="2" customWidth="1"/>
    <col min="7753" max="7753" width="9.88671875" style="2" customWidth="1"/>
    <col min="7754" max="7756" width="17" style="2" customWidth="1"/>
    <col min="7757" max="7757" width="9.109375" style="2"/>
    <col min="7758" max="7758" width="17" style="2" customWidth="1"/>
    <col min="7759" max="7759" width="10.44140625" style="2" customWidth="1"/>
    <col min="7760" max="7928" width="9.109375" style="2"/>
    <col min="7929" max="7929" width="18.44140625" style="2" customWidth="1"/>
    <col min="7930" max="7931" width="11.88671875" style="2" customWidth="1"/>
    <col min="7932" max="7933" width="10.109375" style="2" customWidth="1"/>
    <col min="7934" max="7935" width="13.6640625" style="2" customWidth="1"/>
    <col min="7936" max="7940" width="23.77734375" style="2" customWidth="1"/>
    <col min="7941" max="7943" width="9.109375" style="2"/>
    <col min="7944" max="7944" width="21" style="2" customWidth="1"/>
    <col min="7945" max="7945" width="12.33203125" style="2" customWidth="1"/>
    <col min="7946" max="7946" width="14" style="2" customWidth="1"/>
    <col min="7947" max="7947" width="10.109375" style="2" bestFit="1" customWidth="1"/>
    <col min="7948" max="7948" width="10.109375" style="2" customWidth="1"/>
    <col min="7949" max="7949" width="27.21875" style="2" customWidth="1"/>
    <col min="7950" max="7950" width="24.5546875" style="2" customWidth="1"/>
    <col min="7951" max="7951" width="16.21875" style="2" customWidth="1"/>
    <col min="7952" max="7952" width="16.33203125" style="2" customWidth="1"/>
    <col min="7953" max="7953" width="18.5546875" style="2" customWidth="1"/>
    <col min="7954" max="7954" width="20.33203125" style="2" customWidth="1"/>
    <col min="7955" max="7955" width="26.44140625" style="2" customWidth="1"/>
    <col min="7956" max="7956" width="22.88671875" style="2" customWidth="1"/>
    <col min="7957" max="7957" width="30.21875" style="2" customWidth="1"/>
    <col min="7958" max="7958" width="22.88671875" style="2" customWidth="1"/>
    <col min="7959" max="7962" width="18" style="2" customWidth="1"/>
    <col min="7963" max="7963" width="17.21875" style="2" customWidth="1"/>
    <col min="7964" max="7964" width="16.6640625" style="2" customWidth="1"/>
    <col min="7965" max="7965" width="17.44140625" style="2" customWidth="1"/>
    <col min="7966" max="7966" width="24.21875" style="2" customWidth="1"/>
    <col min="7967" max="7967" width="20.44140625" style="2" customWidth="1"/>
    <col min="7968" max="7968" width="41.5546875" style="2" customWidth="1"/>
    <col min="7969" max="7970" width="32.44140625" style="2" customWidth="1"/>
    <col min="7971" max="7975" width="41.5546875" style="2" customWidth="1"/>
    <col min="7976" max="7976" width="30.44140625" style="2" customWidth="1"/>
    <col min="7977" max="7977" width="22.33203125" style="2" customWidth="1"/>
    <col min="7978" max="7978" width="9.109375" style="2"/>
    <col min="7979" max="7979" width="22.88671875" style="2" customWidth="1"/>
    <col min="7980" max="7980" width="23.77734375" style="2" customWidth="1"/>
    <col min="7981" max="7981" width="74.44140625" style="2" customWidth="1"/>
    <col min="7982" max="7983" width="9.109375" style="2"/>
    <col min="7984" max="7984" width="14.109375" style="2" customWidth="1"/>
    <col min="7985" max="7985" width="12.44140625" style="2" customWidth="1"/>
    <col min="7986" max="7986" width="13.44140625" style="2" customWidth="1"/>
    <col min="7987" max="7987" width="11.109375" style="2" customWidth="1"/>
    <col min="7988" max="7991" width="17.33203125" style="2" customWidth="1"/>
    <col min="7992" max="7995" width="9.109375" style="2"/>
    <col min="7996" max="7997" width="22.33203125" style="2" customWidth="1"/>
    <col min="7998" max="7998" width="11.88671875" style="2" customWidth="1"/>
    <col min="7999" max="7999" width="10.109375" style="2" customWidth="1"/>
    <col min="8000" max="8001" width="9.109375" style="2"/>
    <col min="8002" max="8002" width="13.33203125" style="2" customWidth="1"/>
    <col min="8003" max="8003" width="11.44140625" style="2" customWidth="1"/>
    <col min="8004" max="8004" width="13.33203125" style="2" bestFit="1" customWidth="1"/>
    <col min="8005" max="8005" width="16.88671875" style="2" bestFit="1" customWidth="1"/>
    <col min="8006" max="8008" width="14.44140625" style="2" customWidth="1"/>
    <col min="8009" max="8009" width="9.88671875" style="2" customWidth="1"/>
    <col min="8010" max="8012" width="17" style="2" customWidth="1"/>
    <col min="8013" max="8013" width="9.109375" style="2"/>
    <col min="8014" max="8014" width="17" style="2" customWidth="1"/>
    <col min="8015" max="8015" width="10.44140625" style="2" customWidth="1"/>
    <col min="8016" max="8184" width="9.109375" style="2"/>
    <col min="8185" max="8185" width="18.44140625" style="2" customWidth="1"/>
    <col min="8186" max="8187" width="11.88671875" style="2" customWidth="1"/>
    <col min="8188" max="8189" width="10.109375" style="2" customWidth="1"/>
    <col min="8190" max="8191" width="13.6640625" style="2" customWidth="1"/>
    <col min="8192" max="8196" width="23.77734375" style="2" customWidth="1"/>
    <col min="8197" max="8199" width="9.109375" style="2"/>
    <col min="8200" max="8200" width="21" style="2" customWidth="1"/>
    <col min="8201" max="8201" width="12.33203125" style="2" customWidth="1"/>
    <col min="8202" max="8202" width="14" style="2" customWidth="1"/>
    <col min="8203" max="8203" width="10.109375" style="2" bestFit="1" customWidth="1"/>
    <col min="8204" max="8204" width="10.109375" style="2" customWidth="1"/>
    <col min="8205" max="8205" width="27.21875" style="2" customWidth="1"/>
    <col min="8206" max="8206" width="24.5546875" style="2" customWidth="1"/>
    <col min="8207" max="8207" width="16.21875" style="2" customWidth="1"/>
    <col min="8208" max="8208" width="16.33203125" style="2" customWidth="1"/>
    <col min="8209" max="8209" width="18.5546875" style="2" customWidth="1"/>
    <col min="8210" max="8210" width="20.33203125" style="2" customWidth="1"/>
    <col min="8211" max="8211" width="26.44140625" style="2" customWidth="1"/>
    <col min="8212" max="8212" width="22.88671875" style="2" customWidth="1"/>
    <col min="8213" max="8213" width="30.21875" style="2" customWidth="1"/>
    <col min="8214" max="8214" width="22.88671875" style="2" customWidth="1"/>
    <col min="8215" max="8218" width="18" style="2" customWidth="1"/>
    <col min="8219" max="8219" width="17.21875" style="2" customWidth="1"/>
    <col min="8220" max="8220" width="16.6640625" style="2" customWidth="1"/>
    <col min="8221" max="8221" width="17.44140625" style="2" customWidth="1"/>
    <col min="8222" max="8222" width="24.21875" style="2" customWidth="1"/>
    <col min="8223" max="8223" width="20.44140625" style="2" customWidth="1"/>
    <col min="8224" max="8224" width="41.5546875" style="2" customWidth="1"/>
    <col min="8225" max="8226" width="32.44140625" style="2" customWidth="1"/>
    <col min="8227" max="8231" width="41.5546875" style="2" customWidth="1"/>
    <col min="8232" max="8232" width="30.44140625" style="2" customWidth="1"/>
    <col min="8233" max="8233" width="22.33203125" style="2" customWidth="1"/>
    <col min="8234" max="8234" width="9.109375" style="2"/>
    <col min="8235" max="8235" width="22.88671875" style="2" customWidth="1"/>
    <col min="8236" max="8236" width="23.77734375" style="2" customWidth="1"/>
    <col min="8237" max="8237" width="74.44140625" style="2" customWidth="1"/>
    <col min="8238" max="8239" width="9.109375" style="2"/>
    <col min="8240" max="8240" width="14.109375" style="2" customWidth="1"/>
    <col min="8241" max="8241" width="12.44140625" style="2" customWidth="1"/>
    <col min="8242" max="8242" width="13.44140625" style="2" customWidth="1"/>
    <col min="8243" max="8243" width="11.109375" style="2" customWidth="1"/>
    <col min="8244" max="8247" width="17.33203125" style="2" customWidth="1"/>
    <col min="8248" max="8251" width="9.109375" style="2"/>
    <col min="8252" max="8253" width="22.33203125" style="2" customWidth="1"/>
    <col min="8254" max="8254" width="11.88671875" style="2" customWidth="1"/>
    <col min="8255" max="8255" width="10.109375" style="2" customWidth="1"/>
    <col min="8256" max="8257" width="9.109375" style="2"/>
    <col min="8258" max="8258" width="13.33203125" style="2" customWidth="1"/>
    <col min="8259" max="8259" width="11.44140625" style="2" customWidth="1"/>
    <col min="8260" max="8260" width="13.33203125" style="2" bestFit="1" customWidth="1"/>
    <col min="8261" max="8261" width="16.88671875" style="2" bestFit="1" customWidth="1"/>
    <col min="8262" max="8264" width="14.44140625" style="2" customWidth="1"/>
    <col min="8265" max="8265" width="9.88671875" style="2" customWidth="1"/>
    <col min="8266" max="8268" width="17" style="2" customWidth="1"/>
    <col min="8269" max="8269" width="9.109375" style="2"/>
    <col min="8270" max="8270" width="17" style="2" customWidth="1"/>
    <col min="8271" max="8271" width="10.44140625" style="2" customWidth="1"/>
    <col min="8272" max="8440" width="9.109375" style="2"/>
    <col min="8441" max="8441" width="18.44140625" style="2" customWidth="1"/>
    <col min="8442" max="8443" width="11.88671875" style="2" customWidth="1"/>
    <col min="8444" max="8445" width="10.109375" style="2" customWidth="1"/>
    <col min="8446" max="8447" width="13.6640625" style="2" customWidth="1"/>
    <col min="8448" max="8452" width="23.77734375" style="2" customWidth="1"/>
    <col min="8453" max="8455" width="9.109375" style="2"/>
    <col min="8456" max="8456" width="21" style="2" customWidth="1"/>
    <col min="8457" max="8457" width="12.33203125" style="2" customWidth="1"/>
    <col min="8458" max="8458" width="14" style="2" customWidth="1"/>
    <col min="8459" max="8459" width="10.109375" style="2" bestFit="1" customWidth="1"/>
    <col min="8460" max="8460" width="10.109375" style="2" customWidth="1"/>
    <col min="8461" max="8461" width="27.21875" style="2" customWidth="1"/>
    <col min="8462" max="8462" width="24.5546875" style="2" customWidth="1"/>
    <col min="8463" max="8463" width="16.21875" style="2" customWidth="1"/>
    <col min="8464" max="8464" width="16.33203125" style="2" customWidth="1"/>
    <col min="8465" max="8465" width="18.5546875" style="2" customWidth="1"/>
    <col min="8466" max="8466" width="20.33203125" style="2" customWidth="1"/>
    <col min="8467" max="8467" width="26.44140625" style="2" customWidth="1"/>
    <col min="8468" max="8468" width="22.88671875" style="2" customWidth="1"/>
    <col min="8469" max="8469" width="30.21875" style="2" customWidth="1"/>
    <col min="8470" max="8470" width="22.88671875" style="2" customWidth="1"/>
    <col min="8471" max="8474" width="18" style="2" customWidth="1"/>
    <col min="8475" max="8475" width="17.21875" style="2" customWidth="1"/>
    <col min="8476" max="8476" width="16.6640625" style="2" customWidth="1"/>
    <col min="8477" max="8477" width="17.44140625" style="2" customWidth="1"/>
    <col min="8478" max="8478" width="24.21875" style="2" customWidth="1"/>
    <col min="8479" max="8479" width="20.44140625" style="2" customWidth="1"/>
    <col min="8480" max="8480" width="41.5546875" style="2" customWidth="1"/>
    <col min="8481" max="8482" width="32.44140625" style="2" customWidth="1"/>
    <col min="8483" max="8487" width="41.5546875" style="2" customWidth="1"/>
    <col min="8488" max="8488" width="30.44140625" style="2" customWidth="1"/>
    <col min="8489" max="8489" width="22.33203125" style="2" customWidth="1"/>
    <col min="8490" max="8490" width="9.109375" style="2"/>
    <col min="8491" max="8491" width="22.88671875" style="2" customWidth="1"/>
    <col min="8492" max="8492" width="23.77734375" style="2" customWidth="1"/>
    <col min="8493" max="8493" width="74.44140625" style="2" customWidth="1"/>
    <col min="8494" max="8495" width="9.109375" style="2"/>
    <col min="8496" max="8496" width="14.109375" style="2" customWidth="1"/>
    <col min="8497" max="8497" width="12.44140625" style="2" customWidth="1"/>
    <col min="8498" max="8498" width="13.44140625" style="2" customWidth="1"/>
    <col min="8499" max="8499" width="11.109375" style="2" customWidth="1"/>
    <col min="8500" max="8503" width="17.33203125" style="2" customWidth="1"/>
    <col min="8504" max="8507" width="9.109375" style="2"/>
    <col min="8508" max="8509" width="22.33203125" style="2" customWidth="1"/>
    <col min="8510" max="8510" width="11.88671875" style="2" customWidth="1"/>
    <col min="8511" max="8511" width="10.109375" style="2" customWidth="1"/>
    <col min="8512" max="8513" width="9.109375" style="2"/>
    <col min="8514" max="8514" width="13.33203125" style="2" customWidth="1"/>
    <col min="8515" max="8515" width="11.44140625" style="2" customWidth="1"/>
    <col min="8516" max="8516" width="13.33203125" style="2" bestFit="1" customWidth="1"/>
    <col min="8517" max="8517" width="16.88671875" style="2" bestFit="1" customWidth="1"/>
    <col min="8518" max="8520" width="14.44140625" style="2" customWidth="1"/>
    <col min="8521" max="8521" width="9.88671875" style="2" customWidth="1"/>
    <col min="8522" max="8524" width="17" style="2" customWidth="1"/>
    <col min="8525" max="8525" width="9.109375" style="2"/>
    <col min="8526" max="8526" width="17" style="2" customWidth="1"/>
    <col min="8527" max="8527" width="10.44140625" style="2" customWidth="1"/>
    <col min="8528" max="8696" width="9.109375" style="2"/>
    <col min="8697" max="8697" width="18.44140625" style="2" customWidth="1"/>
    <col min="8698" max="8699" width="11.88671875" style="2" customWidth="1"/>
    <col min="8700" max="8701" width="10.109375" style="2" customWidth="1"/>
    <col min="8702" max="8703" width="13.6640625" style="2" customWidth="1"/>
    <col min="8704" max="8708" width="23.77734375" style="2" customWidth="1"/>
    <col min="8709" max="8711" width="9.109375" style="2"/>
    <col min="8712" max="8712" width="21" style="2" customWidth="1"/>
    <col min="8713" max="8713" width="12.33203125" style="2" customWidth="1"/>
    <col min="8714" max="8714" width="14" style="2" customWidth="1"/>
    <col min="8715" max="8715" width="10.109375" style="2" bestFit="1" customWidth="1"/>
    <col min="8716" max="8716" width="10.109375" style="2" customWidth="1"/>
    <col min="8717" max="8717" width="27.21875" style="2" customWidth="1"/>
    <col min="8718" max="8718" width="24.5546875" style="2" customWidth="1"/>
    <col min="8719" max="8719" width="16.21875" style="2" customWidth="1"/>
    <col min="8720" max="8720" width="16.33203125" style="2" customWidth="1"/>
    <col min="8721" max="8721" width="18.5546875" style="2" customWidth="1"/>
    <col min="8722" max="8722" width="20.33203125" style="2" customWidth="1"/>
    <col min="8723" max="8723" width="26.44140625" style="2" customWidth="1"/>
    <col min="8724" max="8724" width="22.88671875" style="2" customWidth="1"/>
    <col min="8725" max="8725" width="30.21875" style="2" customWidth="1"/>
    <col min="8726" max="8726" width="22.88671875" style="2" customWidth="1"/>
    <col min="8727" max="8730" width="18" style="2" customWidth="1"/>
    <col min="8731" max="8731" width="17.21875" style="2" customWidth="1"/>
    <col min="8732" max="8732" width="16.6640625" style="2" customWidth="1"/>
    <col min="8733" max="8733" width="17.44140625" style="2" customWidth="1"/>
    <col min="8734" max="8734" width="24.21875" style="2" customWidth="1"/>
    <col min="8735" max="8735" width="20.44140625" style="2" customWidth="1"/>
    <col min="8736" max="8736" width="41.5546875" style="2" customWidth="1"/>
    <col min="8737" max="8738" width="32.44140625" style="2" customWidth="1"/>
    <col min="8739" max="8743" width="41.5546875" style="2" customWidth="1"/>
    <col min="8744" max="8744" width="30.44140625" style="2" customWidth="1"/>
    <col min="8745" max="8745" width="22.33203125" style="2" customWidth="1"/>
    <col min="8746" max="8746" width="9.109375" style="2"/>
    <col min="8747" max="8747" width="22.88671875" style="2" customWidth="1"/>
    <col min="8748" max="8748" width="23.77734375" style="2" customWidth="1"/>
    <col min="8749" max="8749" width="74.44140625" style="2" customWidth="1"/>
    <col min="8750" max="8751" width="9.109375" style="2"/>
    <col min="8752" max="8752" width="14.109375" style="2" customWidth="1"/>
    <col min="8753" max="8753" width="12.44140625" style="2" customWidth="1"/>
    <col min="8754" max="8754" width="13.44140625" style="2" customWidth="1"/>
    <col min="8755" max="8755" width="11.109375" style="2" customWidth="1"/>
    <col min="8756" max="8759" width="17.33203125" style="2" customWidth="1"/>
    <col min="8760" max="8763" width="9.109375" style="2"/>
    <col min="8764" max="8765" width="22.33203125" style="2" customWidth="1"/>
    <col min="8766" max="8766" width="11.88671875" style="2" customWidth="1"/>
    <col min="8767" max="8767" width="10.109375" style="2" customWidth="1"/>
    <col min="8768" max="8769" width="9.109375" style="2"/>
    <col min="8770" max="8770" width="13.33203125" style="2" customWidth="1"/>
    <col min="8771" max="8771" width="11.44140625" style="2" customWidth="1"/>
    <col min="8772" max="8772" width="13.33203125" style="2" bestFit="1" customWidth="1"/>
    <col min="8773" max="8773" width="16.88671875" style="2" bestFit="1" customWidth="1"/>
    <col min="8774" max="8776" width="14.44140625" style="2" customWidth="1"/>
    <col min="8777" max="8777" width="9.88671875" style="2" customWidth="1"/>
    <col min="8778" max="8780" width="17" style="2" customWidth="1"/>
    <col min="8781" max="8781" width="9.109375" style="2"/>
    <col min="8782" max="8782" width="17" style="2" customWidth="1"/>
    <col min="8783" max="8783" width="10.44140625" style="2" customWidth="1"/>
    <col min="8784" max="8952" width="9.109375" style="2"/>
    <col min="8953" max="8953" width="18.44140625" style="2" customWidth="1"/>
    <col min="8954" max="8955" width="11.88671875" style="2" customWidth="1"/>
    <col min="8956" max="8957" width="10.109375" style="2" customWidth="1"/>
    <col min="8958" max="8959" width="13.6640625" style="2" customWidth="1"/>
    <col min="8960" max="8964" width="23.77734375" style="2" customWidth="1"/>
    <col min="8965" max="8967" width="9.109375" style="2"/>
    <col min="8968" max="8968" width="21" style="2" customWidth="1"/>
    <col min="8969" max="8969" width="12.33203125" style="2" customWidth="1"/>
    <col min="8970" max="8970" width="14" style="2" customWidth="1"/>
    <col min="8971" max="8971" width="10.109375" style="2" bestFit="1" customWidth="1"/>
    <col min="8972" max="8972" width="10.109375" style="2" customWidth="1"/>
    <col min="8973" max="8973" width="27.21875" style="2" customWidth="1"/>
    <col min="8974" max="8974" width="24.5546875" style="2" customWidth="1"/>
    <col min="8975" max="8975" width="16.21875" style="2" customWidth="1"/>
    <col min="8976" max="8976" width="16.33203125" style="2" customWidth="1"/>
    <col min="8977" max="8977" width="18.5546875" style="2" customWidth="1"/>
    <col min="8978" max="8978" width="20.33203125" style="2" customWidth="1"/>
    <col min="8979" max="8979" width="26.44140625" style="2" customWidth="1"/>
    <col min="8980" max="8980" width="22.88671875" style="2" customWidth="1"/>
    <col min="8981" max="8981" width="30.21875" style="2" customWidth="1"/>
    <col min="8982" max="8982" width="22.88671875" style="2" customWidth="1"/>
    <col min="8983" max="8986" width="18" style="2" customWidth="1"/>
    <col min="8987" max="8987" width="17.21875" style="2" customWidth="1"/>
    <col min="8988" max="8988" width="16.6640625" style="2" customWidth="1"/>
    <col min="8989" max="8989" width="17.44140625" style="2" customWidth="1"/>
    <col min="8990" max="8990" width="24.21875" style="2" customWidth="1"/>
    <col min="8991" max="8991" width="20.44140625" style="2" customWidth="1"/>
    <col min="8992" max="8992" width="41.5546875" style="2" customWidth="1"/>
    <col min="8993" max="8994" width="32.44140625" style="2" customWidth="1"/>
    <col min="8995" max="8999" width="41.5546875" style="2" customWidth="1"/>
    <col min="9000" max="9000" width="30.44140625" style="2" customWidth="1"/>
    <col min="9001" max="9001" width="22.33203125" style="2" customWidth="1"/>
    <col min="9002" max="9002" width="9.109375" style="2"/>
    <col min="9003" max="9003" width="22.88671875" style="2" customWidth="1"/>
    <col min="9004" max="9004" width="23.77734375" style="2" customWidth="1"/>
    <col min="9005" max="9005" width="74.44140625" style="2" customWidth="1"/>
    <col min="9006" max="9007" width="9.109375" style="2"/>
    <col min="9008" max="9008" width="14.109375" style="2" customWidth="1"/>
    <col min="9009" max="9009" width="12.44140625" style="2" customWidth="1"/>
    <col min="9010" max="9010" width="13.44140625" style="2" customWidth="1"/>
    <col min="9011" max="9011" width="11.109375" style="2" customWidth="1"/>
    <col min="9012" max="9015" width="17.33203125" style="2" customWidth="1"/>
    <col min="9016" max="9019" width="9.109375" style="2"/>
    <col min="9020" max="9021" width="22.33203125" style="2" customWidth="1"/>
    <col min="9022" max="9022" width="11.88671875" style="2" customWidth="1"/>
    <col min="9023" max="9023" width="10.109375" style="2" customWidth="1"/>
    <col min="9024" max="9025" width="9.109375" style="2"/>
    <col min="9026" max="9026" width="13.33203125" style="2" customWidth="1"/>
    <col min="9027" max="9027" width="11.44140625" style="2" customWidth="1"/>
    <col min="9028" max="9028" width="13.33203125" style="2" bestFit="1" customWidth="1"/>
    <col min="9029" max="9029" width="16.88671875" style="2" bestFit="1" customWidth="1"/>
    <col min="9030" max="9032" width="14.44140625" style="2" customWidth="1"/>
    <col min="9033" max="9033" width="9.88671875" style="2" customWidth="1"/>
    <col min="9034" max="9036" width="17" style="2" customWidth="1"/>
    <col min="9037" max="9037" width="9.109375" style="2"/>
    <col min="9038" max="9038" width="17" style="2" customWidth="1"/>
    <col min="9039" max="9039" width="10.44140625" style="2" customWidth="1"/>
    <col min="9040" max="9208" width="9.109375" style="2"/>
    <col min="9209" max="9209" width="18.44140625" style="2" customWidth="1"/>
    <col min="9210" max="9211" width="11.88671875" style="2" customWidth="1"/>
    <col min="9212" max="9213" width="10.109375" style="2" customWidth="1"/>
    <col min="9214" max="9215" width="13.6640625" style="2" customWidth="1"/>
    <col min="9216" max="9220" width="23.77734375" style="2" customWidth="1"/>
    <col min="9221" max="9223" width="9.109375" style="2"/>
    <col min="9224" max="9224" width="21" style="2" customWidth="1"/>
    <col min="9225" max="9225" width="12.33203125" style="2" customWidth="1"/>
    <col min="9226" max="9226" width="14" style="2" customWidth="1"/>
    <col min="9227" max="9227" width="10.109375" style="2" bestFit="1" customWidth="1"/>
    <col min="9228" max="9228" width="10.109375" style="2" customWidth="1"/>
    <col min="9229" max="9229" width="27.21875" style="2" customWidth="1"/>
    <col min="9230" max="9230" width="24.5546875" style="2" customWidth="1"/>
    <col min="9231" max="9231" width="16.21875" style="2" customWidth="1"/>
    <col min="9232" max="9232" width="16.33203125" style="2" customWidth="1"/>
    <col min="9233" max="9233" width="18.5546875" style="2" customWidth="1"/>
    <col min="9234" max="9234" width="20.33203125" style="2" customWidth="1"/>
    <col min="9235" max="9235" width="26.44140625" style="2" customWidth="1"/>
    <col min="9236" max="9236" width="22.88671875" style="2" customWidth="1"/>
    <col min="9237" max="9237" width="30.21875" style="2" customWidth="1"/>
    <col min="9238" max="9238" width="22.88671875" style="2" customWidth="1"/>
    <col min="9239" max="9242" width="18" style="2" customWidth="1"/>
    <col min="9243" max="9243" width="17.21875" style="2" customWidth="1"/>
    <col min="9244" max="9244" width="16.6640625" style="2" customWidth="1"/>
    <col min="9245" max="9245" width="17.44140625" style="2" customWidth="1"/>
    <col min="9246" max="9246" width="24.21875" style="2" customWidth="1"/>
    <col min="9247" max="9247" width="20.44140625" style="2" customWidth="1"/>
    <col min="9248" max="9248" width="41.5546875" style="2" customWidth="1"/>
    <col min="9249" max="9250" width="32.44140625" style="2" customWidth="1"/>
    <col min="9251" max="9255" width="41.5546875" style="2" customWidth="1"/>
    <col min="9256" max="9256" width="30.44140625" style="2" customWidth="1"/>
    <col min="9257" max="9257" width="22.33203125" style="2" customWidth="1"/>
    <col min="9258" max="9258" width="9.109375" style="2"/>
    <col min="9259" max="9259" width="22.88671875" style="2" customWidth="1"/>
    <col min="9260" max="9260" width="23.77734375" style="2" customWidth="1"/>
    <col min="9261" max="9261" width="74.44140625" style="2" customWidth="1"/>
    <col min="9262" max="9263" width="9.109375" style="2"/>
    <col min="9264" max="9264" width="14.109375" style="2" customWidth="1"/>
    <col min="9265" max="9265" width="12.44140625" style="2" customWidth="1"/>
    <col min="9266" max="9266" width="13.44140625" style="2" customWidth="1"/>
    <col min="9267" max="9267" width="11.109375" style="2" customWidth="1"/>
    <col min="9268" max="9271" width="17.33203125" style="2" customWidth="1"/>
    <col min="9272" max="9275" width="9.109375" style="2"/>
    <col min="9276" max="9277" width="22.33203125" style="2" customWidth="1"/>
    <col min="9278" max="9278" width="11.88671875" style="2" customWidth="1"/>
    <col min="9279" max="9279" width="10.109375" style="2" customWidth="1"/>
    <col min="9280" max="9281" width="9.109375" style="2"/>
    <col min="9282" max="9282" width="13.33203125" style="2" customWidth="1"/>
    <col min="9283" max="9283" width="11.44140625" style="2" customWidth="1"/>
    <col min="9284" max="9284" width="13.33203125" style="2" bestFit="1" customWidth="1"/>
    <col min="9285" max="9285" width="16.88671875" style="2" bestFit="1" customWidth="1"/>
    <col min="9286" max="9288" width="14.44140625" style="2" customWidth="1"/>
    <col min="9289" max="9289" width="9.88671875" style="2" customWidth="1"/>
    <col min="9290" max="9292" width="17" style="2" customWidth="1"/>
    <col min="9293" max="9293" width="9.109375" style="2"/>
    <col min="9294" max="9294" width="17" style="2" customWidth="1"/>
    <col min="9295" max="9295" width="10.44140625" style="2" customWidth="1"/>
    <col min="9296" max="9464" width="9.109375" style="2"/>
    <col min="9465" max="9465" width="18.44140625" style="2" customWidth="1"/>
    <col min="9466" max="9467" width="11.88671875" style="2" customWidth="1"/>
    <col min="9468" max="9469" width="10.109375" style="2" customWidth="1"/>
    <col min="9470" max="9471" width="13.6640625" style="2" customWidth="1"/>
    <col min="9472" max="9476" width="23.77734375" style="2" customWidth="1"/>
    <col min="9477" max="9479" width="9.109375" style="2"/>
    <col min="9480" max="9480" width="21" style="2" customWidth="1"/>
    <col min="9481" max="9481" width="12.33203125" style="2" customWidth="1"/>
    <col min="9482" max="9482" width="14" style="2" customWidth="1"/>
    <col min="9483" max="9483" width="10.109375" style="2" bestFit="1" customWidth="1"/>
    <col min="9484" max="9484" width="10.109375" style="2" customWidth="1"/>
    <col min="9485" max="9485" width="27.21875" style="2" customWidth="1"/>
    <col min="9486" max="9486" width="24.5546875" style="2" customWidth="1"/>
    <col min="9487" max="9487" width="16.21875" style="2" customWidth="1"/>
    <col min="9488" max="9488" width="16.33203125" style="2" customWidth="1"/>
    <col min="9489" max="9489" width="18.5546875" style="2" customWidth="1"/>
    <col min="9490" max="9490" width="20.33203125" style="2" customWidth="1"/>
    <col min="9491" max="9491" width="26.44140625" style="2" customWidth="1"/>
    <col min="9492" max="9492" width="22.88671875" style="2" customWidth="1"/>
    <col min="9493" max="9493" width="30.21875" style="2" customWidth="1"/>
    <col min="9494" max="9494" width="22.88671875" style="2" customWidth="1"/>
    <col min="9495" max="9498" width="18" style="2" customWidth="1"/>
    <col min="9499" max="9499" width="17.21875" style="2" customWidth="1"/>
    <col min="9500" max="9500" width="16.6640625" style="2" customWidth="1"/>
    <col min="9501" max="9501" width="17.44140625" style="2" customWidth="1"/>
    <col min="9502" max="9502" width="24.21875" style="2" customWidth="1"/>
    <col min="9503" max="9503" width="20.44140625" style="2" customWidth="1"/>
    <col min="9504" max="9504" width="41.5546875" style="2" customWidth="1"/>
    <col min="9505" max="9506" width="32.44140625" style="2" customWidth="1"/>
    <col min="9507" max="9511" width="41.5546875" style="2" customWidth="1"/>
    <col min="9512" max="9512" width="30.44140625" style="2" customWidth="1"/>
    <col min="9513" max="9513" width="22.33203125" style="2" customWidth="1"/>
    <col min="9514" max="9514" width="9.109375" style="2"/>
    <col min="9515" max="9515" width="22.88671875" style="2" customWidth="1"/>
    <col min="9516" max="9516" width="23.77734375" style="2" customWidth="1"/>
    <col min="9517" max="9517" width="74.44140625" style="2" customWidth="1"/>
    <col min="9518" max="9519" width="9.109375" style="2"/>
    <col min="9520" max="9520" width="14.109375" style="2" customWidth="1"/>
    <col min="9521" max="9521" width="12.44140625" style="2" customWidth="1"/>
    <col min="9522" max="9522" width="13.44140625" style="2" customWidth="1"/>
    <col min="9523" max="9523" width="11.109375" style="2" customWidth="1"/>
    <col min="9524" max="9527" width="17.33203125" style="2" customWidth="1"/>
    <col min="9528" max="9531" width="9.109375" style="2"/>
    <col min="9532" max="9533" width="22.33203125" style="2" customWidth="1"/>
    <col min="9534" max="9534" width="11.88671875" style="2" customWidth="1"/>
    <col min="9535" max="9535" width="10.109375" style="2" customWidth="1"/>
    <col min="9536" max="9537" width="9.109375" style="2"/>
    <col min="9538" max="9538" width="13.33203125" style="2" customWidth="1"/>
    <col min="9539" max="9539" width="11.44140625" style="2" customWidth="1"/>
    <col min="9540" max="9540" width="13.33203125" style="2" bestFit="1" customWidth="1"/>
    <col min="9541" max="9541" width="16.88671875" style="2" bestFit="1" customWidth="1"/>
    <col min="9542" max="9544" width="14.44140625" style="2" customWidth="1"/>
    <col min="9545" max="9545" width="9.88671875" style="2" customWidth="1"/>
    <col min="9546" max="9548" width="17" style="2" customWidth="1"/>
    <col min="9549" max="9549" width="9.109375" style="2"/>
    <col min="9550" max="9550" width="17" style="2" customWidth="1"/>
    <col min="9551" max="9551" width="10.44140625" style="2" customWidth="1"/>
    <col min="9552" max="9720" width="9.109375" style="2"/>
    <col min="9721" max="9721" width="18.44140625" style="2" customWidth="1"/>
    <col min="9722" max="9723" width="11.88671875" style="2" customWidth="1"/>
    <col min="9724" max="9725" width="10.109375" style="2" customWidth="1"/>
    <col min="9726" max="9727" width="13.6640625" style="2" customWidth="1"/>
    <col min="9728" max="9732" width="23.77734375" style="2" customWidth="1"/>
    <col min="9733" max="9735" width="9.109375" style="2"/>
    <col min="9736" max="9736" width="21" style="2" customWidth="1"/>
    <col min="9737" max="9737" width="12.33203125" style="2" customWidth="1"/>
    <col min="9738" max="9738" width="14" style="2" customWidth="1"/>
    <col min="9739" max="9739" width="10.109375" style="2" bestFit="1" customWidth="1"/>
    <col min="9740" max="9740" width="10.109375" style="2" customWidth="1"/>
    <col min="9741" max="9741" width="27.21875" style="2" customWidth="1"/>
    <col min="9742" max="9742" width="24.5546875" style="2" customWidth="1"/>
    <col min="9743" max="9743" width="16.21875" style="2" customWidth="1"/>
    <col min="9744" max="9744" width="16.33203125" style="2" customWidth="1"/>
    <col min="9745" max="9745" width="18.5546875" style="2" customWidth="1"/>
    <col min="9746" max="9746" width="20.33203125" style="2" customWidth="1"/>
    <col min="9747" max="9747" width="26.44140625" style="2" customWidth="1"/>
    <col min="9748" max="9748" width="22.88671875" style="2" customWidth="1"/>
    <col min="9749" max="9749" width="30.21875" style="2" customWidth="1"/>
    <col min="9750" max="9750" width="22.88671875" style="2" customWidth="1"/>
    <col min="9751" max="9754" width="18" style="2" customWidth="1"/>
    <col min="9755" max="9755" width="17.21875" style="2" customWidth="1"/>
    <col min="9756" max="9756" width="16.6640625" style="2" customWidth="1"/>
    <col min="9757" max="9757" width="17.44140625" style="2" customWidth="1"/>
    <col min="9758" max="9758" width="24.21875" style="2" customWidth="1"/>
    <col min="9759" max="9759" width="20.44140625" style="2" customWidth="1"/>
    <col min="9760" max="9760" width="41.5546875" style="2" customWidth="1"/>
    <col min="9761" max="9762" width="32.44140625" style="2" customWidth="1"/>
    <col min="9763" max="9767" width="41.5546875" style="2" customWidth="1"/>
    <col min="9768" max="9768" width="30.44140625" style="2" customWidth="1"/>
    <col min="9769" max="9769" width="22.33203125" style="2" customWidth="1"/>
    <col min="9770" max="9770" width="9.109375" style="2"/>
    <col min="9771" max="9771" width="22.88671875" style="2" customWidth="1"/>
    <col min="9772" max="9772" width="23.77734375" style="2" customWidth="1"/>
    <col min="9773" max="9773" width="74.44140625" style="2" customWidth="1"/>
    <col min="9774" max="9775" width="9.109375" style="2"/>
    <col min="9776" max="9776" width="14.109375" style="2" customWidth="1"/>
    <col min="9777" max="9777" width="12.44140625" style="2" customWidth="1"/>
    <col min="9778" max="9778" width="13.44140625" style="2" customWidth="1"/>
    <col min="9779" max="9779" width="11.109375" style="2" customWidth="1"/>
    <col min="9780" max="9783" width="17.33203125" style="2" customWidth="1"/>
    <col min="9784" max="9787" width="9.109375" style="2"/>
    <col min="9788" max="9789" width="22.33203125" style="2" customWidth="1"/>
    <col min="9790" max="9790" width="11.88671875" style="2" customWidth="1"/>
    <col min="9791" max="9791" width="10.109375" style="2" customWidth="1"/>
    <col min="9792" max="9793" width="9.109375" style="2"/>
    <col min="9794" max="9794" width="13.33203125" style="2" customWidth="1"/>
    <col min="9795" max="9795" width="11.44140625" style="2" customWidth="1"/>
    <col min="9796" max="9796" width="13.33203125" style="2" bestFit="1" customWidth="1"/>
    <col min="9797" max="9797" width="16.88671875" style="2" bestFit="1" customWidth="1"/>
    <col min="9798" max="9800" width="14.44140625" style="2" customWidth="1"/>
    <col min="9801" max="9801" width="9.88671875" style="2" customWidth="1"/>
    <col min="9802" max="9804" width="17" style="2" customWidth="1"/>
    <col min="9805" max="9805" width="9.109375" style="2"/>
    <col min="9806" max="9806" width="17" style="2" customWidth="1"/>
    <col min="9807" max="9807" width="10.44140625" style="2" customWidth="1"/>
    <col min="9808" max="9976" width="9.109375" style="2"/>
    <col min="9977" max="9977" width="18.44140625" style="2" customWidth="1"/>
    <col min="9978" max="9979" width="11.88671875" style="2" customWidth="1"/>
    <col min="9980" max="9981" width="10.109375" style="2" customWidth="1"/>
    <col min="9982" max="9983" width="13.6640625" style="2" customWidth="1"/>
    <col min="9984" max="9988" width="23.77734375" style="2" customWidth="1"/>
    <col min="9989" max="9991" width="9.109375" style="2"/>
    <col min="9992" max="9992" width="21" style="2" customWidth="1"/>
    <col min="9993" max="9993" width="12.33203125" style="2" customWidth="1"/>
    <col min="9994" max="9994" width="14" style="2" customWidth="1"/>
    <col min="9995" max="9995" width="10.109375" style="2" bestFit="1" customWidth="1"/>
    <col min="9996" max="9996" width="10.109375" style="2" customWidth="1"/>
    <col min="9997" max="9997" width="27.21875" style="2" customWidth="1"/>
    <col min="9998" max="9998" width="24.5546875" style="2" customWidth="1"/>
    <col min="9999" max="9999" width="16.21875" style="2" customWidth="1"/>
    <col min="10000" max="10000" width="16.33203125" style="2" customWidth="1"/>
    <col min="10001" max="10001" width="18.5546875" style="2" customWidth="1"/>
    <col min="10002" max="10002" width="20.33203125" style="2" customWidth="1"/>
    <col min="10003" max="10003" width="26.44140625" style="2" customWidth="1"/>
    <col min="10004" max="10004" width="22.88671875" style="2" customWidth="1"/>
    <col min="10005" max="10005" width="30.21875" style="2" customWidth="1"/>
    <col min="10006" max="10006" width="22.88671875" style="2" customWidth="1"/>
    <col min="10007" max="10010" width="18" style="2" customWidth="1"/>
    <col min="10011" max="10011" width="17.21875" style="2" customWidth="1"/>
    <col min="10012" max="10012" width="16.6640625" style="2" customWidth="1"/>
    <col min="10013" max="10013" width="17.44140625" style="2" customWidth="1"/>
    <col min="10014" max="10014" width="24.21875" style="2" customWidth="1"/>
    <col min="10015" max="10015" width="20.44140625" style="2" customWidth="1"/>
    <col min="10016" max="10016" width="41.5546875" style="2" customWidth="1"/>
    <col min="10017" max="10018" width="32.44140625" style="2" customWidth="1"/>
    <col min="10019" max="10023" width="41.5546875" style="2" customWidth="1"/>
    <col min="10024" max="10024" width="30.44140625" style="2" customWidth="1"/>
    <col min="10025" max="10025" width="22.33203125" style="2" customWidth="1"/>
    <col min="10026" max="10026" width="9.109375" style="2"/>
    <col min="10027" max="10027" width="22.88671875" style="2" customWidth="1"/>
    <col min="10028" max="10028" width="23.77734375" style="2" customWidth="1"/>
    <col min="10029" max="10029" width="74.44140625" style="2" customWidth="1"/>
    <col min="10030" max="10031" width="9.109375" style="2"/>
    <col min="10032" max="10032" width="14.109375" style="2" customWidth="1"/>
    <col min="10033" max="10033" width="12.44140625" style="2" customWidth="1"/>
    <col min="10034" max="10034" width="13.44140625" style="2" customWidth="1"/>
    <col min="10035" max="10035" width="11.109375" style="2" customWidth="1"/>
    <col min="10036" max="10039" width="17.33203125" style="2" customWidth="1"/>
    <col min="10040" max="10043" width="9.109375" style="2"/>
    <col min="10044" max="10045" width="22.33203125" style="2" customWidth="1"/>
    <col min="10046" max="10046" width="11.88671875" style="2" customWidth="1"/>
    <col min="10047" max="10047" width="10.109375" style="2" customWidth="1"/>
    <col min="10048" max="10049" width="9.109375" style="2"/>
    <col min="10050" max="10050" width="13.33203125" style="2" customWidth="1"/>
    <col min="10051" max="10051" width="11.44140625" style="2" customWidth="1"/>
    <col min="10052" max="10052" width="13.33203125" style="2" bestFit="1" customWidth="1"/>
    <col min="10053" max="10053" width="16.88671875" style="2" bestFit="1" customWidth="1"/>
    <col min="10054" max="10056" width="14.44140625" style="2" customWidth="1"/>
    <col min="10057" max="10057" width="9.88671875" style="2" customWidth="1"/>
    <col min="10058" max="10060" width="17" style="2" customWidth="1"/>
    <col min="10061" max="10061" width="9.109375" style="2"/>
    <col min="10062" max="10062" width="17" style="2" customWidth="1"/>
    <col min="10063" max="10063" width="10.44140625" style="2" customWidth="1"/>
    <col min="10064" max="10232" width="9.109375" style="2"/>
    <col min="10233" max="10233" width="18.44140625" style="2" customWidth="1"/>
    <col min="10234" max="10235" width="11.88671875" style="2" customWidth="1"/>
    <col min="10236" max="10237" width="10.109375" style="2" customWidth="1"/>
    <col min="10238" max="10239" width="13.6640625" style="2" customWidth="1"/>
    <col min="10240" max="10244" width="23.77734375" style="2" customWidth="1"/>
    <col min="10245" max="10247" width="9.109375" style="2"/>
    <col min="10248" max="10248" width="21" style="2" customWidth="1"/>
    <col min="10249" max="10249" width="12.33203125" style="2" customWidth="1"/>
    <col min="10250" max="10250" width="14" style="2" customWidth="1"/>
    <col min="10251" max="10251" width="10.109375" style="2" bestFit="1" customWidth="1"/>
    <col min="10252" max="10252" width="10.109375" style="2" customWidth="1"/>
    <col min="10253" max="10253" width="27.21875" style="2" customWidth="1"/>
    <col min="10254" max="10254" width="24.5546875" style="2" customWidth="1"/>
    <col min="10255" max="10255" width="16.21875" style="2" customWidth="1"/>
    <col min="10256" max="10256" width="16.33203125" style="2" customWidth="1"/>
    <col min="10257" max="10257" width="18.5546875" style="2" customWidth="1"/>
    <col min="10258" max="10258" width="20.33203125" style="2" customWidth="1"/>
    <col min="10259" max="10259" width="26.44140625" style="2" customWidth="1"/>
    <col min="10260" max="10260" width="22.88671875" style="2" customWidth="1"/>
    <col min="10261" max="10261" width="30.21875" style="2" customWidth="1"/>
    <col min="10262" max="10262" width="22.88671875" style="2" customWidth="1"/>
    <col min="10263" max="10266" width="18" style="2" customWidth="1"/>
    <col min="10267" max="10267" width="17.21875" style="2" customWidth="1"/>
    <col min="10268" max="10268" width="16.6640625" style="2" customWidth="1"/>
    <col min="10269" max="10269" width="17.44140625" style="2" customWidth="1"/>
    <col min="10270" max="10270" width="24.21875" style="2" customWidth="1"/>
    <col min="10271" max="10271" width="20.44140625" style="2" customWidth="1"/>
    <col min="10272" max="10272" width="41.5546875" style="2" customWidth="1"/>
    <col min="10273" max="10274" width="32.44140625" style="2" customWidth="1"/>
    <col min="10275" max="10279" width="41.5546875" style="2" customWidth="1"/>
    <col min="10280" max="10280" width="30.44140625" style="2" customWidth="1"/>
    <col min="10281" max="10281" width="22.33203125" style="2" customWidth="1"/>
    <col min="10282" max="10282" width="9.109375" style="2"/>
    <col min="10283" max="10283" width="22.88671875" style="2" customWidth="1"/>
    <col min="10284" max="10284" width="23.77734375" style="2" customWidth="1"/>
    <col min="10285" max="10285" width="74.44140625" style="2" customWidth="1"/>
    <col min="10286" max="10287" width="9.109375" style="2"/>
    <col min="10288" max="10288" width="14.109375" style="2" customWidth="1"/>
    <col min="10289" max="10289" width="12.44140625" style="2" customWidth="1"/>
    <col min="10290" max="10290" width="13.44140625" style="2" customWidth="1"/>
    <col min="10291" max="10291" width="11.109375" style="2" customWidth="1"/>
    <col min="10292" max="10295" width="17.33203125" style="2" customWidth="1"/>
    <col min="10296" max="10299" width="9.109375" style="2"/>
    <col min="10300" max="10301" width="22.33203125" style="2" customWidth="1"/>
    <col min="10302" max="10302" width="11.88671875" style="2" customWidth="1"/>
    <col min="10303" max="10303" width="10.109375" style="2" customWidth="1"/>
    <col min="10304" max="10305" width="9.109375" style="2"/>
    <col min="10306" max="10306" width="13.33203125" style="2" customWidth="1"/>
    <col min="10307" max="10307" width="11.44140625" style="2" customWidth="1"/>
    <col min="10308" max="10308" width="13.33203125" style="2" bestFit="1" customWidth="1"/>
    <col min="10309" max="10309" width="16.88671875" style="2" bestFit="1" customWidth="1"/>
    <col min="10310" max="10312" width="14.44140625" style="2" customWidth="1"/>
    <col min="10313" max="10313" width="9.88671875" style="2" customWidth="1"/>
    <col min="10314" max="10316" width="17" style="2" customWidth="1"/>
    <col min="10317" max="10317" width="9.109375" style="2"/>
    <col min="10318" max="10318" width="17" style="2" customWidth="1"/>
    <col min="10319" max="10319" width="10.44140625" style="2" customWidth="1"/>
    <col min="10320" max="10488" width="9.109375" style="2"/>
    <col min="10489" max="10489" width="18.44140625" style="2" customWidth="1"/>
    <col min="10490" max="10491" width="11.88671875" style="2" customWidth="1"/>
    <col min="10492" max="10493" width="10.109375" style="2" customWidth="1"/>
    <col min="10494" max="10495" width="13.6640625" style="2" customWidth="1"/>
    <col min="10496" max="10500" width="23.77734375" style="2" customWidth="1"/>
    <col min="10501" max="10503" width="9.109375" style="2"/>
    <col min="10504" max="10504" width="21" style="2" customWidth="1"/>
    <col min="10505" max="10505" width="12.33203125" style="2" customWidth="1"/>
    <col min="10506" max="10506" width="14" style="2" customWidth="1"/>
    <col min="10507" max="10507" width="10.109375" style="2" bestFit="1" customWidth="1"/>
    <col min="10508" max="10508" width="10.109375" style="2" customWidth="1"/>
    <col min="10509" max="10509" width="27.21875" style="2" customWidth="1"/>
    <col min="10510" max="10510" width="24.5546875" style="2" customWidth="1"/>
    <col min="10511" max="10511" width="16.21875" style="2" customWidth="1"/>
    <col min="10512" max="10512" width="16.33203125" style="2" customWidth="1"/>
    <col min="10513" max="10513" width="18.5546875" style="2" customWidth="1"/>
    <col min="10514" max="10514" width="20.33203125" style="2" customWidth="1"/>
    <col min="10515" max="10515" width="26.44140625" style="2" customWidth="1"/>
    <col min="10516" max="10516" width="22.88671875" style="2" customWidth="1"/>
    <col min="10517" max="10517" width="30.21875" style="2" customWidth="1"/>
    <col min="10518" max="10518" width="22.88671875" style="2" customWidth="1"/>
    <col min="10519" max="10522" width="18" style="2" customWidth="1"/>
    <col min="10523" max="10523" width="17.21875" style="2" customWidth="1"/>
    <col min="10524" max="10524" width="16.6640625" style="2" customWidth="1"/>
    <col min="10525" max="10525" width="17.44140625" style="2" customWidth="1"/>
    <col min="10526" max="10526" width="24.21875" style="2" customWidth="1"/>
    <col min="10527" max="10527" width="20.44140625" style="2" customWidth="1"/>
    <col min="10528" max="10528" width="41.5546875" style="2" customWidth="1"/>
    <col min="10529" max="10530" width="32.44140625" style="2" customWidth="1"/>
    <col min="10531" max="10535" width="41.5546875" style="2" customWidth="1"/>
    <col min="10536" max="10536" width="30.44140625" style="2" customWidth="1"/>
    <col min="10537" max="10537" width="22.33203125" style="2" customWidth="1"/>
    <col min="10538" max="10538" width="9.109375" style="2"/>
    <col min="10539" max="10539" width="22.88671875" style="2" customWidth="1"/>
    <col min="10540" max="10540" width="23.77734375" style="2" customWidth="1"/>
    <col min="10541" max="10541" width="74.44140625" style="2" customWidth="1"/>
    <col min="10542" max="10543" width="9.109375" style="2"/>
    <col min="10544" max="10544" width="14.109375" style="2" customWidth="1"/>
    <col min="10545" max="10545" width="12.44140625" style="2" customWidth="1"/>
    <col min="10546" max="10546" width="13.44140625" style="2" customWidth="1"/>
    <col min="10547" max="10547" width="11.109375" style="2" customWidth="1"/>
    <col min="10548" max="10551" width="17.33203125" style="2" customWidth="1"/>
    <col min="10552" max="10555" width="9.109375" style="2"/>
    <col min="10556" max="10557" width="22.33203125" style="2" customWidth="1"/>
    <col min="10558" max="10558" width="11.88671875" style="2" customWidth="1"/>
    <col min="10559" max="10559" width="10.109375" style="2" customWidth="1"/>
    <col min="10560" max="10561" width="9.109375" style="2"/>
    <col min="10562" max="10562" width="13.33203125" style="2" customWidth="1"/>
    <col min="10563" max="10563" width="11.44140625" style="2" customWidth="1"/>
    <col min="10564" max="10564" width="13.33203125" style="2" bestFit="1" customWidth="1"/>
    <col min="10565" max="10565" width="16.88671875" style="2" bestFit="1" customWidth="1"/>
    <col min="10566" max="10568" width="14.44140625" style="2" customWidth="1"/>
    <col min="10569" max="10569" width="9.88671875" style="2" customWidth="1"/>
    <col min="10570" max="10572" width="17" style="2" customWidth="1"/>
    <col min="10573" max="10573" width="9.109375" style="2"/>
    <col min="10574" max="10574" width="17" style="2" customWidth="1"/>
    <col min="10575" max="10575" width="10.44140625" style="2" customWidth="1"/>
    <col min="10576" max="10744" width="9.109375" style="2"/>
    <col min="10745" max="10745" width="18.44140625" style="2" customWidth="1"/>
    <col min="10746" max="10747" width="11.88671875" style="2" customWidth="1"/>
    <col min="10748" max="10749" width="10.109375" style="2" customWidth="1"/>
    <col min="10750" max="10751" width="13.6640625" style="2" customWidth="1"/>
    <col min="10752" max="10756" width="23.77734375" style="2" customWidth="1"/>
    <col min="10757" max="10759" width="9.109375" style="2"/>
    <col min="10760" max="10760" width="21" style="2" customWidth="1"/>
    <col min="10761" max="10761" width="12.33203125" style="2" customWidth="1"/>
    <col min="10762" max="10762" width="14" style="2" customWidth="1"/>
    <col min="10763" max="10763" width="10.109375" style="2" bestFit="1" customWidth="1"/>
    <col min="10764" max="10764" width="10.109375" style="2" customWidth="1"/>
    <col min="10765" max="10765" width="27.21875" style="2" customWidth="1"/>
    <col min="10766" max="10766" width="24.5546875" style="2" customWidth="1"/>
    <col min="10767" max="10767" width="16.21875" style="2" customWidth="1"/>
    <col min="10768" max="10768" width="16.33203125" style="2" customWidth="1"/>
    <col min="10769" max="10769" width="18.5546875" style="2" customWidth="1"/>
    <col min="10770" max="10770" width="20.33203125" style="2" customWidth="1"/>
    <col min="10771" max="10771" width="26.44140625" style="2" customWidth="1"/>
    <col min="10772" max="10772" width="22.88671875" style="2" customWidth="1"/>
    <col min="10773" max="10773" width="30.21875" style="2" customWidth="1"/>
    <col min="10774" max="10774" width="22.88671875" style="2" customWidth="1"/>
    <col min="10775" max="10778" width="18" style="2" customWidth="1"/>
    <col min="10779" max="10779" width="17.21875" style="2" customWidth="1"/>
    <col min="10780" max="10780" width="16.6640625" style="2" customWidth="1"/>
    <col min="10781" max="10781" width="17.44140625" style="2" customWidth="1"/>
    <col min="10782" max="10782" width="24.21875" style="2" customWidth="1"/>
    <col min="10783" max="10783" width="20.44140625" style="2" customWidth="1"/>
    <col min="10784" max="10784" width="41.5546875" style="2" customWidth="1"/>
    <col min="10785" max="10786" width="32.44140625" style="2" customWidth="1"/>
    <col min="10787" max="10791" width="41.5546875" style="2" customWidth="1"/>
    <col min="10792" max="10792" width="30.44140625" style="2" customWidth="1"/>
    <col min="10793" max="10793" width="22.33203125" style="2" customWidth="1"/>
    <col min="10794" max="10794" width="9.109375" style="2"/>
    <col min="10795" max="10795" width="22.88671875" style="2" customWidth="1"/>
    <col min="10796" max="10796" width="23.77734375" style="2" customWidth="1"/>
    <col min="10797" max="10797" width="74.44140625" style="2" customWidth="1"/>
    <col min="10798" max="10799" width="9.109375" style="2"/>
    <col min="10800" max="10800" width="14.109375" style="2" customWidth="1"/>
    <col min="10801" max="10801" width="12.44140625" style="2" customWidth="1"/>
    <col min="10802" max="10802" width="13.44140625" style="2" customWidth="1"/>
    <col min="10803" max="10803" width="11.109375" style="2" customWidth="1"/>
    <col min="10804" max="10807" width="17.33203125" style="2" customWidth="1"/>
    <col min="10808" max="10811" width="9.109375" style="2"/>
    <col min="10812" max="10813" width="22.33203125" style="2" customWidth="1"/>
    <col min="10814" max="10814" width="11.88671875" style="2" customWidth="1"/>
    <col min="10815" max="10815" width="10.109375" style="2" customWidth="1"/>
    <col min="10816" max="10817" width="9.109375" style="2"/>
    <col min="10818" max="10818" width="13.33203125" style="2" customWidth="1"/>
    <col min="10819" max="10819" width="11.44140625" style="2" customWidth="1"/>
    <col min="10820" max="10820" width="13.33203125" style="2" bestFit="1" customWidth="1"/>
    <col min="10821" max="10821" width="16.88671875" style="2" bestFit="1" customWidth="1"/>
    <col min="10822" max="10824" width="14.44140625" style="2" customWidth="1"/>
    <col min="10825" max="10825" width="9.88671875" style="2" customWidth="1"/>
    <col min="10826" max="10828" width="17" style="2" customWidth="1"/>
    <col min="10829" max="10829" width="9.109375" style="2"/>
    <col min="10830" max="10830" width="17" style="2" customWidth="1"/>
    <col min="10831" max="10831" width="10.44140625" style="2" customWidth="1"/>
    <col min="10832" max="11000" width="9.109375" style="2"/>
    <col min="11001" max="11001" width="18.44140625" style="2" customWidth="1"/>
    <col min="11002" max="11003" width="11.88671875" style="2" customWidth="1"/>
    <col min="11004" max="11005" width="10.109375" style="2" customWidth="1"/>
    <col min="11006" max="11007" width="13.6640625" style="2" customWidth="1"/>
    <col min="11008" max="11012" width="23.77734375" style="2" customWidth="1"/>
    <col min="11013" max="11015" width="9.109375" style="2"/>
    <col min="11016" max="11016" width="21" style="2" customWidth="1"/>
    <col min="11017" max="11017" width="12.33203125" style="2" customWidth="1"/>
    <col min="11018" max="11018" width="14" style="2" customWidth="1"/>
    <col min="11019" max="11019" width="10.109375" style="2" bestFit="1" customWidth="1"/>
    <col min="11020" max="11020" width="10.109375" style="2" customWidth="1"/>
    <col min="11021" max="11021" width="27.21875" style="2" customWidth="1"/>
    <col min="11022" max="11022" width="24.5546875" style="2" customWidth="1"/>
    <col min="11023" max="11023" width="16.21875" style="2" customWidth="1"/>
    <col min="11024" max="11024" width="16.33203125" style="2" customWidth="1"/>
    <col min="11025" max="11025" width="18.5546875" style="2" customWidth="1"/>
    <col min="11026" max="11026" width="20.33203125" style="2" customWidth="1"/>
    <col min="11027" max="11027" width="26.44140625" style="2" customWidth="1"/>
    <col min="11028" max="11028" width="22.88671875" style="2" customWidth="1"/>
    <col min="11029" max="11029" width="30.21875" style="2" customWidth="1"/>
    <col min="11030" max="11030" width="22.88671875" style="2" customWidth="1"/>
    <col min="11031" max="11034" width="18" style="2" customWidth="1"/>
    <col min="11035" max="11035" width="17.21875" style="2" customWidth="1"/>
    <col min="11036" max="11036" width="16.6640625" style="2" customWidth="1"/>
    <col min="11037" max="11037" width="17.44140625" style="2" customWidth="1"/>
    <col min="11038" max="11038" width="24.21875" style="2" customWidth="1"/>
    <col min="11039" max="11039" width="20.44140625" style="2" customWidth="1"/>
    <col min="11040" max="11040" width="41.5546875" style="2" customWidth="1"/>
    <col min="11041" max="11042" width="32.44140625" style="2" customWidth="1"/>
    <col min="11043" max="11047" width="41.5546875" style="2" customWidth="1"/>
    <col min="11048" max="11048" width="30.44140625" style="2" customWidth="1"/>
    <col min="11049" max="11049" width="22.33203125" style="2" customWidth="1"/>
    <col min="11050" max="11050" width="9.109375" style="2"/>
    <col min="11051" max="11051" width="22.88671875" style="2" customWidth="1"/>
    <col min="11052" max="11052" width="23.77734375" style="2" customWidth="1"/>
    <col min="11053" max="11053" width="74.44140625" style="2" customWidth="1"/>
    <col min="11054" max="11055" width="9.109375" style="2"/>
    <col min="11056" max="11056" width="14.109375" style="2" customWidth="1"/>
    <col min="11057" max="11057" width="12.44140625" style="2" customWidth="1"/>
    <col min="11058" max="11058" width="13.44140625" style="2" customWidth="1"/>
    <col min="11059" max="11059" width="11.109375" style="2" customWidth="1"/>
    <col min="11060" max="11063" width="17.33203125" style="2" customWidth="1"/>
    <col min="11064" max="11067" width="9.109375" style="2"/>
    <col min="11068" max="11069" width="22.33203125" style="2" customWidth="1"/>
    <col min="11070" max="11070" width="11.88671875" style="2" customWidth="1"/>
    <col min="11071" max="11071" width="10.109375" style="2" customWidth="1"/>
    <col min="11072" max="11073" width="9.109375" style="2"/>
    <col min="11074" max="11074" width="13.33203125" style="2" customWidth="1"/>
    <col min="11075" max="11075" width="11.44140625" style="2" customWidth="1"/>
    <col min="11076" max="11076" width="13.33203125" style="2" bestFit="1" customWidth="1"/>
    <col min="11077" max="11077" width="16.88671875" style="2" bestFit="1" customWidth="1"/>
    <col min="11078" max="11080" width="14.44140625" style="2" customWidth="1"/>
    <col min="11081" max="11081" width="9.88671875" style="2" customWidth="1"/>
    <col min="11082" max="11084" width="17" style="2" customWidth="1"/>
    <col min="11085" max="11085" width="9.109375" style="2"/>
    <col min="11086" max="11086" width="17" style="2" customWidth="1"/>
    <col min="11087" max="11087" width="10.44140625" style="2" customWidth="1"/>
    <col min="11088" max="11256" width="9.109375" style="2"/>
    <col min="11257" max="11257" width="18.44140625" style="2" customWidth="1"/>
    <col min="11258" max="11259" width="11.88671875" style="2" customWidth="1"/>
    <col min="11260" max="11261" width="10.109375" style="2" customWidth="1"/>
    <col min="11262" max="11263" width="13.6640625" style="2" customWidth="1"/>
    <col min="11264" max="11268" width="23.77734375" style="2" customWidth="1"/>
    <col min="11269" max="11271" width="9.109375" style="2"/>
    <col min="11272" max="11272" width="21" style="2" customWidth="1"/>
    <col min="11273" max="11273" width="12.33203125" style="2" customWidth="1"/>
    <col min="11274" max="11274" width="14" style="2" customWidth="1"/>
    <col min="11275" max="11275" width="10.109375" style="2" bestFit="1" customWidth="1"/>
    <col min="11276" max="11276" width="10.109375" style="2" customWidth="1"/>
    <col min="11277" max="11277" width="27.21875" style="2" customWidth="1"/>
    <col min="11278" max="11278" width="24.5546875" style="2" customWidth="1"/>
    <col min="11279" max="11279" width="16.21875" style="2" customWidth="1"/>
    <col min="11280" max="11280" width="16.33203125" style="2" customWidth="1"/>
    <col min="11281" max="11281" width="18.5546875" style="2" customWidth="1"/>
    <col min="11282" max="11282" width="20.33203125" style="2" customWidth="1"/>
    <col min="11283" max="11283" width="26.44140625" style="2" customWidth="1"/>
    <col min="11284" max="11284" width="22.88671875" style="2" customWidth="1"/>
    <col min="11285" max="11285" width="30.21875" style="2" customWidth="1"/>
    <col min="11286" max="11286" width="22.88671875" style="2" customWidth="1"/>
    <col min="11287" max="11290" width="18" style="2" customWidth="1"/>
    <col min="11291" max="11291" width="17.21875" style="2" customWidth="1"/>
    <col min="11292" max="11292" width="16.6640625" style="2" customWidth="1"/>
    <col min="11293" max="11293" width="17.44140625" style="2" customWidth="1"/>
    <col min="11294" max="11294" width="24.21875" style="2" customWidth="1"/>
    <col min="11295" max="11295" width="20.44140625" style="2" customWidth="1"/>
    <col min="11296" max="11296" width="41.5546875" style="2" customWidth="1"/>
    <col min="11297" max="11298" width="32.44140625" style="2" customWidth="1"/>
    <col min="11299" max="11303" width="41.5546875" style="2" customWidth="1"/>
    <col min="11304" max="11304" width="30.44140625" style="2" customWidth="1"/>
    <col min="11305" max="11305" width="22.33203125" style="2" customWidth="1"/>
    <col min="11306" max="11306" width="9.109375" style="2"/>
    <col min="11307" max="11307" width="22.88671875" style="2" customWidth="1"/>
    <col min="11308" max="11308" width="23.77734375" style="2" customWidth="1"/>
    <col min="11309" max="11309" width="74.44140625" style="2" customWidth="1"/>
    <col min="11310" max="11311" width="9.109375" style="2"/>
    <col min="11312" max="11312" width="14.109375" style="2" customWidth="1"/>
    <col min="11313" max="11313" width="12.44140625" style="2" customWidth="1"/>
    <col min="11314" max="11314" width="13.44140625" style="2" customWidth="1"/>
    <col min="11315" max="11315" width="11.109375" style="2" customWidth="1"/>
    <col min="11316" max="11319" width="17.33203125" style="2" customWidth="1"/>
    <col min="11320" max="11323" width="9.109375" style="2"/>
    <col min="11324" max="11325" width="22.33203125" style="2" customWidth="1"/>
    <col min="11326" max="11326" width="11.88671875" style="2" customWidth="1"/>
    <col min="11327" max="11327" width="10.109375" style="2" customWidth="1"/>
    <col min="11328" max="11329" width="9.109375" style="2"/>
    <col min="11330" max="11330" width="13.33203125" style="2" customWidth="1"/>
    <col min="11331" max="11331" width="11.44140625" style="2" customWidth="1"/>
    <col min="11332" max="11332" width="13.33203125" style="2" bestFit="1" customWidth="1"/>
    <col min="11333" max="11333" width="16.88671875" style="2" bestFit="1" customWidth="1"/>
    <col min="11334" max="11336" width="14.44140625" style="2" customWidth="1"/>
    <col min="11337" max="11337" width="9.88671875" style="2" customWidth="1"/>
    <col min="11338" max="11340" width="17" style="2" customWidth="1"/>
    <col min="11341" max="11341" width="9.109375" style="2"/>
    <col min="11342" max="11342" width="17" style="2" customWidth="1"/>
    <col min="11343" max="11343" width="10.44140625" style="2" customWidth="1"/>
    <col min="11344" max="11512" width="9.109375" style="2"/>
    <col min="11513" max="11513" width="18.44140625" style="2" customWidth="1"/>
    <col min="11514" max="11515" width="11.88671875" style="2" customWidth="1"/>
    <col min="11516" max="11517" width="10.109375" style="2" customWidth="1"/>
    <col min="11518" max="11519" width="13.6640625" style="2" customWidth="1"/>
    <col min="11520" max="11524" width="23.77734375" style="2" customWidth="1"/>
    <col min="11525" max="11527" width="9.109375" style="2"/>
    <col min="11528" max="11528" width="21" style="2" customWidth="1"/>
    <col min="11529" max="11529" width="12.33203125" style="2" customWidth="1"/>
    <col min="11530" max="11530" width="14" style="2" customWidth="1"/>
    <col min="11531" max="11531" width="10.109375" style="2" bestFit="1" customWidth="1"/>
    <col min="11532" max="11532" width="10.109375" style="2" customWidth="1"/>
    <col min="11533" max="11533" width="27.21875" style="2" customWidth="1"/>
    <col min="11534" max="11534" width="24.5546875" style="2" customWidth="1"/>
    <col min="11535" max="11535" width="16.21875" style="2" customWidth="1"/>
    <col min="11536" max="11536" width="16.33203125" style="2" customWidth="1"/>
    <col min="11537" max="11537" width="18.5546875" style="2" customWidth="1"/>
    <col min="11538" max="11538" width="20.33203125" style="2" customWidth="1"/>
    <col min="11539" max="11539" width="26.44140625" style="2" customWidth="1"/>
    <col min="11540" max="11540" width="22.88671875" style="2" customWidth="1"/>
    <col min="11541" max="11541" width="30.21875" style="2" customWidth="1"/>
    <col min="11542" max="11542" width="22.88671875" style="2" customWidth="1"/>
    <col min="11543" max="11546" width="18" style="2" customWidth="1"/>
    <col min="11547" max="11547" width="17.21875" style="2" customWidth="1"/>
    <col min="11548" max="11548" width="16.6640625" style="2" customWidth="1"/>
    <col min="11549" max="11549" width="17.44140625" style="2" customWidth="1"/>
    <col min="11550" max="11550" width="24.21875" style="2" customWidth="1"/>
    <col min="11551" max="11551" width="20.44140625" style="2" customWidth="1"/>
    <col min="11552" max="11552" width="41.5546875" style="2" customWidth="1"/>
    <col min="11553" max="11554" width="32.44140625" style="2" customWidth="1"/>
    <col min="11555" max="11559" width="41.5546875" style="2" customWidth="1"/>
    <col min="11560" max="11560" width="30.44140625" style="2" customWidth="1"/>
    <col min="11561" max="11561" width="22.33203125" style="2" customWidth="1"/>
    <col min="11562" max="11562" width="9.109375" style="2"/>
    <col min="11563" max="11563" width="22.88671875" style="2" customWidth="1"/>
    <col min="11564" max="11564" width="23.77734375" style="2" customWidth="1"/>
    <col min="11565" max="11565" width="74.44140625" style="2" customWidth="1"/>
    <col min="11566" max="11567" width="9.109375" style="2"/>
    <col min="11568" max="11568" width="14.109375" style="2" customWidth="1"/>
    <col min="11569" max="11569" width="12.44140625" style="2" customWidth="1"/>
    <col min="11570" max="11570" width="13.44140625" style="2" customWidth="1"/>
    <col min="11571" max="11571" width="11.109375" style="2" customWidth="1"/>
    <col min="11572" max="11575" width="17.33203125" style="2" customWidth="1"/>
    <col min="11576" max="11579" width="9.109375" style="2"/>
    <col min="11580" max="11581" width="22.33203125" style="2" customWidth="1"/>
    <col min="11582" max="11582" width="11.88671875" style="2" customWidth="1"/>
    <col min="11583" max="11583" width="10.109375" style="2" customWidth="1"/>
    <col min="11584" max="11585" width="9.109375" style="2"/>
    <col min="11586" max="11586" width="13.33203125" style="2" customWidth="1"/>
    <col min="11587" max="11587" width="11.44140625" style="2" customWidth="1"/>
    <col min="11588" max="11588" width="13.33203125" style="2" bestFit="1" customWidth="1"/>
    <col min="11589" max="11589" width="16.88671875" style="2" bestFit="1" customWidth="1"/>
    <col min="11590" max="11592" width="14.44140625" style="2" customWidth="1"/>
    <col min="11593" max="11593" width="9.88671875" style="2" customWidth="1"/>
    <col min="11594" max="11596" width="17" style="2" customWidth="1"/>
    <col min="11597" max="11597" width="9.109375" style="2"/>
    <col min="11598" max="11598" width="17" style="2" customWidth="1"/>
    <col min="11599" max="11599" width="10.44140625" style="2" customWidth="1"/>
    <col min="11600" max="11768" width="9.109375" style="2"/>
    <col min="11769" max="11769" width="18.44140625" style="2" customWidth="1"/>
    <col min="11770" max="11771" width="11.88671875" style="2" customWidth="1"/>
    <col min="11772" max="11773" width="10.109375" style="2" customWidth="1"/>
    <col min="11774" max="11775" width="13.6640625" style="2" customWidth="1"/>
    <col min="11776" max="11780" width="23.77734375" style="2" customWidth="1"/>
    <col min="11781" max="11783" width="9.109375" style="2"/>
    <col min="11784" max="11784" width="21" style="2" customWidth="1"/>
    <col min="11785" max="11785" width="12.33203125" style="2" customWidth="1"/>
    <col min="11786" max="11786" width="14" style="2" customWidth="1"/>
    <col min="11787" max="11787" width="10.109375" style="2" bestFit="1" customWidth="1"/>
    <col min="11788" max="11788" width="10.109375" style="2" customWidth="1"/>
    <col min="11789" max="11789" width="27.21875" style="2" customWidth="1"/>
    <col min="11790" max="11790" width="24.5546875" style="2" customWidth="1"/>
    <col min="11791" max="11791" width="16.21875" style="2" customWidth="1"/>
    <col min="11792" max="11792" width="16.33203125" style="2" customWidth="1"/>
    <col min="11793" max="11793" width="18.5546875" style="2" customWidth="1"/>
    <col min="11794" max="11794" width="20.33203125" style="2" customWidth="1"/>
    <col min="11795" max="11795" width="26.44140625" style="2" customWidth="1"/>
    <col min="11796" max="11796" width="22.88671875" style="2" customWidth="1"/>
    <col min="11797" max="11797" width="30.21875" style="2" customWidth="1"/>
    <col min="11798" max="11798" width="22.88671875" style="2" customWidth="1"/>
    <col min="11799" max="11802" width="18" style="2" customWidth="1"/>
    <col min="11803" max="11803" width="17.21875" style="2" customWidth="1"/>
    <col min="11804" max="11804" width="16.6640625" style="2" customWidth="1"/>
    <col min="11805" max="11805" width="17.44140625" style="2" customWidth="1"/>
    <col min="11806" max="11806" width="24.21875" style="2" customWidth="1"/>
    <col min="11807" max="11807" width="20.44140625" style="2" customWidth="1"/>
    <col min="11808" max="11808" width="41.5546875" style="2" customWidth="1"/>
    <col min="11809" max="11810" width="32.44140625" style="2" customWidth="1"/>
    <col min="11811" max="11815" width="41.5546875" style="2" customWidth="1"/>
    <col min="11816" max="11816" width="30.44140625" style="2" customWidth="1"/>
    <col min="11817" max="11817" width="22.33203125" style="2" customWidth="1"/>
    <col min="11818" max="11818" width="9.109375" style="2"/>
    <col min="11819" max="11819" width="22.88671875" style="2" customWidth="1"/>
    <col min="11820" max="11820" width="23.77734375" style="2" customWidth="1"/>
    <col min="11821" max="11821" width="74.44140625" style="2" customWidth="1"/>
    <col min="11822" max="11823" width="9.109375" style="2"/>
    <col min="11824" max="11824" width="14.109375" style="2" customWidth="1"/>
    <col min="11825" max="11825" width="12.44140625" style="2" customWidth="1"/>
    <col min="11826" max="11826" width="13.44140625" style="2" customWidth="1"/>
    <col min="11827" max="11827" width="11.109375" style="2" customWidth="1"/>
    <col min="11828" max="11831" width="17.33203125" style="2" customWidth="1"/>
    <col min="11832" max="11835" width="9.109375" style="2"/>
    <col min="11836" max="11837" width="22.33203125" style="2" customWidth="1"/>
    <col min="11838" max="11838" width="11.88671875" style="2" customWidth="1"/>
    <col min="11839" max="11839" width="10.109375" style="2" customWidth="1"/>
    <col min="11840" max="11841" width="9.109375" style="2"/>
    <col min="11842" max="11842" width="13.33203125" style="2" customWidth="1"/>
    <col min="11843" max="11843" width="11.44140625" style="2" customWidth="1"/>
    <col min="11844" max="11844" width="13.33203125" style="2" bestFit="1" customWidth="1"/>
    <col min="11845" max="11845" width="16.88671875" style="2" bestFit="1" customWidth="1"/>
    <col min="11846" max="11848" width="14.44140625" style="2" customWidth="1"/>
    <col min="11849" max="11849" width="9.88671875" style="2" customWidth="1"/>
    <col min="11850" max="11852" width="17" style="2" customWidth="1"/>
    <col min="11853" max="11853" width="9.109375" style="2"/>
    <col min="11854" max="11854" width="17" style="2" customWidth="1"/>
    <col min="11855" max="11855" width="10.44140625" style="2" customWidth="1"/>
    <col min="11856" max="12024" width="9.109375" style="2"/>
    <col min="12025" max="12025" width="18.44140625" style="2" customWidth="1"/>
    <col min="12026" max="12027" width="11.88671875" style="2" customWidth="1"/>
    <col min="12028" max="12029" width="10.109375" style="2" customWidth="1"/>
    <col min="12030" max="12031" width="13.6640625" style="2" customWidth="1"/>
    <col min="12032" max="12036" width="23.77734375" style="2" customWidth="1"/>
    <col min="12037" max="12039" width="9.109375" style="2"/>
    <col min="12040" max="12040" width="21" style="2" customWidth="1"/>
    <col min="12041" max="12041" width="12.33203125" style="2" customWidth="1"/>
    <col min="12042" max="12042" width="14" style="2" customWidth="1"/>
    <col min="12043" max="12043" width="10.109375" style="2" bestFit="1" customWidth="1"/>
    <col min="12044" max="12044" width="10.109375" style="2" customWidth="1"/>
    <col min="12045" max="12045" width="27.21875" style="2" customWidth="1"/>
    <col min="12046" max="12046" width="24.5546875" style="2" customWidth="1"/>
    <col min="12047" max="12047" width="16.21875" style="2" customWidth="1"/>
    <col min="12048" max="12048" width="16.33203125" style="2" customWidth="1"/>
    <col min="12049" max="12049" width="18.5546875" style="2" customWidth="1"/>
    <col min="12050" max="12050" width="20.33203125" style="2" customWidth="1"/>
    <col min="12051" max="12051" width="26.44140625" style="2" customWidth="1"/>
    <col min="12052" max="12052" width="22.88671875" style="2" customWidth="1"/>
    <col min="12053" max="12053" width="30.21875" style="2" customWidth="1"/>
    <col min="12054" max="12054" width="22.88671875" style="2" customWidth="1"/>
    <col min="12055" max="12058" width="18" style="2" customWidth="1"/>
    <col min="12059" max="12059" width="17.21875" style="2" customWidth="1"/>
    <col min="12060" max="12060" width="16.6640625" style="2" customWidth="1"/>
    <col min="12061" max="12061" width="17.44140625" style="2" customWidth="1"/>
    <col min="12062" max="12062" width="24.21875" style="2" customWidth="1"/>
    <col min="12063" max="12063" width="20.44140625" style="2" customWidth="1"/>
    <col min="12064" max="12064" width="41.5546875" style="2" customWidth="1"/>
    <col min="12065" max="12066" width="32.44140625" style="2" customWidth="1"/>
    <col min="12067" max="12071" width="41.5546875" style="2" customWidth="1"/>
    <col min="12072" max="12072" width="30.44140625" style="2" customWidth="1"/>
    <col min="12073" max="12073" width="22.33203125" style="2" customWidth="1"/>
    <col min="12074" max="12074" width="9.109375" style="2"/>
    <col min="12075" max="12075" width="22.88671875" style="2" customWidth="1"/>
    <col min="12076" max="12076" width="23.77734375" style="2" customWidth="1"/>
    <col min="12077" max="12077" width="74.44140625" style="2" customWidth="1"/>
    <col min="12078" max="12079" width="9.109375" style="2"/>
    <col min="12080" max="12080" width="14.109375" style="2" customWidth="1"/>
    <col min="12081" max="12081" width="12.44140625" style="2" customWidth="1"/>
    <col min="12082" max="12082" width="13.44140625" style="2" customWidth="1"/>
    <col min="12083" max="12083" width="11.109375" style="2" customWidth="1"/>
    <col min="12084" max="12087" width="17.33203125" style="2" customWidth="1"/>
    <col min="12088" max="12091" width="9.109375" style="2"/>
    <col min="12092" max="12093" width="22.33203125" style="2" customWidth="1"/>
    <col min="12094" max="12094" width="11.88671875" style="2" customWidth="1"/>
    <col min="12095" max="12095" width="10.109375" style="2" customWidth="1"/>
    <col min="12096" max="12097" width="9.109375" style="2"/>
    <col min="12098" max="12098" width="13.33203125" style="2" customWidth="1"/>
    <col min="12099" max="12099" width="11.44140625" style="2" customWidth="1"/>
    <col min="12100" max="12100" width="13.33203125" style="2" bestFit="1" customWidth="1"/>
    <col min="12101" max="12101" width="16.88671875" style="2" bestFit="1" customWidth="1"/>
    <col min="12102" max="12104" width="14.44140625" style="2" customWidth="1"/>
    <col min="12105" max="12105" width="9.88671875" style="2" customWidth="1"/>
    <col min="12106" max="12108" width="17" style="2" customWidth="1"/>
    <col min="12109" max="12109" width="9.109375" style="2"/>
    <col min="12110" max="12110" width="17" style="2" customWidth="1"/>
    <col min="12111" max="12111" width="10.44140625" style="2" customWidth="1"/>
    <col min="12112" max="12280" width="9.109375" style="2"/>
    <col min="12281" max="12281" width="18.44140625" style="2" customWidth="1"/>
    <col min="12282" max="12283" width="11.88671875" style="2" customWidth="1"/>
    <col min="12284" max="12285" width="10.109375" style="2" customWidth="1"/>
    <col min="12286" max="12287" width="13.6640625" style="2" customWidth="1"/>
    <col min="12288" max="12292" width="23.77734375" style="2" customWidth="1"/>
    <col min="12293" max="12295" width="9.109375" style="2"/>
    <col min="12296" max="12296" width="21" style="2" customWidth="1"/>
    <col min="12297" max="12297" width="12.33203125" style="2" customWidth="1"/>
    <col min="12298" max="12298" width="14" style="2" customWidth="1"/>
    <col min="12299" max="12299" width="10.109375" style="2" bestFit="1" customWidth="1"/>
    <col min="12300" max="12300" width="10.109375" style="2" customWidth="1"/>
    <col min="12301" max="12301" width="27.21875" style="2" customWidth="1"/>
    <col min="12302" max="12302" width="24.5546875" style="2" customWidth="1"/>
    <col min="12303" max="12303" width="16.21875" style="2" customWidth="1"/>
    <col min="12304" max="12304" width="16.33203125" style="2" customWidth="1"/>
    <col min="12305" max="12305" width="18.5546875" style="2" customWidth="1"/>
    <col min="12306" max="12306" width="20.33203125" style="2" customWidth="1"/>
    <col min="12307" max="12307" width="26.44140625" style="2" customWidth="1"/>
    <col min="12308" max="12308" width="22.88671875" style="2" customWidth="1"/>
    <col min="12309" max="12309" width="30.21875" style="2" customWidth="1"/>
    <col min="12310" max="12310" width="22.88671875" style="2" customWidth="1"/>
    <col min="12311" max="12314" width="18" style="2" customWidth="1"/>
    <col min="12315" max="12315" width="17.21875" style="2" customWidth="1"/>
    <col min="12316" max="12316" width="16.6640625" style="2" customWidth="1"/>
    <col min="12317" max="12317" width="17.44140625" style="2" customWidth="1"/>
    <col min="12318" max="12318" width="24.21875" style="2" customWidth="1"/>
    <col min="12319" max="12319" width="20.44140625" style="2" customWidth="1"/>
    <col min="12320" max="12320" width="41.5546875" style="2" customWidth="1"/>
    <col min="12321" max="12322" width="32.44140625" style="2" customWidth="1"/>
    <col min="12323" max="12327" width="41.5546875" style="2" customWidth="1"/>
    <col min="12328" max="12328" width="30.44140625" style="2" customWidth="1"/>
    <col min="12329" max="12329" width="22.33203125" style="2" customWidth="1"/>
    <col min="12330" max="12330" width="9.109375" style="2"/>
    <col min="12331" max="12331" width="22.88671875" style="2" customWidth="1"/>
    <col min="12332" max="12332" width="23.77734375" style="2" customWidth="1"/>
    <col min="12333" max="12333" width="74.44140625" style="2" customWidth="1"/>
    <col min="12334" max="12335" width="9.109375" style="2"/>
    <col min="12336" max="12336" width="14.109375" style="2" customWidth="1"/>
    <col min="12337" max="12337" width="12.44140625" style="2" customWidth="1"/>
    <col min="12338" max="12338" width="13.44140625" style="2" customWidth="1"/>
    <col min="12339" max="12339" width="11.109375" style="2" customWidth="1"/>
    <col min="12340" max="12343" width="17.33203125" style="2" customWidth="1"/>
    <col min="12344" max="12347" width="9.109375" style="2"/>
    <col min="12348" max="12349" width="22.33203125" style="2" customWidth="1"/>
    <col min="12350" max="12350" width="11.88671875" style="2" customWidth="1"/>
    <col min="12351" max="12351" width="10.109375" style="2" customWidth="1"/>
    <col min="12352" max="12353" width="9.109375" style="2"/>
    <col min="12354" max="12354" width="13.33203125" style="2" customWidth="1"/>
    <col min="12355" max="12355" width="11.44140625" style="2" customWidth="1"/>
    <col min="12356" max="12356" width="13.33203125" style="2" bestFit="1" customWidth="1"/>
    <col min="12357" max="12357" width="16.88671875" style="2" bestFit="1" customWidth="1"/>
    <col min="12358" max="12360" width="14.44140625" style="2" customWidth="1"/>
    <col min="12361" max="12361" width="9.88671875" style="2" customWidth="1"/>
    <col min="12362" max="12364" width="17" style="2" customWidth="1"/>
    <col min="12365" max="12365" width="9.109375" style="2"/>
    <col min="12366" max="12366" width="17" style="2" customWidth="1"/>
    <col min="12367" max="12367" width="10.44140625" style="2" customWidth="1"/>
    <col min="12368" max="12536" width="9.109375" style="2"/>
    <col min="12537" max="12537" width="18.44140625" style="2" customWidth="1"/>
    <col min="12538" max="12539" width="11.88671875" style="2" customWidth="1"/>
    <col min="12540" max="12541" width="10.109375" style="2" customWidth="1"/>
    <col min="12542" max="12543" width="13.6640625" style="2" customWidth="1"/>
    <col min="12544" max="12548" width="23.77734375" style="2" customWidth="1"/>
    <col min="12549" max="12551" width="9.109375" style="2"/>
    <col min="12552" max="12552" width="21" style="2" customWidth="1"/>
    <col min="12553" max="12553" width="12.33203125" style="2" customWidth="1"/>
    <col min="12554" max="12554" width="14" style="2" customWidth="1"/>
    <col min="12555" max="12555" width="10.109375" style="2" bestFit="1" customWidth="1"/>
    <col min="12556" max="12556" width="10.109375" style="2" customWidth="1"/>
    <col min="12557" max="12557" width="27.21875" style="2" customWidth="1"/>
    <col min="12558" max="12558" width="24.5546875" style="2" customWidth="1"/>
    <col min="12559" max="12559" width="16.21875" style="2" customWidth="1"/>
    <col min="12560" max="12560" width="16.33203125" style="2" customWidth="1"/>
    <col min="12561" max="12561" width="18.5546875" style="2" customWidth="1"/>
    <col min="12562" max="12562" width="20.33203125" style="2" customWidth="1"/>
    <col min="12563" max="12563" width="26.44140625" style="2" customWidth="1"/>
    <col min="12564" max="12564" width="22.88671875" style="2" customWidth="1"/>
    <col min="12565" max="12565" width="30.21875" style="2" customWidth="1"/>
    <col min="12566" max="12566" width="22.88671875" style="2" customWidth="1"/>
    <col min="12567" max="12570" width="18" style="2" customWidth="1"/>
    <col min="12571" max="12571" width="17.21875" style="2" customWidth="1"/>
    <col min="12572" max="12572" width="16.6640625" style="2" customWidth="1"/>
    <col min="12573" max="12573" width="17.44140625" style="2" customWidth="1"/>
    <col min="12574" max="12574" width="24.21875" style="2" customWidth="1"/>
    <col min="12575" max="12575" width="20.44140625" style="2" customWidth="1"/>
    <col min="12576" max="12576" width="41.5546875" style="2" customWidth="1"/>
    <col min="12577" max="12578" width="32.44140625" style="2" customWidth="1"/>
    <col min="12579" max="12583" width="41.5546875" style="2" customWidth="1"/>
    <col min="12584" max="12584" width="30.44140625" style="2" customWidth="1"/>
    <col min="12585" max="12585" width="22.33203125" style="2" customWidth="1"/>
    <col min="12586" max="12586" width="9.109375" style="2"/>
    <col min="12587" max="12587" width="22.88671875" style="2" customWidth="1"/>
    <col min="12588" max="12588" width="23.77734375" style="2" customWidth="1"/>
    <col min="12589" max="12589" width="74.44140625" style="2" customWidth="1"/>
    <col min="12590" max="12591" width="9.109375" style="2"/>
    <col min="12592" max="12592" width="14.109375" style="2" customWidth="1"/>
    <col min="12593" max="12593" width="12.44140625" style="2" customWidth="1"/>
    <col min="12594" max="12594" width="13.44140625" style="2" customWidth="1"/>
    <col min="12595" max="12595" width="11.109375" style="2" customWidth="1"/>
    <col min="12596" max="12599" width="17.33203125" style="2" customWidth="1"/>
    <col min="12600" max="12603" width="9.109375" style="2"/>
    <col min="12604" max="12605" width="22.33203125" style="2" customWidth="1"/>
    <col min="12606" max="12606" width="11.88671875" style="2" customWidth="1"/>
    <col min="12607" max="12607" width="10.109375" style="2" customWidth="1"/>
    <col min="12608" max="12609" width="9.109375" style="2"/>
    <col min="12610" max="12610" width="13.33203125" style="2" customWidth="1"/>
    <col min="12611" max="12611" width="11.44140625" style="2" customWidth="1"/>
    <col min="12612" max="12612" width="13.33203125" style="2" bestFit="1" customWidth="1"/>
    <col min="12613" max="12613" width="16.88671875" style="2" bestFit="1" customWidth="1"/>
    <col min="12614" max="12616" width="14.44140625" style="2" customWidth="1"/>
    <col min="12617" max="12617" width="9.88671875" style="2" customWidth="1"/>
    <col min="12618" max="12620" width="17" style="2" customWidth="1"/>
    <col min="12621" max="12621" width="9.109375" style="2"/>
    <col min="12622" max="12622" width="17" style="2" customWidth="1"/>
    <col min="12623" max="12623" width="10.44140625" style="2" customWidth="1"/>
    <col min="12624" max="12792" width="9.109375" style="2"/>
    <col min="12793" max="12793" width="18.44140625" style="2" customWidth="1"/>
    <col min="12794" max="12795" width="11.88671875" style="2" customWidth="1"/>
    <col min="12796" max="12797" width="10.109375" style="2" customWidth="1"/>
    <col min="12798" max="12799" width="13.6640625" style="2" customWidth="1"/>
    <col min="12800" max="12804" width="23.77734375" style="2" customWidth="1"/>
    <col min="12805" max="12807" width="9.109375" style="2"/>
    <col min="12808" max="12808" width="21" style="2" customWidth="1"/>
    <col min="12809" max="12809" width="12.33203125" style="2" customWidth="1"/>
    <col min="12810" max="12810" width="14" style="2" customWidth="1"/>
    <col min="12811" max="12811" width="10.109375" style="2" bestFit="1" customWidth="1"/>
    <col min="12812" max="12812" width="10.109375" style="2" customWidth="1"/>
    <col min="12813" max="12813" width="27.21875" style="2" customWidth="1"/>
    <col min="12814" max="12814" width="24.5546875" style="2" customWidth="1"/>
    <col min="12815" max="12815" width="16.21875" style="2" customWidth="1"/>
    <col min="12816" max="12816" width="16.33203125" style="2" customWidth="1"/>
    <col min="12817" max="12817" width="18.5546875" style="2" customWidth="1"/>
    <col min="12818" max="12818" width="20.33203125" style="2" customWidth="1"/>
    <col min="12819" max="12819" width="26.44140625" style="2" customWidth="1"/>
    <col min="12820" max="12820" width="22.88671875" style="2" customWidth="1"/>
    <col min="12821" max="12821" width="30.21875" style="2" customWidth="1"/>
    <col min="12822" max="12822" width="22.88671875" style="2" customWidth="1"/>
    <col min="12823" max="12826" width="18" style="2" customWidth="1"/>
    <col min="12827" max="12827" width="17.21875" style="2" customWidth="1"/>
    <col min="12828" max="12828" width="16.6640625" style="2" customWidth="1"/>
    <col min="12829" max="12829" width="17.44140625" style="2" customWidth="1"/>
    <col min="12830" max="12830" width="24.21875" style="2" customWidth="1"/>
    <col min="12831" max="12831" width="20.44140625" style="2" customWidth="1"/>
    <col min="12832" max="12832" width="41.5546875" style="2" customWidth="1"/>
    <col min="12833" max="12834" width="32.44140625" style="2" customWidth="1"/>
    <col min="12835" max="12839" width="41.5546875" style="2" customWidth="1"/>
    <col min="12840" max="12840" width="30.44140625" style="2" customWidth="1"/>
    <col min="12841" max="12841" width="22.33203125" style="2" customWidth="1"/>
    <col min="12842" max="12842" width="9.109375" style="2"/>
    <col min="12843" max="12843" width="22.88671875" style="2" customWidth="1"/>
    <col min="12844" max="12844" width="23.77734375" style="2" customWidth="1"/>
    <col min="12845" max="12845" width="74.44140625" style="2" customWidth="1"/>
    <col min="12846" max="12847" width="9.109375" style="2"/>
    <col min="12848" max="12848" width="14.109375" style="2" customWidth="1"/>
    <col min="12849" max="12849" width="12.44140625" style="2" customWidth="1"/>
    <col min="12850" max="12850" width="13.44140625" style="2" customWidth="1"/>
    <col min="12851" max="12851" width="11.109375" style="2" customWidth="1"/>
    <col min="12852" max="12855" width="17.33203125" style="2" customWidth="1"/>
    <col min="12856" max="12859" width="9.109375" style="2"/>
    <col min="12860" max="12861" width="22.33203125" style="2" customWidth="1"/>
    <col min="12862" max="12862" width="11.88671875" style="2" customWidth="1"/>
    <col min="12863" max="12863" width="10.109375" style="2" customWidth="1"/>
    <col min="12864" max="12865" width="9.109375" style="2"/>
    <col min="12866" max="12866" width="13.33203125" style="2" customWidth="1"/>
    <col min="12867" max="12867" width="11.44140625" style="2" customWidth="1"/>
    <col min="12868" max="12868" width="13.33203125" style="2" bestFit="1" customWidth="1"/>
    <col min="12869" max="12869" width="16.88671875" style="2" bestFit="1" customWidth="1"/>
    <col min="12870" max="12872" width="14.44140625" style="2" customWidth="1"/>
    <col min="12873" max="12873" width="9.88671875" style="2" customWidth="1"/>
    <col min="12874" max="12876" width="17" style="2" customWidth="1"/>
    <col min="12877" max="12877" width="9.109375" style="2"/>
    <col min="12878" max="12878" width="17" style="2" customWidth="1"/>
    <col min="12879" max="12879" width="10.44140625" style="2" customWidth="1"/>
    <col min="12880" max="13048" width="9.109375" style="2"/>
    <col min="13049" max="13049" width="18.44140625" style="2" customWidth="1"/>
    <col min="13050" max="13051" width="11.88671875" style="2" customWidth="1"/>
    <col min="13052" max="13053" width="10.109375" style="2" customWidth="1"/>
    <col min="13054" max="13055" width="13.6640625" style="2" customWidth="1"/>
    <col min="13056" max="13060" width="23.77734375" style="2" customWidth="1"/>
    <col min="13061" max="13063" width="9.109375" style="2"/>
    <col min="13064" max="13064" width="21" style="2" customWidth="1"/>
    <col min="13065" max="13065" width="12.33203125" style="2" customWidth="1"/>
    <col min="13066" max="13066" width="14" style="2" customWidth="1"/>
    <col min="13067" max="13067" width="10.109375" style="2" bestFit="1" customWidth="1"/>
    <col min="13068" max="13068" width="10.109375" style="2" customWidth="1"/>
    <col min="13069" max="13069" width="27.21875" style="2" customWidth="1"/>
    <col min="13070" max="13070" width="24.5546875" style="2" customWidth="1"/>
    <col min="13071" max="13071" width="16.21875" style="2" customWidth="1"/>
    <col min="13072" max="13072" width="16.33203125" style="2" customWidth="1"/>
    <col min="13073" max="13073" width="18.5546875" style="2" customWidth="1"/>
    <col min="13074" max="13074" width="20.33203125" style="2" customWidth="1"/>
    <col min="13075" max="13075" width="26.44140625" style="2" customWidth="1"/>
    <col min="13076" max="13076" width="22.88671875" style="2" customWidth="1"/>
    <col min="13077" max="13077" width="30.21875" style="2" customWidth="1"/>
    <col min="13078" max="13078" width="22.88671875" style="2" customWidth="1"/>
    <col min="13079" max="13082" width="18" style="2" customWidth="1"/>
    <col min="13083" max="13083" width="17.21875" style="2" customWidth="1"/>
    <col min="13084" max="13084" width="16.6640625" style="2" customWidth="1"/>
    <col min="13085" max="13085" width="17.44140625" style="2" customWidth="1"/>
    <col min="13086" max="13086" width="24.21875" style="2" customWidth="1"/>
    <col min="13087" max="13087" width="20.44140625" style="2" customWidth="1"/>
    <col min="13088" max="13088" width="41.5546875" style="2" customWidth="1"/>
    <col min="13089" max="13090" width="32.44140625" style="2" customWidth="1"/>
    <col min="13091" max="13095" width="41.5546875" style="2" customWidth="1"/>
    <col min="13096" max="13096" width="30.44140625" style="2" customWidth="1"/>
    <col min="13097" max="13097" width="22.33203125" style="2" customWidth="1"/>
    <col min="13098" max="13098" width="9.109375" style="2"/>
    <col min="13099" max="13099" width="22.88671875" style="2" customWidth="1"/>
    <col min="13100" max="13100" width="23.77734375" style="2" customWidth="1"/>
    <col min="13101" max="13101" width="74.44140625" style="2" customWidth="1"/>
    <col min="13102" max="13103" width="9.109375" style="2"/>
    <col min="13104" max="13104" width="14.109375" style="2" customWidth="1"/>
    <col min="13105" max="13105" width="12.44140625" style="2" customWidth="1"/>
    <col min="13106" max="13106" width="13.44140625" style="2" customWidth="1"/>
    <col min="13107" max="13107" width="11.109375" style="2" customWidth="1"/>
    <col min="13108" max="13111" width="17.33203125" style="2" customWidth="1"/>
    <col min="13112" max="13115" width="9.109375" style="2"/>
    <col min="13116" max="13117" width="22.33203125" style="2" customWidth="1"/>
    <col min="13118" max="13118" width="11.88671875" style="2" customWidth="1"/>
    <col min="13119" max="13119" width="10.109375" style="2" customWidth="1"/>
    <col min="13120" max="13121" width="9.109375" style="2"/>
    <col min="13122" max="13122" width="13.33203125" style="2" customWidth="1"/>
    <col min="13123" max="13123" width="11.44140625" style="2" customWidth="1"/>
    <col min="13124" max="13124" width="13.33203125" style="2" bestFit="1" customWidth="1"/>
    <col min="13125" max="13125" width="16.88671875" style="2" bestFit="1" customWidth="1"/>
    <col min="13126" max="13128" width="14.44140625" style="2" customWidth="1"/>
    <col min="13129" max="13129" width="9.88671875" style="2" customWidth="1"/>
    <col min="13130" max="13132" width="17" style="2" customWidth="1"/>
    <col min="13133" max="13133" width="9.109375" style="2"/>
    <col min="13134" max="13134" width="17" style="2" customWidth="1"/>
    <col min="13135" max="13135" width="10.44140625" style="2" customWidth="1"/>
    <col min="13136" max="13304" width="9.109375" style="2"/>
    <col min="13305" max="13305" width="18.44140625" style="2" customWidth="1"/>
    <col min="13306" max="13307" width="11.88671875" style="2" customWidth="1"/>
    <col min="13308" max="13309" width="10.109375" style="2" customWidth="1"/>
    <col min="13310" max="13311" width="13.6640625" style="2" customWidth="1"/>
    <col min="13312" max="13316" width="23.77734375" style="2" customWidth="1"/>
    <col min="13317" max="13319" width="9.109375" style="2"/>
    <col min="13320" max="13320" width="21" style="2" customWidth="1"/>
    <col min="13321" max="13321" width="12.33203125" style="2" customWidth="1"/>
    <col min="13322" max="13322" width="14" style="2" customWidth="1"/>
    <col min="13323" max="13323" width="10.109375" style="2" bestFit="1" customWidth="1"/>
    <col min="13324" max="13324" width="10.109375" style="2" customWidth="1"/>
    <col min="13325" max="13325" width="27.21875" style="2" customWidth="1"/>
    <col min="13326" max="13326" width="24.5546875" style="2" customWidth="1"/>
    <col min="13327" max="13327" width="16.21875" style="2" customWidth="1"/>
    <col min="13328" max="13328" width="16.33203125" style="2" customWidth="1"/>
    <col min="13329" max="13329" width="18.5546875" style="2" customWidth="1"/>
    <col min="13330" max="13330" width="20.33203125" style="2" customWidth="1"/>
    <col min="13331" max="13331" width="26.44140625" style="2" customWidth="1"/>
    <col min="13332" max="13332" width="22.88671875" style="2" customWidth="1"/>
    <col min="13333" max="13333" width="30.21875" style="2" customWidth="1"/>
    <col min="13334" max="13334" width="22.88671875" style="2" customWidth="1"/>
    <col min="13335" max="13338" width="18" style="2" customWidth="1"/>
    <col min="13339" max="13339" width="17.21875" style="2" customWidth="1"/>
    <col min="13340" max="13340" width="16.6640625" style="2" customWidth="1"/>
    <col min="13341" max="13341" width="17.44140625" style="2" customWidth="1"/>
    <col min="13342" max="13342" width="24.21875" style="2" customWidth="1"/>
    <col min="13343" max="13343" width="20.44140625" style="2" customWidth="1"/>
    <col min="13344" max="13344" width="41.5546875" style="2" customWidth="1"/>
    <col min="13345" max="13346" width="32.44140625" style="2" customWidth="1"/>
    <col min="13347" max="13351" width="41.5546875" style="2" customWidth="1"/>
    <col min="13352" max="13352" width="30.44140625" style="2" customWidth="1"/>
    <col min="13353" max="13353" width="22.33203125" style="2" customWidth="1"/>
    <col min="13354" max="13354" width="9.109375" style="2"/>
    <col min="13355" max="13355" width="22.88671875" style="2" customWidth="1"/>
    <col min="13356" max="13356" width="23.77734375" style="2" customWidth="1"/>
    <col min="13357" max="13357" width="74.44140625" style="2" customWidth="1"/>
    <col min="13358" max="13359" width="9.109375" style="2"/>
    <col min="13360" max="13360" width="14.109375" style="2" customWidth="1"/>
    <col min="13361" max="13361" width="12.44140625" style="2" customWidth="1"/>
    <col min="13362" max="13362" width="13.44140625" style="2" customWidth="1"/>
    <col min="13363" max="13363" width="11.109375" style="2" customWidth="1"/>
    <col min="13364" max="13367" width="17.33203125" style="2" customWidth="1"/>
    <col min="13368" max="13371" width="9.109375" style="2"/>
    <col min="13372" max="13373" width="22.33203125" style="2" customWidth="1"/>
    <col min="13374" max="13374" width="11.88671875" style="2" customWidth="1"/>
    <col min="13375" max="13375" width="10.109375" style="2" customWidth="1"/>
    <col min="13376" max="13377" width="9.109375" style="2"/>
    <col min="13378" max="13378" width="13.33203125" style="2" customWidth="1"/>
    <col min="13379" max="13379" width="11.44140625" style="2" customWidth="1"/>
    <col min="13380" max="13380" width="13.33203125" style="2" bestFit="1" customWidth="1"/>
    <col min="13381" max="13381" width="16.88671875" style="2" bestFit="1" customWidth="1"/>
    <col min="13382" max="13384" width="14.44140625" style="2" customWidth="1"/>
    <col min="13385" max="13385" width="9.88671875" style="2" customWidth="1"/>
    <col min="13386" max="13388" width="17" style="2" customWidth="1"/>
    <col min="13389" max="13389" width="9.109375" style="2"/>
    <col min="13390" max="13390" width="17" style="2" customWidth="1"/>
    <col min="13391" max="13391" width="10.44140625" style="2" customWidth="1"/>
    <col min="13392" max="13560" width="9.109375" style="2"/>
    <col min="13561" max="13561" width="18.44140625" style="2" customWidth="1"/>
    <col min="13562" max="13563" width="11.88671875" style="2" customWidth="1"/>
    <col min="13564" max="13565" width="10.109375" style="2" customWidth="1"/>
    <col min="13566" max="13567" width="13.6640625" style="2" customWidth="1"/>
    <col min="13568" max="13572" width="23.77734375" style="2" customWidth="1"/>
    <col min="13573" max="13575" width="9.109375" style="2"/>
    <col min="13576" max="13576" width="21" style="2" customWidth="1"/>
    <col min="13577" max="13577" width="12.33203125" style="2" customWidth="1"/>
    <col min="13578" max="13578" width="14" style="2" customWidth="1"/>
    <col min="13579" max="13579" width="10.109375" style="2" bestFit="1" customWidth="1"/>
    <col min="13580" max="13580" width="10.109375" style="2" customWidth="1"/>
    <col min="13581" max="13581" width="27.21875" style="2" customWidth="1"/>
    <col min="13582" max="13582" width="24.5546875" style="2" customWidth="1"/>
    <col min="13583" max="13583" width="16.21875" style="2" customWidth="1"/>
    <col min="13584" max="13584" width="16.33203125" style="2" customWidth="1"/>
    <col min="13585" max="13585" width="18.5546875" style="2" customWidth="1"/>
    <col min="13586" max="13586" width="20.33203125" style="2" customWidth="1"/>
    <col min="13587" max="13587" width="26.44140625" style="2" customWidth="1"/>
    <col min="13588" max="13588" width="22.88671875" style="2" customWidth="1"/>
    <col min="13589" max="13589" width="30.21875" style="2" customWidth="1"/>
    <col min="13590" max="13590" width="22.88671875" style="2" customWidth="1"/>
    <col min="13591" max="13594" width="18" style="2" customWidth="1"/>
    <col min="13595" max="13595" width="17.21875" style="2" customWidth="1"/>
    <col min="13596" max="13596" width="16.6640625" style="2" customWidth="1"/>
    <col min="13597" max="13597" width="17.44140625" style="2" customWidth="1"/>
    <col min="13598" max="13598" width="24.21875" style="2" customWidth="1"/>
    <col min="13599" max="13599" width="20.44140625" style="2" customWidth="1"/>
    <col min="13600" max="13600" width="41.5546875" style="2" customWidth="1"/>
    <col min="13601" max="13602" width="32.44140625" style="2" customWidth="1"/>
    <col min="13603" max="13607" width="41.5546875" style="2" customWidth="1"/>
    <col min="13608" max="13608" width="30.44140625" style="2" customWidth="1"/>
    <col min="13609" max="13609" width="22.33203125" style="2" customWidth="1"/>
    <col min="13610" max="13610" width="9.109375" style="2"/>
    <col min="13611" max="13611" width="22.88671875" style="2" customWidth="1"/>
    <col min="13612" max="13612" width="23.77734375" style="2" customWidth="1"/>
    <col min="13613" max="13613" width="74.44140625" style="2" customWidth="1"/>
    <col min="13614" max="13615" width="9.109375" style="2"/>
    <col min="13616" max="13616" width="14.109375" style="2" customWidth="1"/>
    <col min="13617" max="13617" width="12.44140625" style="2" customWidth="1"/>
    <col min="13618" max="13618" width="13.44140625" style="2" customWidth="1"/>
    <col min="13619" max="13619" width="11.109375" style="2" customWidth="1"/>
    <col min="13620" max="13623" width="17.33203125" style="2" customWidth="1"/>
    <col min="13624" max="13627" width="9.109375" style="2"/>
    <col min="13628" max="13629" width="22.33203125" style="2" customWidth="1"/>
    <col min="13630" max="13630" width="11.88671875" style="2" customWidth="1"/>
    <col min="13631" max="13631" width="10.109375" style="2" customWidth="1"/>
    <col min="13632" max="13633" width="9.109375" style="2"/>
    <col min="13634" max="13634" width="13.33203125" style="2" customWidth="1"/>
    <col min="13635" max="13635" width="11.44140625" style="2" customWidth="1"/>
    <col min="13636" max="13636" width="13.33203125" style="2" bestFit="1" customWidth="1"/>
    <col min="13637" max="13637" width="16.88671875" style="2" bestFit="1" customWidth="1"/>
    <col min="13638" max="13640" width="14.44140625" style="2" customWidth="1"/>
    <col min="13641" max="13641" width="9.88671875" style="2" customWidth="1"/>
    <col min="13642" max="13644" width="17" style="2" customWidth="1"/>
    <col min="13645" max="13645" width="9.109375" style="2"/>
    <col min="13646" max="13646" width="17" style="2" customWidth="1"/>
    <col min="13647" max="13647" width="10.44140625" style="2" customWidth="1"/>
    <col min="13648" max="13816" width="9.109375" style="2"/>
    <col min="13817" max="13817" width="18.44140625" style="2" customWidth="1"/>
    <col min="13818" max="13819" width="11.88671875" style="2" customWidth="1"/>
    <col min="13820" max="13821" width="10.109375" style="2" customWidth="1"/>
    <col min="13822" max="13823" width="13.6640625" style="2" customWidth="1"/>
    <col min="13824" max="13828" width="23.77734375" style="2" customWidth="1"/>
    <col min="13829" max="13831" width="9.109375" style="2"/>
    <col min="13832" max="13832" width="21" style="2" customWidth="1"/>
    <col min="13833" max="13833" width="12.33203125" style="2" customWidth="1"/>
    <col min="13834" max="13834" width="14" style="2" customWidth="1"/>
    <col min="13835" max="13835" width="10.109375" style="2" bestFit="1" customWidth="1"/>
    <col min="13836" max="13836" width="10.109375" style="2" customWidth="1"/>
    <col min="13837" max="13837" width="27.21875" style="2" customWidth="1"/>
    <col min="13838" max="13838" width="24.5546875" style="2" customWidth="1"/>
    <col min="13839" max="13839" width="16.21875" style="2" customWidth="1"/>
    <col min="13840" max="13840" width="16.33203125" style="2" customWidth="1"/>
    <col min="13841" max="13841" width="18.5546875" style="2" customWidth="1"/>
    <col min="13842" max="13842" width="20.33203125" style="2" customWidth="1"/>
    <col min="13843" max="13843" width="26.44140625" style="2" customWidth="1"/>
    <col min="13844" max="13844" width="22.88671875" style="2" customWidth="1"/>
    <col min="13845" max="13845" width="30.21875" style="2" customWidth="1"/>
    <col min="13846" max="13846" width="22.88671875" style="2" customWidth="1"/>
    <col min="13847" max="13850" width="18" style="2" customWidth="1"/>
    <col min="13851" max="13851" width="17.21875" style="2" customWidth="1"/>
    <col min="13852" max="13852" width="16.6640625" style="2" customWidth="1"/>
    <col min="13853" max="13853" width="17.44140625" style="2" customWidth="1"/>
    <col min="13854" max="13854" width="24.21875" style="2" customWidth="1"/>
    <col min="13855" max="13855" width="20.44140625" style="2" customWidth="1"/>
    <col min="13856" max="13856" width="41.5546875" style="2" customWidth="1"/>
    <col min="13857" max="13858" width="32.44140625" style="2" customWidth="1"/>
    <col min="13859" max="13863" width="41.5546875" style="2" customWidth="1"/>
    <col min="13864" max="13864" width="30.44140625" style="2" customWidth="1"/>
    <col min="13865" max="13865" width="22.33203125" style="2" customWidth="1"/>
    <col min="13866" max="13866" width="9.109375" style="2"/>
    <col min="13867" max="13867" width="22.88671875" style="2" customWidth="1"/>
    <col min="13868" max="13868" width="23.77734375" style="2" customWidth="1"/>
    <col min="13869" max="13869" width="74.44140625" style="2" customWidth="1"/>
    <col min="13870" max="13871" width="9.109375" style="2"/>
    <col min="13872" max="13872" width="14.109375" style="2" customWidth="1"/>
    <col min="13873" max="13873" width="12.44140625" style="2" customWidth="1"/>
    <col min="13874" max="13874" width="13.44140625" style="2" customWidth="1"/>
    <col min="13875" max="13875" width="11.109375" style="2" customWidth="1"/>
    <col min="13876" max="13879" width="17.33203125" style="2" customWidth="1"/>
    <col min="13880" max="13883" width="9.109375" style="2"/>
    <col min="13884" max="13885" width="22.33203125" style="2" customWidth="1"/>
    <col min="13886" max="13886" width="11.88671875" style="2" customWidth="1"/>
    <col min="13887" max="13887" width="10.109375" style="2" customWidth="1"/>
    <col min="13888" max="13889" width="9.109375" style="2"/>
    <col min="13890" max="13890" width="13.33203125" style="2" customWidth="1"/>
    <col min="13891" max="13891" width="11.44140625" style="2" customWidth="1"/>
    <col min="13892" max="13892" width="13.33203125" style="2" bestFit="1" customWidth="1"/>
    <col min="13893" max="13893" width="16.88671875" style="2" bestFit="1" customWidth="1"/>
    <col min="13894" max="13896" width="14.44140625" style="2" customWidth="1"/>
    <col min="13897" max="13897" width="9.88671875" style="2" customWidth="1"/>
    <col min="13898" max="13900" width="17" style="2" customWidth="1"/>
    <col min="13901" max="13901" width="9.109375" style="2"/>
    <col min="13902" max="13902" width="17" style="2" customWidth="1"/>
    <col min="13903" max="13903" width="10.44140625" style="2" customWidth="1"/>
    <col min="13904" max="14072" width="9.109375" style="2"/>
    <col min="14073" max="14073" width="18.44140625" style="2" customWidth="1"/>
    <col min="14074" max="14075" width="11.88671875" style="2" customWidth="1"/>
    <col min="14076" max="14077" width="10.109375" style="2" customWidth="1"/>
    <col min="14078" max="14079" width="13.6640625" style="2" customWidth="1"/>
    <col min="14080" max="14084" width="23.77734375" style="2" customWidth="1"/>
    <col min="14085" max="14087" width="9.109375" style="2"/>
    <col min="14088" max="14088" width="21" style="2" customWidth="1"/>
    <col min="14089" max="14089" width="12.33203125" style="2" customWidth="1"/>
    <col min="14090" max="14090" width="14" style="2" customWidth="1"/>
    <col min="14091" max="14091" width="10.109375" style="2" bestFit="1" customWidth="1"/>
    <col min="14092" max="14092" width="10.109375" style="2" customWidth="1"/>
    <col min="14093" max="14093" width="27.21875" style="2" customWidth="1"/>
    <col min="14094" max="14094" width="24.5546875" style="2" customWidth="1"/>
    <col min="14095" max="14095" width="16.21875" style="2" customWidth="1"/>
    <col min="14096" max="14096" width="16.33203125" style="2" customWidth="1"/>
    <col min="14097" max="14097" width="18.5546875" style="2" customWidth="1"/>
    <col min="14098" max="14098" width="20.33203125" style="2" customWidth="1"/>
    <col min="14099" max="14099" width="26.44140625" style="2" customWidth="1"/>
    <col min="14100" max="14100" width="22.88671875" style="2" customWidth="1"/>
    <col min="14101" max="14101" width="30.21875" style="2" customWidth="1"/>
    <col min="14102" max="14102" width="22.88671875" style="2" customWidth="1"/>
    <col min="14103" max="14106" width="18" style="2" customWidth="1"/>
    <col min="14107" max="14107" width="17.21875" style="2" customWidth="1"/>
    <col min="14108" max="14108" width="16.6640625" style="2" customWidth="1"/>
    <col min="14109" max="14109" width="17.44140625" style="2" customWidth="1"/>
    <col min="14110" max="14110" width="24.21875" style="2" customWidth="1"/>
    <col min="14111" max="14111" width="20.44140625" style="2" customWidth="1"/>
    <col min="14112" max="14112" width="41.5546875" style="2" customWidth="1"/>
    <col min="14113" max="14114" width="32.44140625" style="2" customWidth="1"/>
    <col min="14115" max="14119" width="41.5546875" style="2" customWidth="1"/>
    <col min="14120" max="14120" width="30.44140625" style="2" customWidth="1"/>
    <col min="14121" max="14121" width="22.33203125" style="2" customWidth="1"/>
    <col min="14122" max="14122" width="9.109375" style="2"/>
    <col min="14123" max="14123" width="22.88671875" style="2" customWidth="1"/>
    <col min="14124" max="14124" width="23.77734375" style="2" customWidth="1"/>
    <col min="14125" max="14125" width="74.44140625" style="2" customWidth="1"/>
    <col min="14126" max="14127" width="9.109375" style="2"/>
    <col min="14128" max="14128" width="14.109375" style="2" customWidth="1"/>
    <col min="14129" max="14129" width="12.44140625" style="2" customWidth="1"/>
    <col min="14130" max="14130" width="13.44140625" style="2" customWidth="1"/>
    <col min="14131" max="14131" width="11.109375" style="2" customWidth="1"/>
    <col min="14132" max="14135" width="17.33203125" style="2" customWidth="1"/>
    <col min="14136" max="14139" width="9.109375" style="2"/>
    <col min="14140" max="14141" width="22.33203125" style="2" customWidth="1"/>
    <col min="14142" max="14142" width="11.88671875" style="2" customWidth="1"/>
    <col min="14143" max="14143" width="10.109375" style="2" customWidth="1"/>
    <col min="14144" max="14145" width="9.109375" style="2"/>
    <col min="14146" max="14146" width="13.33203125" style="2" customWidth="1"/>
    <col min="14147" max="14147" width="11.44140625" style="2" customWidth="1"/>
    <col min="14148" max="14148" width="13.33203125" style="2" bestFit="1" customWidth="1"/>
    <col min="14149" max="14149" width="16.88671875" style="2" bestFit="1" customWidth="1"/>
    <col min="14150" max="14152" width="14.44140625" style="2" customWidth="1"/>
    <col min="14153" max="14153" width="9.88671875" style="2" customWidth="1"/>
    <col min="14154" max="14156" width="17" style="2" customWidth="1"/>
    <col min="14157" max="14157" width="9.109375" style="2"/>
    <col min="14158" max="14158" width="17" style="2" customWidth="1"/>
    <col min="14159" max="14159" width="10.44140625" style="2" customWidth="1"/>
    <col min="14160" max="14328" width="9.109375" style="2"/>
    <col min="14329" max="14329" width="18.44140625" style="2" customWidth="1"/>
    <col min="14330" max="14331" width="11.88671875" style="2" customWidth="1"/>
    <col min="14332" max="14333" width="10.109375" style="2" customWidth="1"/>
    <col min="14334" max="14335" width="13.6640625" style="2" customWidth="1"/>
    <col min="14336" max="14340" width="23.77734375" style="2" customWidth="1"/>
    <col min="14341" max="14343" width="9.109375" style="2"/>
    <col min="14344" max="14344" width="21" style="2" customWidth="1"/>
    <col min="14345" max="14345" width="12.33203125" style="2" customWidth="1"/>
    <col min="14346" max="14346" width="14" style="2" customWidth="1"/>
    <col min="14347" max="14347" width="10.109375" style="2" bestFit="1" customWidth="1"/>
    <col min="14348" max="14348" width="10.109375" style="2" customWidth="1"/>
    <col min="14349" max="14349" width="27.21875" style="2" customWidth="1"/>
    <col min="14350" max="14350" width="24.5546875" style="2" customWidth="1"/>
    <col min="14351" max="14351" width="16.21875" style="2" customWidth="1"/>
    <col min="14352" max="14352" width="16.33203125" style="2" customWidth="1"/>
    <col min="14353" max="14353" width="18.5546875" style="2" customWidth="1"/>
    <col min="14354" max="14354" width="20.33203125" style="2" customWidth="1"/>
    <col min="14355" max="14355" width="26.44140625" style="2" customWidth="1"/>
    <col min="14356" max="14356" width="22.88671875" style="2" customWidth="1"/>
    <col min="14357" max="14357" width="30.21875" style="2" customWidth="1"/>
    <col min="14358" max="14358" width="22.88671875" style="2" customWidth="1"/>
    <col min="14359" max="14362" width="18" style="2" customWidth="1"/>
    <col min="14363" max="14363" width="17.21875" style="2" customWidth="1"/>
    <col min="14364" max="14364" width="16.6640625" style="2" customWidth="1"/>
    <col min="14365" max="14365" width="17.44140625" style="2" customWidth="1"/>
    <col min="14366" max="14366" width="24.21875" style="2" customWidth="1"/>
    <col min="14367" max="14367" width="20.44140625" style="2" customWidth="1"/>
    <col min="14368" max="14368" width="41.5546875" style="2" customWidth="1"/>
    <col min="14369" max="14370" width="32.44140625" style="2" customWidth="1"/>
    <col min="14371" max="14375" width="41.5546875" style="2" customWidth="1"/>
    <col min="14376" max="14376" width="30.44140625" style="2" customWidth="1"/>
    <col min="14377" max="14377" width="22.33203125" style="2" customWidth="1"/>
    <col min="14378" max="14378" width="9.109375" style="2"/>
    <col min="14379" max="14379" width="22.88671875" style="2" customWidth="1"/>
    <col min="14380" max="14380" width="23.77734375" style="2" customWidth="1"/>
    <col min="14381" max="14381" width="74.44140625" style="2" customWidth="1"/>
    <col min="14382" max="14383" width="9.109375" style="2"/>
    <col min="14384" max="14384" width="14.109375" style="2" customWidth="1"/>
    <col min="14385" max="14385" width="12.44140625" style="2" customWidth="1"/>
    <col min="14386" max="14386" width="13.44140625" style="2" customWidth="1"/>
    <col min="14387" max="14387" width="11.109375" style="2" customWidth="1"/>
    <col min="14388" max="14391" width="17.33203125" style="2" customWidth="1"/>
    <col min="14392" max="14395" width="9.109375" style="2"/>
    <col min="14396" max="14397" width="22.33203125" style="2" customWidth="1"/>
    <col min="14398" max="14398" width="11.88671875" style="2" customWidth="1"/>
    <col min="14399" max="14399" width="10.109375" style="2" customWidth="1"/>
    <col min="14400" max="14401" width="9.109375" style="2"/>
    <col min="14402" max="14402" width="13.33203125" style="2" customWidth="1"/>
    <col min="14403" max="14403" width="11.44140625" style="2" customWidth="1"/>
    <col min="14404" max="14404" width="13.33203125" style="2" bestFit="1" customWidth="1"/>
    <col min="14405" max="14405" width="16.88671875" style="2" bestFit="1" customWidth="1"/>
    <col min="14406" max="14408" width="14.44140625" style="2" customWidth="1"/>
    <col min="14409" max="14409" width="9.88671875" style="2" customWidth="1"/>
    <col min="14410" max="14412" width="17" style="2" customWidth="1"/>
    <col min="14413" max="14413" width="9.109375" style="2"/>
    <col min="14414" max="14414" width="17" style="2" customWidth="1"/>
    <col min="14415" max="14415" width="10.44140625" style="2" customWidth="1"/>
    <col min="14416" max="14584" width="9.109375" style="2"/>
    <col min="14585" max="14585" width="18.44140625" style="2" customWidth="1"/>
    <col min="14586" max="14587" width="11.88671875" style="2" customWidth="1"/>
    <col min="14588" max="14589" width="10.109375" style="2" customWidth="1"/>
    <col min="14590" max="14591" width="13.6640625" style="2" customWidth="1"/>
    <col min="14592" max="14596" width="23.77734375" style="2" customWidth="1"/>
    <col min="14597" max="14599" width="9.109375" style="2"/>
    <col min="14600" max="14600" width="21" style="2" customWidth="1"/>
    <col min="14601" max="14601" width="12.33203125" style="2" customWidth="1"/>
    <col min="14602" max="14602" width="14" style="2" customWidth="1"/>
    <col min="14603" max="14603" width="10.109375" style="2" bestFit="1" customWidth="1"/>
    <col min="14604" max="14604" width="10.109375" style="2" customWidth="1"/>
    <col min="14605" max="14605" width="27.21875" style="2" customWidth="1"/>
    <col min="14606" max="14606" width="24.5546875" style="2" customWidth="1"/>
    <col min="14607" max="14607" width="16.21875" style="2" customWidth="1"/>
    <col min="14608" max="14608" width="16.33203125" style="2" customWidth="1"/>
    <col min="14609" max="14609" width="18.5546875" style="2" customWidth="1"/>
    <col min="14610" max="14610" width="20.33203125" style="2" customWidth="1"/>
    <col min="14611" max="14611" width="26.44140625" style="2" customWidth="1"/>
    <col min="14612" max="14612" width="22.88671875" style="2" customWidth="1"/>
    <col min="14613" max="14613" width="30.21875" style="2" customWidth="1"/>
    <col min="14614" max="14614" width="22.88671875" style="2" customWidth="1"/>
    <col min="14615" max="14618" width="18" style="2" customWidth="1"/>
    <col min="14619" max="14619" width="17.21875" style="2" customWidth="1"/>
    <col min="14620" max="14620" width="16.6640625" style="2" customWidth="1"/>
    <col min="14621" max="14621" width="17.44140625" style="2" customWidth="1"/>
    <col min="14622" max="14622" width="24.21875" style="2" customWidth="1"/>
    <col min="14623" max="14623" width="20.44140625" style="2" customWidth="1"/>
    <col min="14624" max="14624" width="41.5546875" style="2" customWidth="1"/>
    <col min="14625" max="14626" width="32.44140625" style="2" customWidth="1"/>
    <col min="14627" max="14631" width="41.5546875" style="2" customWidth="1"/>
    <col min="14632" max="14632" width="30.44140625" style="2" customWidth="1"/>
    <col min="14633" max="14633" width="22.33203125" style="2" customWidth="1"/>
    <col min="14634" max="14634" width="9.109375" style="2"/>
    <col min="14635" max="14635" width="22.88671875" style="2" customWidth="1"/>
    <col min="14636" max="14636" width="23.77734375" style="2" customWidth="1"/>
    <col min="14637" max="14637" width="74.44140625" style="2" customWidth="1"/>
    <col min="14638" max="14639" width="9.109375" style="2"/>
    <col min="14640" max="14640" width="14.109375" style="2" customWidth="1"/>
    <col min="14641" max="14641" width="12.44140625" style="2" customWidth="1"/>
    <col min="14642" max="14642" width="13.44140625" style="2" customWidth="1"/>
    <col min="14643" max="14643" width="11.109375" style="2" customWidth="1"/>
    <col min="14644" max="14647" width="17.33203125" style="2" customWidth="1"/>
    <col min="14648" max="14651" width="9.109375" style="2"/>
    <col min="14652" max="14653" width="22.33203125" style="2" customWidth="1"/>
    <col min="14654" max="14654" width="11.88671875" style="2" customWidth="1"/>
    <col min="14655" max="14655" width="10.109375" style="2" customWidth="1"/>
    <col min="14656" max="14657" width="9.109375" style="2"/>
    <col min="14658" max="14658" width="13.33203125" style="2" customWidth="1"/>
    <col min="14659" max="14659" width="11.44140625" style="2" customWidth="1"/>
    <col min="14660" max="14660" width="13.33203125" style="2" bestFit="1" customWidth="1"/>
    <col min="14661" max="14661" width="16.88671875" style="2" bestFit="1" customWidth="1"/>
    <col min="14662" max="14664" width="14.44140625" style="2" customWidth="1"/>
    <col min="14665" max="14665" width="9.88671875" style="2" customWidth="1"/>
    <col min="14666" max="14668" width="17" style="2" customWidth="1"/>
    <col min="14669" max="14669" width="9.109375" style="2"/>
    <col min="14670" max="14670" width="17" style="2" customWidth="1"/>
    <col min="14671" max="14671" width="10.44140625" style="2" customWidth="1"/>
    <col min="14672" max="14840" width="9.109375" style="2"/>
    <col min="14841" max="14841" width="18.44140625" style="2" customWidth="1"/>
    <col min="14842" max="14843" width="11.88671875" style="2" customWidth="1"/>
    <col min="14844" max="14845" width="10.109375" style="2" customWidth="1"/>
    <col min="14846" max="14847" width="13.6640625" style="2" customWidth="1"/>
    <col min="14848" max="14852" width="23.77734375" style="2" customWidth="1"/>
    <col min="14853" max="14855" width="9.109375" style="2"/>
    <col min="14856" max="14856" width="21" style="2" customWidth="1"/>
    <col min="14857" max="14857" width="12.33203125" style="2" customWidth="1"/>
    <col min="14858" max="14858" width="14" style="2" customWidth="1"/>
    <col min="14859" max="14859" width="10.109375" style="2" bestFit="1" customWidth="1"/>
    <col min="14860" max="14860" width="10.109375" style="2" customWidth="1"/>
    <col min="14861" max="14861" width="27.21875" style="2" customWidth="1"/>
    <col min="14862" max="14862" width="24.5546875" style="2" customWidth="1"/>
    <col min="14863" max="14863" width="16.21875" style="2" customWidth="1"/>
    <col min="14864" max="14864" width="16.33203125" style="2" customWidth="1"/>
    <col min="14865" max="14865" width="18.5546875" style="2" customWidth="1"/>
    <col min="14866" max="14866" width="20.33203125" style="2" customWidth="1"/>
    <col min="14867" max="14867" width="26.44140625" style="2" customWidth="1"/>
    <col min="14868" max="14868" width="22.88671875" style="2" customWidth="1"/>
    <col min="14869" max="14869" width="30.21875" style="2" customWidth="1"/>
    <col min="14870" max="14870" width="22.88671875" style="2" customWidth="1"/>
    <col min="14871" max="14874" width="18" style="2" customWidth="1"/>
    <col min="14875" max="14875" width="17.21875" style="2" customWidth="1"/>
    <col min="14876" max="14876" width="16.6640625" style="2" customWidth="1"/>
    <col min="14877" max="14877" width="17.44140625" style="2" customWidth="1"/>
    <col min="14878" max="14878" width="24.21875" style="2" customWidth="1"/>
    <col min="14879" max="14879" width="20.44140625" style="2" customWidth="1"/>
    <col min="14880" max="14880" width="41.5546875" style="2" customWidth="1"/>
    <col min="14881" max="14882" width="32.44140625" style="2" customWidth="1"/>
    <col min="14883" max="14887" width="41.5546875" style="2" customWidth="1"/>
    <col min="14888" max="14888" width="30.44140625" style="2" customWidth="1"/>
    <col min="14889" max="14889" width="22.33203125" style="2" customWidth="1"/>
    <col min="14890" max="14890" width="9.109375" style="2"/>
    <col min="14891" max="14891" width="22.88671875" style="2" customWidth="1"/>
    <col min="14892" max="14892" width="23.77734375" style="2" customWidth="1"/>
    <col min="14893" max="14893" width="74.44140625" style="2" customWidth="1"/>
    <col min="14894" max="14895" width="9.109375" style="2"/>
    <col min="14896" max="14896" width="14.109375" style="2" customWidth="1"/>
    <col min="14897" max="14897" width="12.44140625" style="2" customWidth="1"/>
    <col min="14898" max="14898" width="13.44140625" style="2" customWidth="1"/>
    <col min="14899" max="14899" width="11.109375" style="2" customWidth="1"/>
    <col min="14900" max="14903" width="17.33203125" style="2" customWidth="1"/>
    <col min="14904" max="14907" width="9.109375" style="2"/>
    <col min="14908" max="14909" width="22.33203125" style="2" customWidth="1"/>
    <col min="14910" max="14910" width="11.88671875" style="2" customWidth="1"/>
    <col min="14911" max="14911" width="10.109375" style="2" customWidth="1"/>
    <col min="14912" max="14913" width="9.109375" style="2"/>
    <col min="14914" max="14914" width="13.33203125" style="2" customWidth="1"/>
    <col min="14915" max="14915" width="11.44140625" style="2" customWidth="1"/>
    <col min="14916" max="14916" width="13.33203125" style="2" bestFit="1" customWidth="1"/>
    <col min="14917" max="14917" width="16.88671875" style="2" bestFit="1" customWidth="1"/>
    <col min="14918" max="14920" width="14.44140625" style="2" customWidth="1"/>
    <col min="14921" max="14921" width="9.88671875" style="2" customWidth="1"/>
    <col min="14922" max="14924" width="17" style="2" customWidth="1"/>
    <col min="14925" max="14925" width="9.109375" style="2"/>
    <col min="14926" max="14926" width="17" style="2" customWidth="1"/>
    <col min="14927" max="14927" width="10.44140625" style="2" customWidth="1"/>
    <col min="14928" max="15096" width="9.109375" style="2"/>
    <col min="15097" max="15097" width="18.44140625" style="2" customWidth="1"/>
    <col min="15098" max="15099" width="11.88671875" style="2" customWidth="1"/>
    <col min="15100" max="15101" width="10.109375" style="2" customWidth="1"/>
    <col min="15102" max="15103" width="13.6640625" style="2" customWidth="1"/>
    <col min="15104" max="15108" width="23.77734375" style="2" customWidth="1"/>
    <col min="15109" max="15111" width="9.109375" style="2"/>
    <col min="15112" max="15112" width="21" style="2" customWidth="1"/>
    <col min="15113" max="15113" width="12.33203125" style="2" customWidth="1"/>
    <col min="15114" max="15114" width="14" style="2" customWidth="1"/>
    <col min="15115" max="15115" width="10.109375" style="2" bestFit="1" customWidth="1"/>
    <col min="15116" max="15116" width="10.109375" style="2" customWidth="1"/>
    <col min="15117" max="15117" width="27.21875" style="2" customWidth="1"/>
    <col min="15118" max="15118" width="24.5546875" style="2" customWidth="1"/>
    <col min="15119" max="15119" width="16.21875" style="2" customWidth="1"/>
    <col min="15120" max="15120" width="16.33203125" style="2" customWidth="1"/>
    <col min="15121" max="15121" width="18.5546875" style="2" customWidth="1"/>
    <col min="15122" max="15122" width="20.33203125" style="2" customWidth="1"/>
    <col min="15123" max="15123" width="26.44140625" style="2" customWidth="1"/>
    <col min="15124" max="15124" width="22.88671875" style="2" customWidth="1"/>
    <col min="15125" max="15125" width="30.21875" style="2" customWidth="1"/>
    <col min="15126" max="15126" width="22.88671875" style="2" customWidth="1"/>
    <col min="15127" max="15130" width="18" style="2" customWidth="1"/>
    <col min="15131" max="15131" width="17.21875" style="2" customWidth="1"/>
    <col min="15132" max="15132" width="16.6640625" style="2" customWidth="1"/>
    <col min="15133" max="15133" width="17.44140625" style="2" customWidth="1"/>
    <col min="15134" max="15134" width="24.21875" style="2" customWidth="1"/>
    <col min="15135" max="15135" width="20.44140625" style="2" customWidth="1"/>
    <col min="15136" max="15136" width="41.5546875" style="2" customWidth="1"/>
    <col min="15137" max="15138" width="32.44140625" style="2" customWidth="1"/>
    <col min="15139" max="15143" width="41.5546875" style="2" customWidth="1"/>
    <col min="15144" max="15144" width="30.44140625" style="2" customWidth="1"/>
    <col min="15145" max="15145" width="22.33203125" style="2" customWidth="1"/>
    <col min="15146" max="15146" width="9.109375" style="2"/>
    <col min="15147" max="15147" width="22.88671875" style="2" customWidth="1"/>
    <col min="15148" max="15148" width="23.77734375" style="2" customWidth="1"/>
    <col min="15149" max="15149" width="74.44140625" style="2" customWidth="1"/>
    <col min="15150" max="15151" width="9.109375" style="2"/>
    <col min="15152" max="15152" width="14.109375" style="2" customWidth="1"/>
    <col min="15153" max="15153" width="12.44140625" style="2" customWidth="1"/>
    <col min="15154" max="15154" width="13.44140625" style="2" customWidth="1"/>
    <col min="15155" max="15155" width="11.109375" style="2" customWidth="1"/>
    <col min="15156" max="15159" width="17.33203125" style="2" customWidth="1"/>
    <col min="15160" max="15163" width="9.109375" style="2"/>
    <col min="15164" max="15165" width="22.33203125" style="2" customWidth="1"/>
    <col min="15166" max="15166" width="11.88671875" style="2" customWidth="1"/>
    <col min="15167" max="15167" width="10.109375" style="2" customWidth="1"/>
    <col min="15168" max="15169" width="9.109375" style="2"/>
    <col min="15170" max="15170" width="13.33203125" style="2" customWidth="1"/>
    <col min="15171" max="15171" width="11.44140625" style="2" customWidth="1"/>
    <col min="15172" max="15172" width="13.33203125" style="2" bestFit="1" customWidth="1"/>
    <col min="15173" max="15173" width="16.88671875" style="2" bestFit="1" customWidth="1"/>
    <col min="15174" max="15176" width="14.44140625" style="2" customWidth="1"/>
    <col min="15177" max="15177" width="9.88671875" style="2" customWidth="1"/>
    <col min="15178" max="15180" width="17" style="2" customWidth="1"/>
    <col min="15181" max="15181" width="9.109375" style="2"/>
    <col min="15182" max="15182" width="17" style="2" customWidth="1"/>
    <col min="15183" max="15183" width="10.44140625" style="2" customWidth="1"/>
    <col min="15184" max="15352" width="9.109375" style="2"/>
    <col min="15353" max="15353" width="18.44140625" style="2" customWidth="1"/>
    <col min="15354" max="15355" width="11.88671875" style="2" customWidth="1"/>
    <col min="15356" max="15357" width="10.109375" style="2" customWidth="1"/>
    <col min="15358" max="15359" width="13.6640625" style="2" customWidth="1"/>
    <col min="15360" max="15364" width="23.77734375" style="2" customWidth="1"/>
    <col min="15365" max="15367" width="9.109375" style="2"/>
    <col min="15368" max="15368" width="21" style="2" customWidth="1"/>
    <col min="15369" max="15369" width="12.33203125" style="2" customWidth="1"/>
    <col min="15370" max="15370" width="14" style="2" customWidth="1"/>
    <col min="15371" max="15371" width="10.109375" style="2" bestFit="1" customWidth="1"/>
    <col min="15372" max="15372" width="10.109375" style="2" customWidth="1"/>
    <col min="15373" max="15373" width="27.21875" style="2" customWidth="1"/>
    <col min="15374" max="15374" width="24.5546875" style="2" customWidth="1"/>
    <col min="15375" max="15375" width="16.21875" style="2" customWidth="1"/>
    <col min="15376" max="15376" width="16.33203125" style="2" customWidth="1"/>
    <col min="15377" max="15377" width="18.5546875" style="2" customWidth="1"/>
    <col min="15378" max="15378" width="20.33203125" style="2" customWidth="1"/>
    <col min="15379" max="15379" width="26.44140625" style="2" customWidth="1"/>
    <col min="15380" max="15380" width="22.88671875" style="2" customWidth="1"/>
    <col min="15381" max="15381" width="30.21875" style="2" customWidth="1"/>
    <col min="15382" max="15382" width="22.88671875" style="2" customWidth="1"/>
    <col min="15383" max="15386" width="18" style="2" customWidth="1"/>
    <col min="15387" max="15387" width="17.21875" style="2" customWidth="1"/>
    <col min="15388" max="15388" width="16.6640625" style="2" customWidth="1"/>
    <col min="15389" max="15389" width="17.44140625" style="2" customWidth="1"/>
    <col min="15390" max="15390" width="24.21875" style="2" customWidth="1"/>
    <col min="15391" max="15391" width="20.44140625" style="2" customWidth="1"/>
    <col min="15392" max="15392" width="41.5546875" style="2" customWidth="1"/>
    <col min="15393" max="15394" width="32.44140625" style="2" customWidth="1"/>
    <col min="15395" max="15399" width="41.5546875" style="2" customWidth="1"/>
    <col min="15400" max="15400" width="30.44140625" style="2" customWidth="1"/>
    <col min="15401" max="15401" width="22.33203125" style="2" customWidth="1"/>
    <col min="15402" max="15402" width="9.109375" style="2"/>
    <col min="15403" max="15403" width="22.88671875" style="2" customWidth="1"/>
    <col min="15404" max="15404" width="23.77734375" style="2" customWidth="1"/>
    <col min="15405" max="15405" width="74.44140625" style="2" customWidth="1"/>
    <col min="15406" max="15407" width="9.109375" style="2"/>
    <col min="15408" max="15408" width="14.109375" style="2" customWidth="1"/>
    <col min="15409" max="15409" width="12.44140625" style="2" customWidth="1"/>
    <col min="15410" max="15410" width="13.44140625" style="2" customWidth="1"/>
    <col min="15411" max="15411" width="11.109375" style="2" customWidth="1"/>
    <col min="15412" max="15415" width="17.33203125" style="2" customWidth="1"/>
    <col min="15416" max="15419" width="9.109375" style="2"/>
    <col min="15420" max="15421" width="22.33203125" style="2" customWidth="1"/>
    <col min="15422" max="15422" width="11.88671875" style="2" customWidth="1"/>
    <col min="15423" max="15423" width="10.109375" style="2" customWidth="1"/>
    <col min="15424" max="15425" width="9.109375" style="2"/>
    <col min="15426" max="15426" width="13.33203125" style="2" customWidth="1"/>
    <col min="15427" max="15427" width="11.44140625" style="2" customWidth="1"/>
    <col min="15428" max="15428" width="13.33203125" style="2" bestFit="1" customWidth="1"/>
    <col min="15429" max="15429" width="16.88671875" style="2" bestFit="1" customWidth="1"/>
    <col min="15430" max="15432" width="14.44140625" style="2" customWidth="1"/>
    <col min="15433" max="15433" width="9.88671875" style="2" customWidth="1"/>
    <col min="15434" max="15436" width="17" style="2" customWidth="1"/>
    <col min="15437" max="15437" width="9.109375" style="2"/>
    <col min="15438" max="15438" width="17" style="2" customWidth="1"/>
    <col min="15439" max="15439" width="10.44140625" style="2" customWidth="1"/>
    <col min="15440" max="15608" width="9.109375" style="2"/>
    <col min="15609" max="15609" width="18.44140625" style="2" customWidth="1"/>
    <col min="15610" max="15611" width="11.88671875" style="2" customWidth="1"/>
    <col min="15612" max="15613" width="10.109375" style="2" customWidth="1"/>
    <col min="15614" max="15615" width="13.6640625" style="2" customWidth="1"/>
    <col min="15616" max="15620" width="23.77734375" style="2" customWidth="1"/>
    <col min="15621" max="15623" width="9.109375" style="2"/>
    <col min="15624" max="15624" width="21" style="2" customWidth="1"/>
    <col min="15625" max="15625" width="12.33203125" style="2" customWidth="1"/>
    <col min="15626" max="15626" width="14" style="2" customWidth="1"/>
    <col min="15627" max="15627" width="10.109375" style="2" bestFit="1" customWidth="1"/>
    <col min="15628" max="15628" width="10.109375" style="2" customWidth="1"/>
    <col min="15629" max="15629" width="27.21875" style="2" customWidth="1"/>
    <col min="15630" max="15630" width="24.5546875" style="2" customWidth="1"/>
    <col min="15631" max="15631" width="16.21875" style="2" customWidth="1"/>
    <col min="15632" max="15632" width="16.33203125" style="2" customWidth="1"/>
    <col min="15633" max="15633" width="18.5546875" style="2" customWidth="1"/>
    <col min="15634" max="15634" width="20.33203125" style="2" customWidth="1"/>
    <col min="15635" max="15635" width="26.44140625" style="2" customWidth="1"/>
    <col min="15636" max="15636" width="22.88671875" style="2" customWidth="1"/>
    <col min="15637" max="15637" width="30.21875" style="2" customWidth="1"/>
    <col min="15638" max="15638" width="22.88671875" style="2" customWidth="1"/>
    <col min="15639" max="15642" width="18" style="2" customWidth="1"/>
    <col min="15643" max="15643" width="17.21875" style="2" customWidth="1"/>
    <col min="15644" max="15644" width="16.6640625" style="2" customWidth="1"/>
    <col min="15645" max="15645" width="17.44140625" style="2" customWidth="1"/>
    <col min="15646" max="15646" width="24.21875" style="2" customWidth="1"/>
    <col min="15647" max="15647" width="20.44140625" style="2" customWidth="1"/>
    <col min="15648" max="15648" width="41.5546875" style="2" customWidth="1"/>
    <col min="15649" max="15650" width="32.44140625" style="2" customWidth="1"/>
    <col min="15651" max="15655" width="41.5546875" style="2" customWidth="1"/>
    <col min="15656" max="15656" width="30.44140625" style="2" customWidth="1"/>
    <col min="15657" max="15657" width="22.33203125" style="2" customWidth="1"/>
    <col min="15658" max="15658" width="9.109375" style="2"/>
    <col min="15659" max="15659" width="22.88671875" style="2" customWidth="1"/>
    <col min="15660" max="15660" width="23.77734375" style="2" customWidth="1"/>
    <col min="15661" max="15661" width="74.44140625" style="2" customWidth="1"/>
    <col min="15662" max="15663" width="9.109375" style="2"/>
    <col min="15664" max="15664" width="14.109375" style="2" customWidth="1"/>
    <col min="15665" max="15665" width="12.44140625" style="2" customWidth="1"/>
    <col min="15666" max="15666" width="13.44140625" style="2" customWidth="1"/>
    <col min="15667" max="15667" width="11.109375" style="2" customWidth="1"/>
    <col min="15668" max="15671" width="17.33203125" style="2" customWidth="1"/>
    <col min="15672" max="15675" width="9.109375" style="2"/>
    <col min="15676" max="15677" width="22.33203125" style="2" customWidth="1"/>
    <col min="15678" max="15678" width="11.88671875" style="2" customWidth="1"/>
    <col min="15679" max="15679" width="10.109375" style="2" customWidth="1"/>
    <col min="15680" max="15681" width="9.109375" style="2"/>
    <col min="15682" max="15682" width="13.33203125" style="2" customWidth="1"/>
    <col min="15683" max="15683" width="11.44140625" style="2" customWidth="1"/>
    <col min="15684" max="15684" width="13.33203125" style="2" bestFit="1" customWidth="1"/>
    <col min="15685" max="15685" width="16.88671875" style="2" bestFit="1" customWidth="1"/>
    <col min="15686" max="15688" width="14.44140625" style="2" customWidth="1"/>
    <col min="15689" max="15689" width="9.88671875" style="2" customWidth="1"/>
    <col min="15690" max="15692" width="17" style="2" customWidth="1"/>
    <col min="15693" max="15693" width="9.109375" style="2"/>
    <col min="15694" max="15694" width="17" style="2" customWidth="1"/>
    <col min="15695" max="15695" width="10.44140625" style="2" customWidth="1"/>
    <col min="15696" max="15864" width="9.109375" style="2"/>
    <col min="15865" max="15865" width="18.44140625" style="2" customWidth="1"/>
    <col min="15866" max="15867" width="11.88671875" style="2" customWidth="1"/>
    <col min="15868" max="15869" width="10.109375" style="2" customWidth="1"/>
    <col min="15870" max="15871" width="13.6640625" style="2" customWidth="1"/>
    <col min="15872" max="15876" width="23.77734375" style="2" customWidth="1"/>
    <col min="15877" max="15879" width="9.109375" style="2"/>
    <col min="15880" max="15880" width="21" style="2" customWidth="1"/>
    <col min="15881" max="15881" width="12.33203125" style="2" customWidth="1"/>
    <col min="15882" max="15882" width="14" style="2" customWidth="1"/>
    <col min="15883" max="15883" width="10.109375" style="2" bestFit="1" customWidth="1"/>
    <col min="15884" max="15884" width="10.109375" style="2" customWidth="1"/>
    <col min="15885" max="15885" width="27.21875" style="2" customWidth="1"/>
    <col min="15886" max="15886" width="24.5546875" style="2" customWidth="1"/>
    <col min="15887" max="15887" width="16.21875" style="2" customWidth="1"/>
    <col min="15888" max="15888" width="16.33203125" style="2" customWidth="1"/>
    <col min="15889" max="15889" width="18.5546875" style="2" customWidth="1"/>
    <col min="15890" max="15890" width="20.33203125" style="2" customWidth="1"/>
    <col min="15891" max="15891" width="26.44140625" style="2" customWidth="1"/>
    <col min="15892" max="15892" width="22.88671875" style="2" customWidth="1"/>
    <col min="15893" max="15893" width="30.21875" style="2" customWidth="1"/>
    <col min="15894" max="15894" width="22.88671875" style="2" customWidth="1"/>
    <col min="15895" max="15898" width="18" style="2" customWidth="1"/>
    <col min="15899" max="15899" width="17.21875" style="2" customWidth="1"/>
    <col min="15900" max="15900" width="16.6640625" style="2" customWidth="1"/>
    <col min="15901" max="15901" width="17.44140625" style="2" customWidth="1"/>
    <col min="15902" max="15902" width="24.21875" style="2" customWidth="1"/>
    <col min="15903" max="15903" width="20.44140625" style="2" customWidth="1"/>
    <col min="15904" max="15904" width="41.5546875" style="2" customWidth="1"/>
    <col min="15905" max="15906" width="32.44140625" style="2" customWidth="1"/>
    <col min="15907" max="15911" width="41.5546875" style="2" customWidth="1"/>
    <col min="15912" max="15912" width="30.44140625" style="2" customWidth="1"/>
    <col min="15913" max="15913" width="22.33203125" style="2" customWidth="1"/>
    <col min="15914" max="15914" width="9.109375" style="2"/>
    <col min="15915" max="15915" width="22.88671875" style="2" customWidth="1"/>
    <col min="15916" max="15916" width="23.77734375" style="2" customWidth="1"/>
    <col min="15917" max="15917" width="74.44140625" style="2" customWidth="1"/>
    <col min="15918" max="15919" width="9.109375" style="2"/>
    <col min="15920" max="15920" width="14.109375" style="2" customWidth="1"/>
    <col min="15921" max="15921" width="12.44140625" style="2" customWidth="1"/>
    <col min="15922" max="15922" width="13.44140625" style="2" customWidth="1"/>
    <col min="15923" max="15923" width="11.109375" style="2" customWidth="1"/>
    <col min="15924" max="15927" width="17.33203125" style="2" customWidth="1"/>
    <col min="15928" max="15931" width="9.109375" style="2"/>
    <col min="15932" max="15933" width="22.33203125" style="2" customWidth="1"/>
    <col min="15934" max="15934" width="11.88671875" style="2" customWidth="1"/>
    <col min="15935" max="15935" width="10.109375" style="2" customWidth="1"/>
    <col min="15936" max="15937" width="9.109375" style="2"/>
    <col min="15938" max="15938" width="13.33203125" style="2" customWidth="1"/>
    <col min="15939" max="15939" width="11.44140625" style="2" customWidth="1"/>
    <col min="15940" max="15940" width="13.33203125" style="2" bestFit="1" customWidth="1"/>
    <col min="15941" max="15941" width="16.88671875" style="2" bestFit="1" customWidth="1"/>
    <col min="15942" max="15944" width="14.44140625" style="2" customWidth="1"/>
    <col min="15945" max="15945" width="9.88671875" style="2" customWidth="1"/>
    <col min="15946" max="15948" width="17" style="2" customWidth="1"/>
    <col min="15949" max="15949" width="9.109375" style="2"/>
    <col min="15950" max="15950" width="17" style="2" customWidth="1"/>
    <col min="15951" max="15951" width="10.44140625" style="2" customWidth="1"/>
    <col min="15952" max="16120" width="9.109375" style="2"/>
    <col min="16121" max="16121" width="18.44140625" style="2" customWidth="1"/>
    <col min="16122" max="16123" width="11.88671875" style="2" customWidth="1"/>
    <col min="16124" max="16125" width="10.109375" style="2" customWidth="1"/>
    <col min="16126" max="16127" width="13.6640625" style="2" customWidth="1"/>
    <col min="16128" max="16132" width="23.77734375" style="2" customWidth="1"/>
    <col min="16133" max="16135" width="9.109375" style="2"/>
    <col min="16136" max="16136" width="21" style="2" customWidth="1"/>
    <col min="16137" max="16137" width="12.33203125" style="2" customWidth="1"/>
    <col min="16138" max="16138" width="14" style="2" customWidth="1"/>
    <col min="16139" max="16139" width="10.109375" style="2" bestFit="1" customWidth="1"/>
    <col min="16140" max="16140" width="10.109375" style="2" customWidth="1"/>
    <col min="16141" max="16141" width="27.21875" style="2" customWidth="1"/>
    <col min="16142" max="16142" width="24.5546875" style="2" customWidth="1"/>
    <col min="16143" max="16143" width="16.21875" style="2" customWidth="1"/>
    <col min="16144" max="16144" width="16.33203125" style="2" customWidth="1"/>
    <col min="16145" max="16145" width="18.5546875" style="2" customWidth="1"/>
    <col min="16146" max="16146" width="20.33203125" style="2" customWidth="1"/>
    <col min="16147" max="16147" width="26.44140625" style="2" customWidth="1"/>
    <col min="16148" max="16148" width="22.88671875" style="2" customWidth="1"/>
    <col min="16149" max="16149" width="30.21875" style="2" customWidth="1"/>
    <col min="16150" max="16150" width="22.88671875" style="2" customWidth="1"/>
    <col min="16151" max="16154" width="18" style="2" customWidth="1"/>
    <col min="16155" max="16155" width="17.21875" style="2" customWidth="1"/>
    <col min="16156" max="16156" width="16.6640625" style="2" customWidth="1"/>
    <col min="16157" max="16157" width="17.44140625" style="2" customWidth="1"/>
    <col min="16158" max="16158" width="24.21875" style="2" customWidth="1"/>
    <col min="16159" max="16159" width="20.44140625" style="2" customWidth="1"/>
    <col min="16160" max="16160" width="41.5546875" style="2" customWidth="1"/>
    <col min="16161" max="16162" width="32.44140625" style="2" customWidth="1"/>
    <col min="16163" max="16167" width="41.5546875" style="2" customWidth="1"/>
    <col min="16168" max="16168" width="30.44140625" style="2" customWidth="1"/>
    <col min="16169" max="16169" width="22.33203125" style="2" customWidth="1"/>
    <col min="16170" max="16170" width="9.109375" style="2"/>
    <col min="16171" max="16171" width="22.88671875" style="2" customWidth="1"/>
    <col min="16172" max="16172" width="23.77734375" style="2" customWidth="1"/>
    <col min="16173" max="16173" width="74.44140625" style="2" customWidth="1"/>
    <col min="16174" max="16175" width="9.109375" style="2"/>
    <col min="16176" max="16176" width="14.109375" style="2" customWidth="1"/>
    <col min="16177" max="16177" width="12.44140625" style="2" customWidth="1"/>
    <col min="16178" max="16178" width="13.44140625" style="2" customWidth="1"/>
    <col min="16179" max="16179" width="11.109375" style="2" customWidth="1"/>
    <col min="16180" max="16183" width="17.33203125" style="2" customWidth="1"/>
    <col min="16184" max="16187" width="9.109375" style="2"/>
    <col min="16188" max="16189" width="22.33203125" style="2" customWidth="1"/>
    <col min="16190" max="16190" width="11.88671875" style="2" customWidth="1"/>
    <col min="16191" max="16191" width="10.109375" style="2" customWidth="1"/>
    <col min="16192" max="16193" width="9.109375" style="2"/>
    <col min="16194" max="16194" width="13.33203125" style="2" customWidth="1"/>
    <col min="16195" max="16195" width="11.44140625" style="2" customWidth="1"/>
    <col min="16196" max="16196" width="13.33203125" style="2" bestFit="1" customWidth="1"/>
    <col min="16197" max="16197" width="16.88671875" style="2" bestFit="1" customWidth="1"/>
    <col min="16198" max="16200" width="14.44140625" style="2" customWidth="1"/>
    <col min="16201" max="16201" width="9.88671875" style="2" customWidth="1"/>
    <col min="16202" max="16204" width="17" style="2" customWidth="1"/>
    <col min="16205" max="16205" width="9.109375" style="2"/>
    <col min="16206" max="16206" width="17" style="2" customWidth="1"/>
    <col min="16207" max="16207" width="10.44140625" style="2" customWidth="1"/>
    <col min="16208" max="16384" width="9.109375" style="2"/>
  </cols>
  <sheetData>
    <row r="1" spans="1:80" x14ac:dyDescent="0.3">
      <c r="A1" s="2" t="s">
        <v>33</v>
      </c>
      <c r="B1" s="1" t="s">
        <v>0</v>
      </c>
      <c r="C1" s="1" t="s">
        <v>35</v>
      </c>
      <c r="D1" s="1" t="s">
        <v>1</v>
      </c>
      <c r="E1" s="1" t="s">
        <v>2</v>
      </c>
      <c r="F1" s="1" t="s">
        <v>3</v>
      </c>
      <c r="G1" s="1" t="s">
        <v>34</v>
      </c>
      <c r="H1" s="1" t="s">
        <v>4</v>
      </c>
      <c r="I1" s="1" t="s">
        <v>36</v>
      </c>
      <c r="J1" s="1" t="s">
        <v>37</v>
      </c>
      <c r="K1" s="1" t="s">
        <v>38</v>
      </c>
      <c r="L1" s="1" t="s">
        <v>39</v>
      </c>
      <c r="M1" s="1" t="s">
        <v>40</v>
      </c>
      <c r="N1" s="1" t="s">
        <v>41</v>
      </c>
      <c r="O1" s="1" t="s">
        <v>42</v>
      </c>
      <c r="P1" s="1" t="s">
        <v>43</v>
      </c>
      <c r="Q1" s="1" t="s">
        <v>44</v>
      </c>
      <c r="R1" s="1" t="s">
        <v>45</v>
      </c>
      <c r="S1" s="1" t="s">
        <v>46</v>
      </c>
      <c r="T1" s="1" t="s">
        <v>47</v>
      </c>
      <c r="U1" s="1" t="s">
        <v>48</v>
      </c>
      <c r="V1" s="1" t="s">
        <v>49</v>
      </c>
      <c r="W1" s="1" t="s">
        <v>50</v>
      </c>
      <c r="X1" s="1" t="s">
        <v>51</v>
      </c>
      <c r="Y1" s="1" t="s">
        <v>210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211</v>
      </c>
      <c r="AF1" s="1" t="s">
        <v>57</v>
      </c>
      <c r="AG1" s="1" t="s">
        <v>58</v>
      </c>
      <c r="AH1" s="1" t="s">
        <v>59</v>
      </c>
      <c r="AI1" s="1" t="s">
        <v>60</v>
      </c>
      <c r="AJ1" s="1" t="s">
        <v>213</v>
      </c>
      <c r="AK1" s="1" t="s">
        <v>212</v>
      </c>
      <c r="AL1" s="1" t="s">
        <v>61</v>
      </c>
      <c r="AM1" s="1" t="s">
        <v>62</v>
      </c>
      <c r="AN1" s="1" t="s">
        <v>5</v>
      </c>
      <c r="AO1" s="1" t="s">
        <v>7</v>
      </c>
      <c r="AP1" s="1" t="s">
        <v>6</v>
      </c>
      <c r="AQ1" s="1" t="s">
        <v>56</v>
      </c>
      <c r="AR1" s="10" t="s">
        <v>63</v>
      </c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CA1" s="1"/>
      <c r="CB1" s="1"/>
    </row>
    <row r="2" spans="1:80" x14ac:dyDescent="0.3">
      <c r="A2" s="2" t="s">
        <v>19</v>
      </c>
      <c r="B2" s="2" t="s">
        <v>64</v>
      </c>
      <c r="C2" s="2" t="s">
        <v>20</v>
      </c>
      <c r="D2" s="2" t="s">
        <v>18</v>
      </c>
      <c r="E2" s="2" t="s">
        <v>21</v>
      </c>
      <c r="F2" s="2" t="s">
        <v>65</v>
      </c>
      <c r="G2" s="2">
        <v>2</v>
      </c>
      <c r="H2" s="2">
        <v>72</v>
      </c>
      <c r="I2" s="2">
        <v>-76</v>
      </c>
      <c r="J2" s="2">
        <v>400</v>
      </c>
      <c r="K2" s="2">
        <v>30</v>
      </c>
      <c r="L2" s="2">
        <v>120</v>
      </c>
      <c r="M2" s="8">
        <v>13.7</v>
      </c>
      <c r="N2" s="2">
        <v>47.1</v>
      </c>
      <c r="O2" s="2">
        <v>0.52</v>
      </c>
      <c r="P2" s="2">
        <v>16.8</v>
      </c>
      <c r="Q2" s="2">
        <v>-42.5</v>
      </c>
      <c r="R2" s="2">
        <v>0.28081235289573703</v>
      </c>
      <c r="S2" s="2">
        <v>0.496863633394241</v>
      </c>
      <c r="T2" s="2">
        <v>185.89743039999999</v>
      </c>
      <c r="U2" s="2">
        <f>T2/N2</f>
        <v>3.9468668874734605</v>
      </c>
      <c r="V2" s="2">
        <v>-98.230628969999998</v>
      </c>
      <c r="W2" s="2">
        <f>V2/N2</f>
        <v>-2.0855759866242036</v>
      </c>
      <c r="X2" s="2">
        <f>T2/V2</f>
        <v>-1.8924589239551115</v>
      </c>
      <c r="Y2" s="2">
        <f>(J2*K2)/1000</f>
        <v>12</v>
      </c>
      <c r="Z2" s="2">
        <v>2.2999999999999998</v>
      </c>
      <c r="AA2" s="2">
        <v>-13.4</v>
      </c>
      <c r="AB2" s="2">
        <v>0.70000000000000284</v>
      </c>
      <c r="AC2" s="2">
        <v>74</v>
      </c>
      <c r="AD2" s="2">
        <v>3</v>
      </c>
      <c r="AE2" s="2">
        <f>71/0.5</f>
        <v>142</v>
      </c>
      <c r="AF2" s="2">
        <f>30.2/47.9</f>
        <v>0.63048016701461373</v>
      </c>
      <c r="AG2" s="2">
        <f>7.9/5.4</f>
        <v>1.462962962962963</v>
      </c>
      <c r="AH2" s="2">
        <v>280</v>
      </c>
      <c r="AI2" s="2">
        <v>29.3</v>
      </c>
      <c r="AJ2" s="2">
        <f>1/0.0054</f>
        <v>185.18518518518516</v>
      </c>
      <c r="AK2" s="2">
        <f>1/0.0078</f>
        <v>128.2051282051282</v>
      </c>
      <c r="AL2" s="2">
        <f>AK2/AJ2</f>
        <v>0.6923076923076924</v>
      </c>
      <c r="AM2" s="2" t="s">
        <v>66</v>
      </c>
      <c r="AN2" s="2" t="s">
        <v>8</v>
      </c>
      <c r="AO2" s="2" t="s">
        <v>9</v>
      </c>
      <c r="AP2" s="2">
        <v>4</v>
      </c>
      <c r="AQ2" s="2">
        <v>3</v>
      </c>
      <c r="AR2" s="6" t="s">
        <v>67</v>
      </c>
    </row>
    <row r="3" spans="1:80" x14ac:dyDescent="0.3">
      <c r="A3" s="2" t="s">
        <v>19</v>
      </c>
      <c r="B3" s="2" t="s">
        <v>68</v>
      </c>
      <c r="C3" s="2" t="s">
        <v>20</v>
      </c>
      <c r="D3" s="2" t="s">
        <v>18</v>
      </c>
      <c r="E3" s="2" t="s">
        <v>21</v>
      </c>
      <c r="F3" s="2" t="s">
        <v>65</v>
      </c>
      <c r="G3" s="2">
        <v>2</v>
      </c>
      <c r="H3" s="2">
        <v>72</v>
      </c>
      <c r="I3" s="2">
        <v>-75</v>
      </c>
      <c r="J3" s="2">
        <v>300</v>
      </c>
      <c r="K3" s="2">
        <v>25</v>
      </c>
      <c r="L3" s="2">
        <v>160</v>
      </c>
      <c r="M3" s="8">
        <v>19.5</v>
      </c>
      <c r="N3" s="2">
        <v>46.4</v>
      </c>
      <c r="O3" s="2">
        <v>0.9</v>
      </c>
      <c r="P3" s="2">
        <v>28.1</v>
      </c>
      <c r="Q3" s="2">
        <v>-36</v>
      </c>
      <c r="R3" s="2">
        <v>0.41888120770454401</v>
      </c>
      <c r="S3" s="2">
        <v>0.78663736581802401</v>
      </c>
      <c r="T3" s="2">
        <v>127.8998795</v>
      </c>
      <c r="U3" s="2">
        <f>T3/N3</f>
        <v>2.7564629202586208</v>
      </c>
      <c r="V3" s="2">
        <v>-61.622940059999998</v>
      </c>
      <c r="W3" s="2">
        <f>V3/N3</f>
        <v>-1.3280806047413793</v>
      </c>
      <c r="X3" s="2">
        <f t="shared" ref="X3:X51" si="0">T3/V3</f>
        <v>-2.0755238126494544</v>
      </c>
      <c r="Y3" s="2">
        <f>(J3*K3)/1000</f>
        <v>7.5</v>
      </c>
      <c r="Z3" s="2">
        <v>4.2</v>
      </c>
      <c r="AA3" s="2">
        <v>-15.3</v>
      </c>
      <c r="AB3" s="2">
        <v>0.59999999999999432</v>
      </c>
      <c r="AC3" s="2">
        <f>1/0.5</f>
        <v>2</v>
      </c>
      <c r="AD3" s="2">
        <v>6</v>
      </c>
      <c r="AE3" s="2">
        <f>2/0.5</f>
        <v>4</v>
      </c>
      <c r="AH3" s="2">
        <v>200</v>
      </c>
      <c r="AI3" s="2">
        <v>33.5</v>
      </c>
      <c r="AM3" s="2" t="s">
        <v>71</v>
      </c>
      <c r="AN3" s="2" t="s">
        <v>8</v>
      </c>
      <c r="AO3" s="2" t="s">
        <v>9</v>
      </c>
      <c r="AP3" s="2">
        <v>4</v>
      </c>
      <c r="AQ3" s="2">
        <v>6</v>
      </c>
      <c r="AR3" s="6" t="s">
        <v>67</v>
      </c>
    </row>
    <row r="4" spans="1:80" x14ac:dyDescent="0.3">
      <c r="A4" s="2" t="s">
        <v>19</v>
      </c>
      <c r="B4" s="2" t="s">
        <v>72</v>
      </c>
      <c r="C4" s="2" t="s">
        <v>20</v>
      </c>
      <c r="D4" s="2" t="s">
        <v>18</v>
      </c>
      <c r="E4" s="2" t="s">
        <v>21</v>
      </c>
      <c r="F4" s="2" t="s">
        <v>65</v>
      </c>
      <c r="G4" s="2">
        <v>2</v>
      </c>
      <c r="H4" s="2">
        <v>72</v>
      </c>
      <c r="I4" s="2">
        <v>-60</v>
      </c>
      <c r="J4" s="2">
        <v>160</v>
      </c>
      <c r="K4" s="2">
        <v>34</v>
      </c>
      <c r="L4" s="2">
        <v>140</v>
      </c>
      <c r="M4" s="8">
        <v>28.6</v>
      </c>
      <c r="N4" s="2">
        <v>59.4</v>
      </c>
      <c r="O4" s="2">
        <v>0.52</v>
      </c>
      <c r="P4" s="2">
        <v>16.899999999999999</v>
      </c>
      <c r="Q4" s="2">
        <v>-44</v>
      </c>
      <c r="R4" s="2">
        <v>0.26238498091697698</v>
      </c>
      <c r="S4" s="2">
        <v>0.42012751102447499</v>
      </c>
      <c r="T4" s="2">
        <v>269.53601070000002</v>
      </c>
      <c r="U4" s="2">
        <f>T4/N4</f>
        <v>4.5376432777777786</v>
      </c>
      <c r="V4" s="2">
        <v>-133.6996307</v>
      </c>
      <c r="W4" s="2">
        <f>V4/N4</f>
        <v>-2.2508355336700339</v>
      </c>
      <c r="X4" s="2">
        <f t="shared" si="0"/>
        <v>-2.0159817143010255</v>
      </c>
      <c r="Y4" s="2">
        <f>(J4*K4)/1000</f>
        <v>5.44</v>
      </c>
      <c r="Z4" s="2">
        <v>2.2999999999999998</v>
      </c>
      <c r="AA4" s="2">
        <v>-20.7</v>
      </c>
      <c r="AB4" s="2">
        <v>0.60000000000000853</v>
      </c>
      <c r="AC4" s="2">
        <v>2</v>
      </c>
      <c r="AD4" s="2">
        <v>8</v>
      </c>
      <c r="AE4" s="2">
        <f>35/0.5</f>
        <v>70</v>
      </c>
      <c r="AF4" s="2">
        <f>46.4/60.5</f>
        <v>0.76694214876033051</v>
      </c>
      <c r="AG4" s="2">
        <f>16.2/10</f>
        <v>1.6199999999999999</v>
      </c>
      <c r="AH4" s="2">
        <v>580</v>
      </c>
      <c r="AI4" s="2">
        <v>40.299999999999997</v>
      </c>
      <c r="AJ4" s="2">
        <f>1/0.0055</f>
        <v>181.81818181818184</v>
      </c>
      <c r="AK4" s="2">
        <f>1/0.009525</f>
        <v>104.98687664041994</v>
      </c>
      <c r="AL4" s="2">
        <f t="shared" ref="AL4:AL12" si="1">AK4/AJ4</f>
        <v>0.57742782152230954</v>
      </c>
      <c r="AM4" s="2" t="s">
        <v>66</v>
      </c>
      <c r="AN4" s="2" t="s">
        <v>8</v>
      </c>
      <c r="AO4" s="2" t="s">
        <v>9</v>
      </c>
      <c r="AP4" s="2">
        <v>4</v>
      </c>
      <c r="AQ4" s="2">
        <v>8</v>
      </c>
      <c r="AR4" s="6" t="s">
        <v>74</v>
      </c>
    </row>
    <row r="5" spans="1:80" x14ac:dyDescent="0.3">
      <c r="A5" s="2" t="s">
        <v>22</v>
      </c>
      <c r="B5" s="2" t="s">
        <v>75</v>
      </c>
      <c r="C5" s="2" t="s">
        <v>20</v>
      </c>
      <c r="D5" s="2" t="s">
        <v>18</v>
      </c>
      <c r="E5" s="2" t="s">
        <v>21</v>
      </c>
      <c r="F5" s="2" t="s">
        <v>77</v>
      </c>
      <c r="G5" s="2">
        <v>1</v>
      </c>
      <c r="H5" s="2">
        <v>64</v>
      </c>
      <c r="I5" s="2">
        <v>-74</v>
      </c>
      <c r="J5" s="2">
        <v>300</v>
      </c>
      <c r="K5" s="2">
        <v>27</v>
      </c>
      <c r="L5" s="2">
        <v>120</v>
      </c>
      <c r="M5" s="8">
        <v>20</v>
      </c>
      <c r="N5" s="2">
        <v>58.3</v>
      </c>
      <c r="O5" s="2">
        <v>0.92</v>
      </c>
      <c r="P5" s="2">
        <v>41.4</v>
      </c>
      <c r="Q5" s="2">
        <v>-40.299999999999997</v>
      </c>
      <c r="R5" s="2">
        <v>0.433531</v>
      </c>
      <c r="S5" s="2">
        <v>0.78869</v>
      </c>
      <c r="T5" s="2">
        <v>161.68396000000001</v>
      </c>
      <c r="U5" s="2">
        <f>T5/N5</f>
        <v>2.7733097770154376</v>
      </c>
      <c r="V5" s="2">
        <v>-71.733818049999996</v>
      </c>
      <c r="W5" s="2">
        <f>V5/N5</f>
        <v>-1.2304256955403088</v>
      </c>
      <c r="X5" s="2">
        <f t="shared" si="0"/>
        <v>-2.253943319834208</v>
      </c>
      <c r="Y5" s="2">
        <f>(J5*K5)/1000</f>
        <v>8.1</v>
      </c>
      <c r="Z5" s="2">
        <v>3.7</v>
      </c>
      <c r="AA5" s="2">
        <v>-16.100000000000001</v>
      </c>
      <c r="AB5" s="2">
        <v>0.90000000000000568</v>
      </c>
      <c r="AC5" s="2">
        <v>4</v>
      </c>
      <c r="AD5" s="2">
        <v>3</v>
      </c>
      <c r="AE5" s="2">
        <f>40/0.5</f>
        <v>80</v>
      </c>
      <c r="AF5" s="2">
        <f>39.8/61.6</f>
        <v>0.64610389610389607</v>
      </c>
      <c r="AG5" s="2">
        <f>12.9/9.7</f>
        <v>1.329896907216495</v>
      </c>
      <c r="AH5" s="2">
        <v>320</v>
      </c>
      <c r="AI5" s="2">
        <v>27.1</v>
      </c>
      <c r="AJ5" s="2">
        <f>1/0.0097</f>
        <v>103.09278350515464</v>
      </c>
      <c r="AK5" s="2">
        <f>1/0.013275</f>
        <v>75.329566854990588</v>
      </c>
      <c r="AL5" s="2">
        <f t="shared" si="1"/>
        <v>0.73069679849340874</v>
      </c>
      <c r="AM5" s="2" t="s">
        <v>71</v>
      </c>
      <c r="AN5" s="2" t="s">
        <v>8</v>
      </c>
      <c r="AO5" s="2" t="s">
        <v>9</v>
      </c>
      <c r="AP5" s="2">
        <v>4</v>
      </c>
      <c r="AQ5" s="2">
        <v>3</v>
      </c>
      <c r="AR5" s="6" t="s">
        <v>67</v>
      </c>
    </row>
    <row r="6" spans="1:80" x14ac:dyDescent="0.3">
      <c r="A6" s="2" t="s">
        <v>23</v>
      </c>
      <c r="B6" s="2" t="s">
        <v>69</v>
      </c>
      <c r="C6" s="2" t="s">
        <v>20</v>
      </c>
      <c r="D6" s="2" t="s">
        <v>18</v>
      </c>
      <c r="E6" s="2" t="s">
        <v>21</v>
      </c>
      <c r="F6" s="2" t="s">
        <v>79</v>
      </c>
      <c r="G6" s="2">
        <v>2</v>
      </c>
      <c r="H6" s="2">
        <v>73</v>
      </c>
      <c r="I6" s="2">
        <v>-80</v>
      </c>
      <c r="J6" s="2">
        <v>270</v>
      </c>
      <c r="K6" s="2">
        <v>31</v>
      </c>
      <c r="L6" s="2">
        <v>160</v>
      </c>
      <c r="M6" s="8">
        <v>20.399999999999999</v>
      </c>
      <c r="N6" s="2">
        <v>55.1</v>
      </c>
      <c r="O6" s="2">
        <v>0.44</v>
      </c>
      <c r="P6" s="2">
        <v>14.7</v>
      </c>
      <c r="Q6" s="2">
        <v>-40.9</v>
      </c>
      <c r="R6" s="2">
        <v>0.23587390799999999</v>
      </c>
      <c r="S6" s="2">
        <v>0.32526969900000002</v>
      </c>
      <c r="T6" s="2">
        <v>249.8474731</v>
      </c>
      <c r="U6" s="2">
        <f>T6/N6</f>
        <v>4.5344368983666063</v>
      </c>
      <c r="V6" s="2">
        <v>-161.17216490000001</v>
      </c>
      <c r="W6" s="2">
        <f>V6/N6</f>
        <v>-2.9250846624319422</v>
      </c>
      <c r="X6" s="2">
        <f t="shared" si="0"/>
        <v>-1.5501899676970834</v>
      </c>
      <c r="Y6" s="2">
        <f>(J6*K6)/1000</f>
        <v>8.3699999999999992</v>
      </c>
      <c r="Z6" s="2">
        <v>1.8</v>
      </c>
      <c r="AA6" s="2">
        <v>-21.7</v>
      </c>
      <c r="AB6" s="2">
        <v>0.32999999999999829</v>
      </c>
      <c r="AC6" s="2">
        <v>42</v>
      </c>
      <c r="AD6" s="2">
        <v>1</v>
      </c>
      <c r="AE6" s="2">
        <f>73/0.5</f>
        <v>146</v>
      </c>
      <c r="AF6" s="2">
        <f>54.5/63.4</f>
        <v>0.85962145110410093</v>
      </c>
      <c r="AG6" s="2">
        <f>7.4/6</f>
        <v>1.2333333333333334</v>
      </c>
      <c r="AH6" s="2" t="s">
        <v>70</v>
      </c>
      <c r="AJ6" s="2">
        <f>1/0.0036</f>
        <v>277.77777777777777</v>
      </c>
      <c r="AK6" s="2">
        <f>1/0.004975</f>
        <v>201.00502512562812</v>
      </c>
      <c r="AL6" s="2">
        <f t="shared" si="1"/>
        <v>0.72361809045226122</v>
      </c>
      <c r="AM6" s="2" t="s">
        <v>66</v>
      </c>
      <c r="AN6" s="2" t="s">
        <v>8</v>
      </c>
      <c r="AO6" s="2" t="s">
        <v>9</v>
      </c>
      <c r="AP6" s="2">
        <v>4</v>
      </c>
      <c r="AQ6" s="2">
        <v>1</v>
      </c>
      <c r="AR6" s="6" t="s">
        <v>67</v>
      </c>
    </row>
    <row r="7" spans="1:80" x14ac:dyDescent="0.3">
      <c r="A7" s="2" t="s">
        <v>23</v>
      </c>
      <c r="B7" s="2" t="s">
        <v>73</v>
      </c>
      <c r="C7" s="2" t="s">
        <v>20</v>
      </c>
      <c r="D7" s="2" t="s">
        <v>18</v>
      </c>
      <c r="E7" s="2" t="s">
        <v>21</v>
      </c>
      <c r="F7" s="2" t="s">
        <v>79</v>
      </c>
      <c r="G7" s="2">
        <v>2</v>
      </c>
      <c r="H7" s="2">
        <v>73</v>
      </c>
      <c r="I7" s="2">
        <v>-76</v>
      </c>
      <c r="J7" s="2">
        <v>212</v>
      </c>
      <c r="K7" s="2">
        <v>36</v>
      </c>
      <c r="L7" s="2">
        <v>160</v>
      </c>
      <c r="M7" s="8">
        <v>62.8</v>
      </c>
      <c r="N7" s="2">
        <v>56.8</v>
      </c>
      <c r="O7" s="2">
        <v>0.65</v>
      </c>
      <c r="P7" s="2">
        <v>23.2</v>
      </c>
      <c r="Q7" s="2">
        <v>-39</v>
      </c>
      <c r="R7" s="2">
        <v>0.27657848600000001</v>
      </c>
      <c r="S7" s="2">
        <v>0.54940456199999999</v>
      </c>
      <c r="T7" s="2">
        <v>217.94871520000001</v>
      </c>
      <c r="U7" s="2">
        <f>T7/N7</f>
        <v>3.837125267605634</v>
      </c>
      <c r="V7" s="2">
        <v>-98.230628969999998</v>
      </c>
      <c r="W7" s="2">
        <f>V7/N7</f>
        <v>-1.7294124818661973</v>
      </c>
      <c r="X7" s="2">
        <f t="shared" si="0"/>
        <v>-2.2187449829580381</v>
      </c>
      <c r="Y7" s="2">
        <f>(J7*K7)/1000</f>
        <v>7.6319999999999997</v>
      </c>
      <c r="Z7" s="2">
        <v>2.7</v>
      </c>
      <c r="AA7" s="2">
        <v>-15.4</v>
      </c>
      <c r="AB7" s="2">
        <v>0.70000000000000284</v>
      </c>
      <c r="AC7" s="2">
        <v>32</v>
      </c>
      <c r="AD7" s="2">
        <v>4</v>
      </c>
      <c r="AE7" s="2">
        <f>49/0.5</f>
        <v>98</v>
      </c>
      <c r="AF7" s="2">
        <f>44.7/56.6</f>
        <v>0.78975265017667851</v>
      </c>
      <c r="AG7" s="2">
        <f>10.7/8.3</f>
        <v>1.2891566265060239</v>
      </c>
      <c r="AH7" s="2">
        <v>560</v>
      </c>
      <c r="AI7" s="2">
        <v>25.6</v>
      </c>
      <c r="AJ7" s="2">
        <f>1/0.0056</f>
        <v>178.57142857142858</v>
      </c>
      <c r="AK7" s="2">
        <f>1/0.009825</f>
        <v>101.78117048346056</v>
      </c>
      <c r="AL7" s="2">
        <f t="shared" si="1"/>
        <v>0.56997455470737912</v>
      </c>
      <c r="AM7" s="2" t="s">
        <v>66</v>
      </c>
      <c r="AN7" s="2" t="s">
        <v>8</v>
      </c>
      <c r="AO7" s="2" t="s">
        <v>9</v>
      </c>
      <c r="AP7" s="2">
        <v>4</v>
      </c>
      <c r="AQ7" s="2">
        <v>4</v>
      </c>
      <c r="AR7" s="6" t="s">
        <v>67</v>
      </c>
    </row>
    <row r="8" spans="1:80" x14ac:dyDescent="0.3">
      <c r="A8" s="2" t="s">
        <v>24</v>
      </c>
      <c r="B8" s="2" t="s">
        <v>76</v>
      </c>
      <c r="C8" s="2" t="s">
        <v>20</v>
      </c>
      <c r="D8" s="2" t="s">
        <v>18</v>
      </c>
      <c r="E8" s="2" t="s">
        <v>21</v>
      </c>
      <c r="F8" s="2" t="s">
        <v>79</v>
      </c>
      <c r="G8" s="2">
        <v>0</v>
      </c>
      <c r="H8" s="2">
        <v>74</v>
      </c>
      <c r="I8" s="2">
        <v>-76</v>
      </c>
      <c r="J8" s="2">
        <v>300</v>
      </c>
      <c r="K8" s="2">
        <v>24</v>
      </c>
      <c r="L8" s="2">
        <v>120</v>
      </c>
      <c r="M8" s="8">
        <v>18.399999999999999</v>
      </c>
      <c r="N8" s="2">
        <v>51.3</v>
      </c>
      <c r="O8" s="2">
        <v>0.84</v>
      </c>
      <c r="P8" s="2">
        <v>43.4</v>
      </c>
      <c r="Q8" s="2">
        <v>-41.5</v>
      </c>
      <c r="R8" s="2">
        <v>0.41676962400000001</v>
      </c>
      <c r="S8" s="2">
        <v>0.83102804399999997</v>
      </c>
      <c r="T8" s="2">
        <v>143.99023439999999</v>
      </c>
      <c r="U8" s="2">
        <f>T8/N8</f>
        <v>2.8068271812865495</v>
      </c>
      <c r="V8" s="2">
        <v>-65.628814700000007</v>
      </c>
      <c r="W8" s="2">
        <f>V8/N8</f>
        <v>-1.2793141267056531</v>
      </c>
      <c r="X8" s="2">
        <f t="shared" si="0"/>
        <v>-2.1940093700945655</v>
      </c>
      <c r="Y8" s="2">
        <f>(J8*K8)/1000</f>
        <v>7.2</v>
      </c>
      <c r="Z8" s="2">
        <v>3.5</v>
      </c>
      <c r="AA8" s="2">
        <v>-7.9</v>
      </c>
      <c r="AB8" s="2">
        <v>0.30000000000001137</v>
      </c>
      <c r="AC8" s="2">
        <v>60</v>
      </c>
      <c r="AD8" s="2">
        <v>9</v>
      </c>
      <c r="AE8" s="2">
        <f>60/0.5</f>
        <v>120</v>
      </c>
      <c r="AF8" s="2">
        <f>38.9/51.3</f>
        <v>0.75828460038986356</v>
      </c>
      <c r="AG8" s="2">
        <f>8.7/6.2</f>
        <v>1.4032258064516128</v>
      </c>
      <c r="AH8" s="2">
        <v>320</v>
      </c>
      <c r="AI8" s="2">
        <v>22.3</v>
      </c>
      <c r="AJ8" s="2">
        <f>1/0.0059</f>
        <v>169.49152542372883</v>
      </c>
      <c r="AK8" s="2">
        <f>1/0.008825</f>
        <v>113.31444759206799</v>
      </c>
      <c r="AL8" s="2">
        <f t="shared" si="1"/>
        <v>0.66855524079320106</v>
      </c>
      <c r="AM8" s="2" t="s">
        <v>66</v>
      </c>
      <c r="AN8" s="2" t="s">
        <v>8</v>
      </c>
      <c r="AO8" s="2" t="s">
        <v>9</v>
      </c>
      <c r="AP8" s="2">
        <v>4</v>
      </c>
      <c r="AQ8" s="2">
        <v>9</v>
      </c>
      <c r="AR8" s="6" t="s">
        <v>67</v>
      </c>
    </row>
    <row r="9" spans="1:80" x14ac:dyDescent="0.3">
      <c r="A9" s="2" t="s">
        <v>24</v>
      </c>
      <c r="B9" s="2" t="s">
        <v>78</v>
      </c>
      <c r="C9" s="2" t="s">
        <v>20</v>
      </c>
      <c r="D9" s="2" t="s">
        <v>18</v>
      </c>
      <c r="E9" s="2" t="s">
        <v>21</v>
      </c>
      <c r="F9" s="2" t="s">
        <v>79</v>
      </c>
      <c r="G9" s="2">
        <v>0</v>
      </c>
      <c r="H9" s="2">
        <v>74</v>
      </c>
      <c r="I9" s="2">
        <v>-66</v>
      </c>
      <c r="J9" s="2">
        <v>170</v>
      </c>
      <c r="K9" s="2">
        <v>31</v>
      </c>
      <c r="L9" s="2">
        <v>200</v>
      </c>
      <c r="M9" s="8">
        <v>19.399999999999999</v>
      </c>
      <c r="N9" s="2">
        <v>61.9</v>
      </c>
      <c r="O9" s="2">
        <v>0.7</v>
      </c>
      <c r="P9" s="2">
        <v>38.5</v>
      </c>
      <c r="Q9" s="2">
        <v>-36.799999999999997</v>
      </c>
      <c r="R9" s="2">
        <v>0.365643471</v>
      </c>
      <c r="S9" s="2">
        <v>0.66841989800000001</v>
      </c>
      <c r="T9" s="2">
        <v>187.11843870000001</v>
      </c>
      <c r="U9" s="2">
        <f>T9/N9</f>
        <v>3.0229150032310179</v>
      </c>
      <c r="V9" s="2">
        <v>-96.095176699999996</v>
      </c>
      <c r="W9" s="2">
        <f>V9/N9</f>
        <v>-1.5524261179321486</v>
      </c>
      <c r="X9" s="2">
        <f t="shared" si="0"/>
        <v>-1.9472198826811671</v>
      </c>
      <c r="Y9" s="2">
        <f>(J9*K9)/1000</f>
        <v>5.27</v>
      </c>
      <c r="Z9" s="2">
        <v>3</v>
      </c>
      <c r="AA9" s="2">
        <v>-9.4</v>
      </c>
      <c r="AB9" s="2">
        <v>1.7000000000000028</v>
      </c>
      <c r="AC9" s="2">
        <v>8</v>
      </c>
      <c r="AD9" s="2">
        <v>14</v>
      </c>
      <c r="AE9" s="2">
        <f>62/0.5</f>
        <v>124</v>
      </c>
      <c r="AF9" s="2">
        <f>44.4/63</f>
        <v>0.7047619047619047</v>
      </c>
      <c r="AG9" s="2">
        <f>8.9/6.4</f>
        <v>1.390625</v>
      </c>
      <c r="AH9" s="2">
        <v>480</v>
      </c>
      <c r="AI9" s="2">
        <v>17.399999999999999</v>
      </c>
      <c r="AJ9" s="2">
        <f>1/0.0057</f>
        <v>175.43859649122805</v>
      </c>
      <c r="AK9" s="2">
        <f>1/0.00915</f>
        <v>109.2896174863388</v>
      </c>
      <c r="AL9" s="2">
        <f t="shared" si="1"/>
        <v>0.62295081967213117</v>
      </c>
      <c r="AM9" s="2" t="s">
        <v>66</v>
      </c>
      <c r="AN9" s="2" t="s">
        <v>8</v>
      </c>
      <c r="AO9" s="2" t="s">
        <v>9</v>
      </c>
      <c r="AP9" s="2">
        <v>4</v>
      </c>
      <c r="AQ9" s="2">
        <v>14</v>
      </c>
      <c r="AR9" s="6" t="s">
        <v>82</v>
      </c>
    </row>
    <row r="10" spans="1:80" x14ac:dyDescent="0.3">
      <c r="A10" s="2" t="s">
        <v>24</v>
      </c>
      <c r="B10" s="2" t="s">
        <v>83</v>
      </c>
      <c r="C10" s="2" t="s">
        <v>20</v>
      </c>
      <c r="D10" s="2" t="s">
        <v>18</v>
      </c>
      <c r="E10" s="2" t="s">
        <v>21</v>
      </c>
      <c r="F10" s="2" t="s">
        <v>79</v>
      </c>
      <c r="G10" s="2">
        <v>0</v>
      </c>
      <c r="H10" s="2">
        <v>74</v>
      </c>
      <c r="I10" s="2">
        <v>-73</v>
      </c>
      <c r="J10" s="2">
        <v>460</v>
      </c>
      <c r="K10" s="2">
        <v>30</v>
      </c>
      <c r="L10" s="2">
        <v>80</v>
      </c>
      <c r="M10" s="8">
        <v>40.200000000000003</v>
      </c>
      <c r="N10" s="2">
        <v>61.2</v>
      </c>
      <c r="O10" s="2">
        <v>0.8</v>
      </c>
      <c r="P10" s="2">
        <v>36.700000000000003</v>
      </c>
      <c r="Q10" s="2">
        <v>-33.700000000000003</v>
      </c>
      <c r="R10" s="2">
        <v>0.31896987599999999</v>
      </c>
      <c r="S10" s="2">
        <v>0.64783948700000005</v>
      </c>
      <c r="T10" s="2">
        <v>211.84370419999999</v>
      </c>
      <c r="U10" s="2">
        <f>T10/N10</f>
        <v>3.4614984346405224</v>
      </c>
      <c r="V10" s="2">
        <v>-88.82783508</v>
      </c>
      <c r="W10" s="2">
        <f>V10/N10</f>
        <v>-1.4514352137254902</v>
      </c>
      <c r="X10" s="2">
        <f t="shared" si="0"/>
        <v>-2.3848797396582908</v>
      </c>
      <c r="Y10" s="2">
        <f>(J10*K10)/1000</f>
        <v>13.8</v>
      </c>
      <c r="Z10" s="2">
        <v>3.4</v>
      </c>
      <c r="AA10" s="2">
        <v>-15.8</v>
      </c>
      <c r="AB10" s="2">
        <v>0.70000000000000284</v>
      </c>
      <c r="AC10" s="2">
        <v>22</v>
      </c>
      <c r="AD10" s="2">
        <v>17</v>
      </c>
      <c r="AE10" s="2">
        <f>35/0.5</f>
        <v>70</v>
      </c>
      <c r="AF10" s="2">
        <f>55.6/63.6</f>
        <v>0.87421383647798745</v>
      </c>
      <c r="AG10" s="2">
        <f>14.9/8.9</f>
        <v>1.6741573033707864</v>
      </c>
      <c r="AH10" s="2">
        <v>440</v>
      </c>
      <c r="AI10" s="2">
        <v>19.3</v>
      </c>
      <c r="AJ10" s="2">
        <f>1/0.0051</f>
        <v>196.07843137254901</v>
      </c>
      <c r="AK10" s="2">
        <f>1/0.0118</f>
        <v>84.745762711864415</v>
      </c>
      <c r="AL10" s="2">
        <f t="shared" si="1"/>
        <v>0.43220338983050854</v>
      </c>
      <c r="AM10" s="2" t="s">
        <v>71</v>
      </c>
      <c r="AN10" s="2" t="s">
        <v>8</v>
      </c>
      <c r="AO10" s="2" t="s">
        <v>9</v>
      </c>
      <c r="AP10" s="2">
        <v>4</v>
      </c>
      <c r="AQ10" s="2">
        <v>17</v>
      </c>
      <c r="AR10" s="6" t="s">
        <v>84</v>
      </c>
    </row>
    <row r="11" spans="1:80" x14ac:dyDescent="0.3">
      <c r="A11" s="2" t="s">
        <v>85</v>
      </c>
      <c r="B11" s="2" t="s">
        <v>80</v>
      </c>
      <c r="C11" s="2" t="s">
        <v>20</v>
      </c>
      <c r="D11" s="2" t="s">
        <v>18</v>
      </c>
      <c r="E11" s="2" t="s">
        <v>21</v>
      </c>
      <c r="F11" s="2" t="s">
        <v>79</v>
      </c>
      <c r="G11" s="2">
        <v>11</v>
      </c>
      <c r="H11" s="2">
        <v>77</v>
      </c>
      <c r="I11" s="2">
        <v>-72</v>
      </c>
      <c r="J11" s="2">
        <v>260</v>
      </c>
      <c r="K11" s="2">
        <v>31</v>
      </c>
      <c r="L11" s="2">
        <v>120</v>
      </c>
      <c r="M11" s="8">
        <v>18.2</v>
      </c>
      <c r="N11" s="2">
        <v>69.7</v>
      </c>
      <c r="O11" s="2">
        <v>1.02</v>
      </c>
      <c r="P11" s="2">
        <v>66.599999999999994</v>
      </c>
      <c r="Q11" s="2">
        <v>-45.2</v>
      </c>
      <c r="R11" s="2">
        <v>0.49874144799999998</v>
      </c>
      <c r="S11" s="2">
        <v>0.94212782399999995</v>
      </c>
      <c r="T11" s="2">
        <v>163.61416629999999</v>
      </c>
      <c r="U11" s="2">
        <f>T11/N11</f>
        <v>2.3474055423242466</v>
      </c>
      <c r="V11" s="2">
        <v>-71.995117190000002</v>
      </c>
      <c r="W11" s="2">
        <f>V11/N11</f>
        <v>-1.0329285106169297</v>
      </c>
      <c r="X11" s="2">
        <f t="shared" si="0"/>
        <v>-2.2725730950365857</v>
      </c>
      <c r="Y11" s="2">
        <f>(J11*K11)/1000</f>
        <v>8.06</v>
      </c>
      <c r="Z11" s="2">
        <v>4</v>
      </c>
      <c r="AA11" s="2">
        <v>-10.9</v>
      </c>
      <c r="AB11" s="2">
        <v>0.51999999999999602</v>
      </c>
      <c r="AC11" s="2">
        <v>36</v>
      </c>
      <c r="AD11" s="2">
        <v>0</v>
      </c>
      <c r="AE11" s="2">
        <f>38/0.5</f>
        <v>76</v>
      </c>
      <c r="AF11" s="2">
        <f>55.1/71.6</f>
        <v>0.76955307262569839</v>
      </c>
      <c r="AG11" s="2">
        <f>14/10.7</f>
        <v>1.3084112149532712</v>
      </c>
      <c r="AH11" s="2">
        <v>480</v>
      </c>
      <c r="AI11" s="2">
        <v>21.7</v>
      </c>
      <c r="AJ11" s="2">
        <f>1/0.0072</f>
        <v>138.88888888888889</v>
      </c>
      <c r="AK11" s="2">
        <f>1/0.013275</f>
        <v>75.329566854990588</v>
      </c>
      <c r="AL11" s="2">
        <f t="shared" si="1"/>
        <v>0.5423728813559322</v>
      </c>
      <c r="AM11" s="2" t="s">
        <v>66</v>
      </c>
      <c r="AN11" s="2" t="s">
        <v>8</v>
      </c>
      <c r="AO11" s="2" t="s">
        <v>9</v>
      </c>
      <c r="AP11" s="2">
        <v>4</v>
      </c>
      <c r="AQ11" s="2">
        <v>0</v>
      </c>
      <c r="AR11" s="6" t="s">
        <v>67</v>
      </c>
    </row>
    <row r="12" spans="1:80" x14ac:dyDescent="0.3">
      <c r="A12" s="2" t="s">
        <v>25</v>
      </c>
      <c r="B12" s="2" t="s">
        <v>81</v>
      </c>
      <c r="C12" s="2" t="s">
        <v>20</v>
      </c>
      <c r="D12" s="2" t="s">
        <v>18</v>
      </c>
      <c r="E12" s="2" t="s">
        <v>21</v>
      </c>
      <c r="F12" s="2" t="s">
        <v>79</v>
      </c>
      <c r="G12" s="2">
        <v>11</v>
      </c>
      <c r="H12" s="2">
        <v>77</v>
      </c>
      <c r="I12" s="2">
        <v>-65</v>
      </c>
      <c r="J12" s="2">
        <v>280</v>
      </c>
      <c r="K12" s="2">
        <v>21</v>
      </c>
      <c r="L12" s="2">
        <v>80</v>
      </c>
      <c r="M12" s="8">
        <v>33.799999999999997</v>
      </c>
      <c r="N12" s="2">
        <v>80.599999999999994</v>
      </c>
      <c r="O12" s="2">
        <v>0.97</v>
      </c>
      <c r="P12" s="2">
        <v>74.5</v>
      </c>
      <c r="Q12" s="2">
        <v>-43.9</v>
      </c>
      <c r="R12" s="2">
        <v>0.47551938900000001</v>
      </c>
      <c r="S12" s="2">
        <v>0.83461791299999999</v>
      </c>
      <c r="T12" s="2">
        <v>195.0549469</v>
      </c>
      <c r="U12" s="2">
        <f>T12/N12</f>
        <v>2.4200365620347397</v>
      </c>
      <c r="V12" s="2">
        <v>-91.214157099999994</v>
      </c>
      <c r="W12" s="2">
        <f>V12/N12</f>
        <v>-1.131689294044665</v>
      </c>
      <c r="X12" s="2">
        <f t="shared" si="0"/>
        <v>-2.1384284315225011</v>
      </c>
      <c r="Y12" s="2">
        <f>(J12*K12)/1000</f>
        <v>5.88</v>
      </c>
      <c r="Z12" s="2">
        <v>3.6</v>
      </c>
      <c r="AA12" s="2">
        <v>-14.4</v>
      </c>
      <c r="AB12" s="2">
        <v>0.7</v>
      </c>
      <c r="AC12" s="2">
        <v>12</v>
      </c>
      <c r="AD12" s="2">
        <v>2</v>
      </c>
      <c r="AE12" s="2">
        <v>74</v>
      </c>
      <c r="AF12" s="2">
        <f>58.7/75</f>
        <v>0.78266666666666673</v>
      </c>
      <c r="AG12" s="2">
        <f>15.3/11.9</f>
        <v>1.2857142857142858</v>
      </c>
      <c r="AH12" s="2">
        <v>320</v>
      </c>
      <c r="AI12" s="2">
        <v>22.7</v>
      </c>
      <c r="AJ12" s="2">
        <f>1/0.0084</f>
        <v>119.04761904761905</v>
      </c>
      <c r="AK12" s="2">
        <f>1/0.0155</f>
        <v>64.516129032258064</v>
      </c>
      <c r="AL12" s="2">
        <f t="shared" si="1"/>
        <v>0.54193548387096768</v>
      </c>
      <c r="AM12" s="2" t="s">
        <v>71</v>
      </c>
      <c r="AN12" s="2" t="s">
        <v>8</v>
      </c>
      <c r="AO12" s="2" t="s">
        <v>9</v>
      </c>
      <c r="AP12" s="2">
        <v>4</v>
      </c>
      <c r="AQ12" s="2">
        <v>2</v>
      </c>
      <c r="AR12" s="6" t="s">
        <v>87</v>
      </c>
    </row>
    <row r="13" spans="1:80" x14ac:dyDescent="0.3">
      <c r="A13" s="2" t="s">
        <v>26</v>
      </c>
      <c r="B13" s="2" t="s">
        <v>88</v>
      </c>
      <c r="C13" s="2" t="s">
        <v>20</v>
      </c>
      <c r="D13" s="2" t="s">
        <v>18</v>
      </c>
      <c r="E13" s="2" t="s">
        <v>21</v>
      </c>
      <c r="F13" s="2" t="s">
        <v>89</v>
      </c>
      <c r="G13" s="6" t="s">
        <v>90</v>
      </c>
      <c r="H13" s="2">
        <v>82</v>
      </c>
      <c r="I13" s="2">
        <v>-76</v>
      </c>
      <c r="J13" s="2">
        <v>320</v>
      </c>
      <c r="K13" s="2">
        <v>21</v>
      </c>
      <c r="L13" s="2">
        <v>120</v>
      </c>
      <c r="M13" s="8">
        <v>11.2</v>
      </c>
      <c r="N13" s="2">
        <v>54.5</v>
      </c>
      <c r="O13" s="2">
        <v>1.1299999999999999</v>
      </c>
      <c r="P13" s="2">
        <v>45.8</v>
      </c>
      <c r="Q13" s="2">
        <v>-46.1</v>
      </c>
      <c r="R13" s="2">
        <v>0.51012462400000003</v>
      </c>
      <c r="S13" s="2">
        <v>0.89935874900000001</v>
      </c>
      <c r="T13" s="2">
        <v>125.38133240000001</v>
      </c>
      <c r="U13" s="2">
        <f>T13/N13</f>
        <v>2.3005749064220185</v>
      </c>
      <c r="V13" s="2">
        <v>-59.523811340000002</v>
      </c>
      <c r="W13" s="2">
        <f>V13/N13</f>
        <v>-1.092180024587156</v>
      </c>
      <c r="X13" s="2">
        <f t="shared" si="0"/>
        <v>-2.1064063200493304</v>
      </c>
      <c r="Y13" s="2">
        <f>(J13*K13)/1000</f>
        <v>6.72</v>
      </c>
      <c r="Z13" s="2">
        <v>4.3</v>
      </c>
      <c r="AA13" s="2">
        <v>-18.7</v>
      </c>
      <c r="AB13" s="2">
        <v>0.80000000000001137</v>
      </c>
      <c r="AC13" s="2">
        <v>8</v>
      </c>
      <c r="AD13" s="2">
        <v>1</v>
      </c>
      <c r="AE13" s="2">
        <v>70</v>
      </c>
      <c r="AF13" s="2">
        <f>36.1/56.6</f>
        <v>0.63780918727915192</v>
      </c>
      <c r="AG13" s="2">
        <f>14.6/10.5</f>
        <v>1.3904761904761904</v>
      </c>
      <c r="AN13" s="2" t="s">
        <v>8</v>
      </c>
      <c r="AO13" s="2" t="s">
        <v>9</v>
      </c>
      <c r="AP13" s="2">
        <v>4</v>
      </c>
      <c r="AQ13" s="2">
        <v>1</v>
      </c>
      <c r="AR13" s="6" t="s">
        <v>67</v>
      </c>
    </row>
    <row r="14" spans="1:80" x14ac:dyDescent="0.3">
      <c r="A14" s="2" t="s">
        <v>26</v>
      </c>
      <c r="B14" s="2" t="s">
        <v>91</v>
      </c>
      <c r="C14" s="2" t="s">
        <v>20</v>
      </c>
      <c r="D14" s="2" t="s">
        <v>18</v>
      </c>
      <c r="E14" s="2" t="s">
        <v>21</v>
      </c>
      <c r="F14" s="2" t="s">
        <v>89</v>
      </c>
      <c r="G14" s="6" t="s">
        <v>90</v>
      </c>
      <c r="H14" s="2">
        <v>82</v>
      </c>
      <c r="I14" s="2">
        <v>-73</v>
      </c>
      <c r="J14" s="2">
        <v>200</v>
      </c>
      <c r="K14" s="2">
        <v>30</v>
      </c>
      <c r="L14" s="2">
        <v>160</v>
      </c>
      <c r="M14" s="8">
        <v>18.3</v>
      </c>
      <c r="N14" s="2">
        <v>59.7</v>
      </c>
      <c r="O14" s="2">
        <v>0.68</v>
      </c>
      <c r="P14" s="2">
        <v>27.4</v>
      </c>
      <c r="Q14" s="2">
        <v>-36.6</v>
      </c>
      <c r="R14" s="2">
        <v>0.324232519</v>
      </c>
      <c r="S14" s="2">
        <v>0.51816505199999996</v>
      </c>
      <c r="T14" s="2">
        <v>201.7704468</v>
      </c>
      <c r="U14" s="2">
        <f>T14/N14</f>
        <v>3.3797394773869347</v>
      </c>
      <c r="V14" s="2">
        <v>-104.09035489999999</v>
      </c>
      <c r="W14" s="2">
        <f>V14/N14</f>
        <v>-1.7435570335008372</v>
      </c>
      <c r="X14" s="2">
        <f t="shared" si="0"/>
        <v>-1.9384163594584882</v>
      </c>
      <c r="Y14" s="2">
        <f>(J14*K14)/1000</f>
        <v>6</v>
      </c>
      <c r="Z14" s="2">
        <v>2.7</v>
      </c>
      <c r="AA14" s="2">
        <v>-21</v>
      </c>
      <c r="AB14" s="2">
        <v>1.2000000000000028</v>
      </c>
      <c r="AC14" s="2">
        <v>34</v>
      </c>
      <c r="AD14" s="2">
        <v>3</v>
      </c>
      <c r="AE14" s="2">
        <v>92</v>
      </c>
      <c r="AF14" s="2">
        <f>46.6/65.9</f>
        <v>0.70713201820940819</v>
      </c>
      <c r="AG14" s="2">
        <f>11.4/8.4</f>
        <v>1.3571428571428572</v>
      </c>
      <c r="AH14" s="2" t="s">
        <v>70</v>
      </c>
      <c r="AJ14" s="2">
        <f>1/0.0061</f>
        <v>163.93442622950818</v>
      </c>
      <c r="AK14" s="2">
        <f>1/0.01005</f>
        <v>99.50248756218906</v>
      </c>
      <c r="AL14" s="2">
        <f>AK14/AJ14</f>
        <v>0.60696517412935336</v>
      </c>
      <c r="AM14" s="2" t="s">
        <v>66</v>
      </c>
      <c r="AN14" s="2" t="s">
        <v>8</v>
      </c>
      <c r="AO14" s="2" t="s">
        <v>9</v>
      </c>
      <c r="AP14" s="2">
        <v>4</v>
      </c>
      <c r="AQ14" s="2">
        <v>3</v>
      </c>
      <c r="AR14" s="6" t="s">
        <v>87</v>
      </c>
    </row>
    <row r="15" spans="1:80" x14ac:dyDescent="0.3">
      <c r="A15" s="2" t="s">
        <v>26</v>
      </c>
      <c r="B15" s="2" t="s">
        <v>92</v>
      </c>
      <c r="C15" s="2" t="s">
        <v>20</v>
      </c>
      <c r="D15" s="2" t="s">
        <v>18</v>
      </c>
      <c r="E15" s="2" t="s">
        <v>21</v>
      </c>
      <c r="F15" s="2" t="s">
        <v>89</v>
      </c>
      <c r="G15" s="6" t="s">
        <v>90</v>
      </c>
      <c r="H15" s="2">
        <v>82</v>
      </c>
      <c r="I15" s="2">
        <v>-69</v>
      </c>
      <c r="J15" s="2">
        <v>260</v>
      </c>
      <c r="K15" s="2">
        <v>26</v>
      </c>
      <c r="L15" s="2">
        <v>120</v>
      </c>
      <c r="M15" s="8">
        <v>21.2</v>
      </c>
      <c r="N15" s="2">
        <v>62.9</v>
      </c>
      <c r="O15" s="2">
        <v>0.84</v>
      </c>
      <c r="P15" s="2">
        <v>42.5</v>
      </c>
      <c r="Q15" s="2">
        <v>-41.8</v>
      </c>
      <c r="R15" s="2">
        <v>0.41295942699999999</v>
      </c>
      <c r="S15" s="2">
        <v>0.65527969600000002</v>
      </c>
      <c r="T15" s="2">
        <v>173.88652039999999</v>
      </c>
      <c r="U15" s="2">
        <f>T15/N15</f>
        <v>2.7644915802861685</v>
      </c>
      <c r="V15" s="2">
        <v>-89.078704830000007</v>
      </c>
      <c r="W15" s="2">
        <f>V15/N15</f>
        <v>-1.4161956252782195</v>
      </c>
      <c r="X15" s="2">
        <f t="shared" si="0"/>
        <v>-1.9520548792424555</v>
      </c>
      <c r="Y15" s="2">
        <f>(J15*K15)/1000</f>
        <v>6.76</v>
      </c>
      <c r="Z15" s="2">
        <v>3.1</v>
      </c>
      <c r="AA15" s="2">
        <v>-17.8</v>
      </c>
      <c r="AB15" s="2">
        <v>0.5</v>
      </c>
      <c r="AC15" s="2">
        <v>8</v>
      </c>
      <c r="AD15" s="2">
        <v>9</v>
      </c>
      <c r="AE15" s="2">
        <v>94</v>
      </c>
      <c r="AF15" s="2">
        <f>52.8/64.9</f>
        <v>0.81355932203389814</v>
      </c>
      <c r="AG15" s="2">
        <f>11.6/9.3</f>
        <v>1.247311827956989</v>
      </c>
      <c r="AH15" s="2">
        <v>600</v>
      </c>
      <c r="AI15" s="2">
        <v>18.2</v>
      </c>
      <c r="AJ15" s="2">
        <f>1/0.0065</f>
        <v>153.84615384615384</v>
      </c>
      <c r="AK15" s="2">
        <f>1/0.009</f>
        <v>111.11111111111111</v>
      </c>
      <c r="AL15" s="2">
        <f>AK15/AJ15</f>
        <v>0.72222222222222232</v>
      </c>
      <c r="AM15" s="2" t="s">
        <v>71</v>
      </c>
      <c r="AN15" s="2" t="s">
        <v>8</v>
      </c>
      <c r="AO15" s="2" t="s">
        <v>9</v>
      </c>
      <c r="AP15" s="2">
        <v>4</v>
      </c>
      <c r="AQ15" s="2">
        <v>9</v>
      </c>
      <c r="AR15" s="6" t="s">
        <v>87</v>
      </c>
    </row>
    <row r="16" spans="1:80" x14ac:dyDescent="0.3">
      <c r="A16" s="2" t="s">
        <v>27</v>
      </c>
      <c r="B16" s="2" t="s">
        <v>93</v>
      </c>
      <c r="C16" s="2" t="s">
        <v>20</v>
      </c>
      <c r="D16" s="2" t="s">
        <v>18</v>
      </c>
      <c r="E16" s="2" t="s">
        <v>21</v>
      </c>
      <c r="F16" s="2" t="s">
        <v>89</v>
      </c>
      <c r="G16" s="6" t="s">
        <v>94</v>
      </c>
      <c r="H16" s="2">
        <v>83</v>
      </c>
      <c r="I16" s="2">
        <v>-70</v>
      </c>
      <c r="J16" s="2">
        <v>260</v>
      </c>
      <c r="K16" s="2">
        <v>25</v>
      </c>
      <c r="L16" s="2">
        <v>120</v>
      </c>
      <c r="M16" s="8">
        <v>20.8</v>
      </c>
      <c r="N16" s="2">
        <v>67.400000000000006</v>
      </c>
      <c r="O16" s="2">
        <v>0.69</v>
      </c>
      <c r="P16" s="2">
        <v>42.3</v>
      </c>
      <c r="Q16" s="2">
        <v>-42.6</v>
      </c>
      <c r="R16" s="2">
        <v>0.35030159399999999</v>
      </c>
      <c r="S16" s="2">
        <v>0.54010760800000002</v>
      </c>
      <c r="T16" s="2">
        <v>206.04396059999999</v>
      </c>
      <c r="U16" s="2">
        <f>T16/N16</f>
        <v>3.0570320563798217</v>
      </c>
      <c r="V16" s="2">
        <v>-116.60561370000001</v>
      </c>
      <c r="W16" s="2">
        <f>V16/N16</f>
        <v>-1.730053615727003</v>
      </c>
      <c r="X16" s="2">
        <f t="shared" si="0"/>
        <v>-1.7670157899096068</v>
      </c>
      <c r="Y16" s="2">
        <f>(J16*K16)/1000</f>
        <v>6.5</v>
      </c>
      <c r="Z16" s="2">
        <v>2.6</v>
      </c>
      <c r="AA16" s="2">
        <v>-16.8</v>
      </c>
      <c r="AB16" s="2">
        <v>1</v>
      </c>
      <c r="AC16" s="2">
        <v>30</v>
      </c>
      <c r="AD16" s="2">
        <v>1</v>
      </c>
      <c r="AE16" s="2">
        <v>102</v>
      </c>
      <c r="AF16" s="2">
        <f>58.8/74.4</f>
        <v>0.79032258064516114</v>
      </c>
      <c r="AG16" s="2">
        <f>9.5/8.2</f>
        <v>1.1585365853658538</v>
      </c>
      <c r="AN16" s="2" t="s">
        <v>8</v>
      </c>
      <c r="AO16" s="2" t="s">
        <v>9</v>
      </c>
      <c r="AP16" s="2">
        <v>4</v>
      </c>
      <c r="AQ16" s="2">
        <v>1</v>
      </c>
      <c r="AR16" s="6" t="s">
        <v>67</v>
      </c>
    </row>
    <row r="17" spans="1:44" x14ac:dyDescent="0.3">
      <c r="A17" s="2" t="s">
        <v>27</v>
      </c>
      <c r="B17" s="2" t="s">
        <v>95</v>
      </c>
      <c r="C17" s="2" t="s">
        <v>20</v>
      </c>
      <c r="D17" s="2" t="s">
        <v>18</v>
      </c>
      <c r="E17" s="2" t="s">
        <v>21</v>
      </c>
      <c r="F17" s="2" t="s">
        <v>89</v>
      </c>
      <c r="G17" s="6" t="s">
        <v>94</v>
      </c>
      <c r="H17" s="2">
        <v>83</v>
      </c>
      <c r="I17" s="2">
        <v>-71</v>
      </c>
      <c r="J17" s="2">
        <v>240</v>
      </c>
      <c r="K17" s="2">
        <v>32</v>
      </c>
      <c r="L17" s="2">
        <v>160</v>
      </c>
      <c r="M17" s="8">
        <v>17.600000000000001</v>
      </c>
      <c r="N17" s="2">
        <v>58.4</v>
      </c>
      <c r="O17" s="2">
        <v>0.84</v>
      </c>
      <c r="P17" s="2">
        <v>36.4</v>
      </c>
      <c r="Q17" s="2">
        <v>-41</v>
      </c>
      <c r="R17" s="2">
        <v>0.37463027199999999</v>
      </c>
      <c r="S17" s="2">
        <v>0.72668832500000002</v>
      </c>
      <c r="T17" s="2">
        <v>180.9029846</v>
      </c>
      <c r="U17" s="2">
        <f>T17/N17</f>
        <v>3.0976538458904108</v>
      </c>
      <c r="V17" s="2">
        <v>-78.449325560000005</v>
      </c>
      <c r="W17" s="2">
        <f>V17/N17</f>
        <v>-1.3433103691780823</v>
      </c>
      <c r="X17" s="2">
        <f t="shared" si="0"/>
        <v>-2.3059852115827417</v>
      </c>
      <c r="Y17" s="2">
        <f>(J17*K17)/1000</f>
        <v>7.68</v>
      </c>
      <c r="Z17" s="2">
        <v>3.5</v>
      </c>
      <c r="AA17" s="2">
        <v>-16.2</v>
      </c>
      <c r="AB17" s="2">
        <v>0.69999999999998863</v>
      </c>
      <c r="AC17" s="2">
        <v>42</v>
      </c>
      <c r="AD17" s="2">
        <v>2</v>
      </c>
      <c r="AE17" s="2">
        <v>88</v>
      </c>
      <c r="AF17" s="2">
        <f>43.4/61.8</f>
        <v>0.70226537216828477</v>
      </c>
      <c r="AG17" s="2">
        <f>11.6/9.1</f>
        <v>1.2747252747252746</v>
      </c>
      <c r="AH17" s="2">
        <v>560</v>
      </c>
      <c r="AI17" s="2">
        <v>21.6</v>
      </c>
      <c r="AJ17" s="2">
        <f>1/0.0073</f>
        <v>136.98630136986301</v>
      </c>
      <c r="AK17" s="2">
        <f>1/0.01085</f>
        <v>92.165898617511516</v>
      </c>
      <c r="AL17" s="2">
        <f t="shared" ref="AL17:AL39" si="2">AK17/AJ17</f>
        <v>0.67281105990783407</v>
      </c>
      <c r="AM17" s="2" t="s">
        <v>71</v>
      </c>
      <c r="AN17" s="2" t="s">
        <v>8</v>
      </c>
      <c r="AO17" s="2" t="s">
        <v>9</v>
      </c>
      <c r="AP17" s="2">
        <v>4</v>
      </c>
      <c r="AQ17" s="2">
        <v>2</v>
      </c>
      <c r="AR17" s="6" t="s">
        <v>87</v>
      </c>
    </row>
    <row r="18" spans="1:44" x14ac:dyDescent="0.3">
      <c r="A18" s="2" t="s">
        <v>27</v>
      </c>
      <c r="B18" s="2" t="s">
        <v>96</v>
      </c>
      <c r="C18" s="2" t="s">
        <v>20</v>
      </c>
      <c r="D18" s="2" t="s">
        <v>18</v>
      </c>
      <c r="E18" s="2" t="s">
        <v>21</v>
      </c>
      <c r="F18" s="2" t="s">
        <v>89</v>
      </c>
      <c r="G18" s="6" t="s">
        <v>94</v>
      </c>
      <c r="H18" s="2">
        <v>83</v>
      </c>
      <c r="I18" s="2">
        <v>-77</v>
      </c>
      <c r="J18" s="2">
        <v>240</v>
      </c>
      <c r="K18" s="2">
        <v>38</v>
      </c>
      <c r="L18" s="2">
        <v>160</v>
      </c>
      <c r="M18" s="8">
        <v>72.3</v>
      </c>
      <c r="N18" s="2">
        <v>66.599999999999994</v>
      </c>
      <c r="O18" s="2">
        <v>0.59</v>
      </c>
      <c r="P18" s="2">
        <v>30</v>
      </c>
      <c r="Q18" s="2">
        <v>-42.6</v>
      </c>
      <c r="R18" s="2">
        <v>0.31213566700000001</v>
      </c>
      <c r="S18" s="2">
        <v>0.463234276</v>
      </c>
      <c r="T18" s="2">
        <v>228.63247680000001</v>
      </c>
      <c r="U18" s="2">
        <f>T18/N18</f>
        <v>3.4329200720720725</v>
      </c>
      <c r="V18" s="2">
        <v>-133.3943787</v>
      </c>
      <c r="W18" s="2">
        <f>V18/N18</f>
        <v>-2.0029185990990994</v>
      </c>
      <c r="X18" s="2">
        <f t="shared" si="0"/>
        <v>-1.7139588566485824</v>
      </c>
      <c r="Y18" s="2">
        <f>(J18*K18)/1000</f>
        <v>9.1199999999999992</v>
      </c>
      <c r="Z18" s="2">
        <v>2.2000000000000002</v>
      </c>
      <c r="AA18" s="2">
        <v>-17.5</v>
      </c>
      <c r="AB18" s="2">
        <v>0.60000000000000853</v>
      </c>
      <c r="AC18" s="2">
        <v>26</v>
      </c>
      <c r="AD18" s="2">
        <v>3</v>
      </c>
      <c r="AE18" s="2">
        <v>112</v>
      </c>
      <c r="AF18" s="2">
        <f>61.2/68.6</f>
        <v>0.89212827988338206</v>
      </c>
      <c r="AG18" s="2">
        <f>8.8/8.3</f>
        <v>1.0602409638554218</v>
      </c>
      <c r="AH18" s="2" t="s">
        <v>70</v>
      </c>
      <c r="AJ18" s="2">
        <f>1/0.0054</f>
        <v>185.18518518518516</v>
      </c>
      <c r="AK18" s="2">
        <f>1/0.0066</f>
        <v>151.51515151515153</v>
      </c>
      <c r="AL18" s="2">
        <f t="shared" si="2"/>
        <v>0.81818181818181834</v>
      </c>
      <c r="AM18" s="2" t="s">
        <v>66</v>
      </c>
      <c r="AN18" s="2" t="s">
        <v>8</v>
      </c>
      <c r="AO18" s="2" t="s">
        <v>9</v>
      </c>
      <c r="AP18" s="2">
        <v>4</v>
      </c>
      <c r="AQ18" s="2">
        <v>3</v>
      </c>
      <c r="AR18" s="6" t="s">
        <v>67</v>
      </c>
    </row>
    <row r="19" spans="1:44" x14ac:dyDescent="0.3">
      <c r="A19" s="2" t="s">
        <v>28</v>
      </c>
      <c r="B19" s="2" t="s">
        <v>97</v>
      </c>
      <c r="C19" s="2" t="s">
        <v>20</v>
      </c>
      <c r="D19" s="2" t="s">
        <v>18</v>
      </c>
      <c r="E19" s="2" t="s">
        <v>21</v>
      </c>
      <c r="F19" s="2" t="s">
        <v>89</v>
      </c>
      <c r="G19" s="6" t="s">
        <v>98</v>
      </c>
      <c r="H19" s="2">
        <v>87</v>
      </c>
      <c r="I19" s="2">
        <v>-70</v>
      </c>
      <c r="J19" s="2">
        <v>360</v>
      </c>
      <c r="K19" s="2">
        <v>25</v>
      </c>
      <c r="L19" s="2">
        <v>120</v>
      </c>
      <c r="M19" s="8">
        <v>21</v>
      </c>
      <c r="N19" s="2">
        <v>62</v>
      </c>
      <c r="O19" s="2">
        <v>0.89</v>
      </c>
      <c r="P19" s="2">
        <v>48.7</v>
      </c>
      <c r="Q19" s="2">
        <v>-39.5</v>
      </c>
      <c r="R19" s="2">
        <v>0.38896212000000002</v>
      </c>
      <c r="S19" s="2">
        <v>0.78861296199999997</v>
      </c>
      <c r="T19" s="2">
        <v>196.58119199999999</v>
      </c>
      <c r="U19" s="2">
        <f>T19/N19</f>
        <v>3.1706643870967741</v>
      </c>
      <c r="V19" s="2">
        <v>-76.312576289999996</v>
      </c>
      <c r="W19" s="2">
        <f>V19/N19</f>
        <v>-1.2308480046774193</v>
      </c>
      <c r="X19" s="2">
        <f t="shared" si="0"/>
        <v>-2.575999940730084</v>
      </c>
      <c r="Y19" s="2">
        <f>(J19*K19)/1000</f>
        <v>9</v>
      </c>
      <c r="Z19" s="2">
        <v>3.4</v>
      </c>
      <c r="AA19" s="2">
        <v>-15.5</v>
      </c>
      <c r="AB19" s="2">
        <v>1.0999999999999943</v>
      </c>
      <c r="AC19" s="2">
        <v>34</v>
      </c>
      <c r="AD19" s="2">
        <v>11</v>
      </c>
      <c r="AE19" s="2">
        <v>76</v>
      </c>
      <c r="AF19" s="2">
        <f>44.6/64.1</f>
        <v>0.69578783151326062</v>
      </c>
      <c r="AG19" s="2">
        <f>13.9/9.3</f>
        <v>1.4946236559139785</v>
      </c>
      <c r="AH19" s="2">
        <v>520</v>
      </c>
      <c r="AI19" s="2">
        <v>21.8</v>
      </c>
      <c r="AJ19" s="2">
        <f>1/0.007</f>
        <v>142.85714285714286</v>
      </c>
      <c r="AK19" s="2">
        <f>1/0.01195</f>
        <v>83.682008368200826</v>
      </c>
      <c r="AL19" s="2">
        <f t="shared" si="2"/>
        <v>0.58577405857740572</v>
      </c>
      <c r="AM19" s="2" t="s">
        <v>71</v>
      </c>
      <c r="AN19" s="2" t="s">
        <v>8</v>
      </c>
      <c r="AO19" s="2" t="s">
        <v>9</v>
      </c>
      <c r="AP19" s="2">
        <v>4</v>
      </c>
      <c r="AQ19" s="2">
        <v>11</v>
      </c>
      <c r="AR19" s="6" t="s">
        <v>99</v>
      </c>
    </row>
    <row r="20" spans="1:44" x14ac:dyDescent="0.3">
      <c r="A20" s="2" t="s">
        <v>28</v>
      </c>
      <c r="B20" s="2" t="s">
        <v>100</v>
      </c>
      <c r="C20" s="2" t="s">
        <v>20</v>
      </c>
      <c r="D20" s="2" t="s">
        <v>18</v>
      </c>
      <c r="E20" s="2" t="s">
        <v>21</v>
      </c>
      <c r="F20" s="2" t="s">
        <v>89</v>
      </c>
      <c r="G20" s="2">
        <v>569</v>
      </c>
      <c r="H20" s="2">
        <v>87</v>
      </c>
      <c r="I20" s="2">
        <v>-66</v>
      </c>
      <c r="J20" s="2">
        <v>340</v>
      </c>
      <c r="K20" s="2">
        <v>46</v>
      </c>
      <c r="L20" s="2">
        <v>120</v>
      </c>
      <c r="M20" s="8">
        <v>23.5</v>
      </c>
      <c r="N20" s="2">
        <v>57</v>
      </c>
      <c r="O20" s="2">
        <v>0.94</v>
      </c>
      <c r="P20" s="2">
        <v>42.7</v>
      </c>
      <c r="Q20" s="2">
        <v>-40.4</v>
      </c>
      <c r="R20" s="2">
        <v>0.38919949500000001</v>
      </c>
      <c r="S20" s="2">
        <v>0.935665309</v>
      </c>
      <c r="T20" s="2">
        <v>165.1404114</v>
      </c>
      <c r="U20" s="2">
        <f>T20/N20</f>
        <v>2.8972001999999999</v>
      </c>
      <c r="V20" s="2">
        <v>-61.355312349999998</v>
      </c>
      <c r="W20" s="2">
        <f>V20/N20</f>
        <v>-1.0764089885964911</v>
      </c>
      <c r="X20" s="2">
        <f t="shared" si="0"/>
        <v>-2.6915421839589087</v>
      </c>
      <c r="Y20" s="2">
        <f>(J20*K20)/1000</f>
        <v>15.64</v>
      </c>
      <c r="Z20" s="2">
        <v>4.9000000000000004</v>
      </c>
      <c r="AA20" s="2">
        <v>-13.1</v>
      </c>
      <c r="AB20" s="2">
        <v>0.39999999999999147</v>
      </c>
      <c r="AC20" s="2">
        <v>28</v>
      </c>
      <c r="AD20" s="2">
        <v>12</v>
      </c>
      <c r="AE20" s="2">
        <v>62</v>
      </c>
      <c r="AF20" s="2">
        <f>45.8/61.3</f>
        <v>0.74714518760195758</v>
      </c>
      <c r="AG20" s="2">
        <f>18.4/11.5</f>
        <v>1.5999999999999999</v>
      </c>
      <c r="AH20" s="2">
        <v>480</v>
      </c>
      <c r="AI20" s="2">
        <v>24.6</v>
      </c>
      <c r="AJ20" s="2">
        <f>1/0.0081</f>
        <v>123.4567901234568</v>
      </c>
      <c r="AK20" s="2">
        <f>1/0.0168</f>
        <v>59.523809523809526</v>
      </c>
      <c r="AL20" s="2">
        <f t="shared" si="2"/>
        <v>0.48214285714285715</v>
      </c>
      <c r="AM20" s="2" t="s">
        <v>71</v>
      </c>
      <c r="AN20" s="2" t="s">
        <v>8</v>
      </c>
      <c r="AO20" s="2" t="s">
        <v>9</v>
      </c>
      <c r="AP20" s="2">
        <v>4</v>
      </c>
      <c r="AQ20" s="2">
        <v>12</v>
      </c>
      <c r="AR20" s="6" t="s">
        <v>101</v>
      </c>
    </row>
    <row r="21" spans="1:44" x14ac:dyDescent="0.3">
      <c r="A21" s="2" t="s">
        <v>28</v>
      </c>
      <c r="B21" s="2" t="s">
        <v>102</v>
      </c>
      <c r="C21" s="2" t="s">
        <v>20</v>
      </c>
      <c r="D21" s="2" t="s">
        <v>18</v>
      </c>
      <c r="E21" s="2" t="s">
        <v>21</v>
      </c>
      <c r="F21" s="2" t="s">
        <v>89</v>
      </c>
      <c r="G21" s="6" t="s">
        <v>98</v>
      </c>
      <c r="H21" s="2">
        <v>87</v>
      </c>
      <c r="I21" s="2">
        <v>-71</v>
      </c>
      <c r="J21" s="2">
        <v>260</v>
      </c>
      <c r="K21" s="2">
        <v>24</v>
      </c>
      <c r="L21" s="2">
        <v>120</v>
      </c>
      <c r="M21" s="8">
        <v>20.5</v>
      </c>
      <c r="N21" s="2">
        <v>67</v>
      </c>
      <c r="O21" s="2">
        <v>0.88</v>
      </c>
      <c r="P21" s="2">
        <v>51.7</v>
      </c>
      <c r="Q21" s="2">
        <v>-41.1</v>
      </c>
      <c r="R21" s="2">
        <v>0.37339049600000002</v>
      </c>
      <c r="S21" s="2">
        <v>0.72193801400000002</v>
      </c>
      <c r="T21" s="2">
        <v>199.8169556</v>
      </c>
      <c r="U21" s="2">
        <f>T21/N21</f>
        <v>2.9823426208955226</v>
      </c>
      <c r="V21" s="2">
        <v>-85.470085139999995</v>
      </c>
      <c r="W21" s="2">
        <f>V21/N21</f>
        <v>-1.2756729125373134</v>
      </c>
      <c r="X21" s="2">
        <f t="shared" si="0"/>
        <v>-2.3378583895488094</v>
      </c>
      <c r="Y21" s="2">
        <f>(J21*K21)/1000</f>
        <v>6.24</v>
      </c>
      <c r="Z21" s="2">
        <v>3.3</v>
      </c>
      <c r="AA21" s="2">
        <v>-17.5</v>
      </c>
      <c r="AB21" s="2">
        <v>0.60000000000000853</v>
      </c>
      <c r="AC21" s="2">
        <v>38</v>
      </c>
      <c r="AD21" s="2">
        <v>14</v>
      </c>
      <c r="AE21" s="2">
        <v>82</v>
      </c>
      <c r="AF21" s="2">
        <f>50.9/68.5</f>
        <v>0.74306569343065687</v>
      </c>
      <c r="AG21" s="2">
        <f>13.3/9.3</f>
        <v>1.4301075268817205</v>
      </c>
      <c r="AH21" s="2">
        <v>520</v>
      </c>
      <c r="AI21" s="2">
        <v>20.100000000000001</v>
      </c>
      <c r="AJ21" s="2">
        <f>1/0.0068</f>
        <v>147.05882352941177</v>
      </c>
      <c r="AK21" s="2">
        <f>1/0.011425</f>
        <v>87.527352297592998</v>
      </c>
      <c r="AL21" s="2">
        <f t="shared" si="2"/>
        <v>0.59518599562363239</v>
      </c>
      <c r="AM21" s="2" t="s">
        <v>71</v>
      </c>
      <c r="AN21" s="2" t="s">
        <v>8</v>
      </c>
      <c r="AO21" s="2" t="s">
        <v>9</v>
      </c>
      <c r="AP21" s="2">
        <v>4</v>
      </c>
      <c r="AQ21" s="2">
        <v>14</v>
      </c>
      <c r="AR21" s="6" t="s">
        <v>87</v>
      </c>
    </row>
    <row r="22" spans="1:44" x14ac:dyDescent="0.3">
      <c r="A22" s="2" t="s">
        <v>28</v>
      </c>
      <c r="B22" s="2" t="s">
        <v>103</v>
      </c>
      <c r="C22" s="2" t="s">
        <v>20</v>
      </c>
      <c r="D22" s="2" t="s">
        <v>18</v>
      </c>
      <c r="E22" s="2" t="s">
        <v>21</v>
      </c>
      <c r="F22" s="2" t="s">
        <v>89</v>
      </c>
      <c r="G22" s="6" t="s">
        <v>98</v>
      </c>
      <c r="H22" s="2">
        <v>87</v>
      </c>
      <c r="I22" s="2">
        <v>-70</v>
      </c>
      <c r="J22" s="2">
        <v>320</v>
      </c>
      <c r="K22" s="2">
        <v>29</v>
      </c>
      <c r="L22" s="2">
        <v>80</v>
      </c>
      <c r="M22" s="8">
        <v>47.5</v>
      </c>
      <c r="N22" s="2">
        <v>63.3</v>
      </c>
      <c r="O22" s="2">
        <v>0.73</v>
      </c>
      <c r="P22" s="2">
        <v>31.3</v>
      </c>
      <c r="Q22" s="2">
        <v>-45.9</v>
      </c>
      <c r="R22" s="2">
        <v>0.340069175</v>
      </c>
      <c r="S22" s="2">
        <v>0.61146265300000002</v>
      </c>
      <c r="T22" s="2">
        <v>194.1391907</v>
      </c>
      <c r="U22" s="2">
        <f>T22/N22</f>
        <v>3.0669698372827807</v>
      </c>
      <c r="V22" s="2">
        <v>-95.848594669999997</v>
      </c>
      <c r="W22" s="2">
        <f>V22/N22</f>
        <v>-1.5141958083728277</v>
      </c>
      <c r="X22" s="2">
        <f t="shared" si="0"/>
        <v>-2.0254776960309919</v>
      </c>
      <c r="Y22" s="2">
        <f>(J22*K22)/1000</f>
        <v>9.2799999999999994</v>
      </c>
      <c r="Z22" s="2">
        <v>3</v>
      </c>
      <c r="AA22" s="2">
        <v>-16.100000000000001</v>
      </c>
      <c r="AB22" s="2">
        <v>9.9999999999994316E-2</v>
      </c>
      <c r="AC22" s="2">
        <v>18</v>
      </c>
      <c r="AD22" s="2">
        <v>19</v>
      </c>
      <c r="AE22" s="2">
        <v>66</v>
      </c>
      <c r="AF22" s="2">
        <f>61.6/67.3</f>
        <v>0.9153046062407133</v>
      </c>
      <c r="AG22" s="2">
        <f>15.5/12</f>
        <v>1.2916666666666667</v>
      </c>
      <c r="AH22" s="2" t="s">
        <v>70</v>
      </c>
      <c r="AJ22" s="2">
        <f>1/0.0053</f>
        <v>188.67924528301887</v>
      </c>
      <c r="AK22" s="2">
        <f>1/0.009225</f>
        <v>108.40108401084011</v>
      </c>
      <c r="AL22" s="2">
        <f>AK22/AJ22</f>
        <v>0.57452574525745259</v>
      </c>
      <c r="AM22" s="2" t="s">
        <v>71</v>
      </c>
      <c r="AN22" s="2" t="s">
        <v>8</v>
      </c>
      <c r="AO22" s="2" t="s">
        <v>9</v>
      </c>
      <c r="AP22" s="2">
        <v>4</v>
      </c>
      <c r="AQ22" s="2">
        <v>19</v>
      </c>
      <c r="AR22" s="6" t="s">
        <v>101</v>
      </c>
    </row>
    <row r="23" spans="1:44" x14ac:dyDescent="0.3">
      <c r="A23" s="2" t="s">
        <v>29</v>
      </c>
      <c r="B23" s="2" t="s">
        <v>104</v>
      </c>
      <c r="C23" s="2" t="s">
        <v>20</v>
      </c>
      <c r="D23" s="2" t="s">
        <v>18</v>
      </c>
      <c r="E23" s="2" t="s">
        <v>21</v>
      </c>
      <c r="F23" s="2" t="s">
        <v>105</v>
      </c>
      <c r="G23" s="6">
        <v>0</v>
      </c>
      <c r="H23" s="2">
        <v>74</v>
      </c>
      <c r="I23" s="2">
        <v>-80</v>
      </c>
      <c r="J23" s="2">
        <v>240</v>
      </c>
      <c r="K23" s="2">
        <v>41</v>
      </c>
      <c r="L23" s="2">
        <v>80</v>
      </c>
      <c r="M23" s="8">
        <v>10.199999999999999</v>
      </c>
      <c r="N23" s="2">
        <v>69</v>
      </c>
      <c r="O23" s="2">
        <v>0.71</v>
      </c>
      <c r="P23" s="2">
        <v>45.3</v>
      </c>
      <c r="Q23" s="2">
        <v>-55.6</v>
      </c>
      <c r="R23" s="2">
        <v>0.35099875899999999</v>
      </c>
      <c r="S23" s="2">
        <v>0.61500275100000001</v>
      </c>
      <c r="T23" s="2">
        <v>211.84370419999999</v>
      </c>
      <c r="U23" s="2">
        <f>T23/N23</f>
        <v>3.0701986115942028</v>
      </c>
      <c r="V23" s="2">
        <v>-109.27960969999999</v>
      </c>
      <c r="W23" s="2">
        <f>V23/N23</f>
        <v>-1.5837624594202897</v>
      </c>
      <c r="X23" s="2">
        <f t="shared" si="0"/>
        <v>-1.9385474086296997</v>
      </c>
      <c r="Y23" s="2">
        <f>(J23*K23)/1000</f>
        <v>9.84</v>
      </c>
      <c r="Z23" s="2">
        <v>2.4</v>
      </c>
      <c r="AA23" s="2">
        <v>-13.7</v>
      </c>
      <c r="AB23" s="2">
        <v>0.90000000000000568</v>
      </c>
      <c r="AC23" s="2">
        <v>54</v>
      </c>
      <c r="AD23" s="2">
        <v>0</v>
      </c>
      <c r="AE23" s="2">
        <v>94</v>
      </c>
      <c r="AF23" s="2">
        <f>60.9/69.3</f>
        <v>0.87878787878787878</v>
      </c>
      <c r="AG23" s="2">
        <f>12.7/7.5</f>
        <v>1.6933333333333331</v>
      </c>
      <c r="AH23" s="2" t="s">
        <v>70</v>
      </c>
      <c r="AJ23" s="2">
        <f>1/0.0046</f>
        <v>217.39130434782609</v>
      </c>
      <c r="AK23" s="2">
        <f>1/0.008425</f>
        <v>118.69436201780415</v>
      </c>
      <c r="AL23" s="2">
        <f t="shared" si="2"/>
        <v>0.54599406528189909</v>
      </c>
      <c r="AM23" s="2" t="s">
        <v>66</v>
      </c>
      <c r="AN23" s="2" t="s">
        <v>8</v>
      </c>
      <c r="AO23" s="2" t="s">
        <v>9</v>
      </c>
      <c r="AP23" s="2">
        <v>4</v>
      </c>
      <c r="AQ23" s="2">
        <v>0</v>
      </c>
      <c r="AR23" s="6" t="s">
        <v>67</v>
      </c>
    </row>
    <row r="24" spans="1:44" x14ac:dyDescent="0.3">
      <c r="A24" s="2" t="s">
        <v>30</v>
      </c>
      <c r="B24" s="2" t="s">
        <v>86</v>
      </c>
      <c r="C24" s="2" t="s">
        <v>20</v>
      </c>
      <c r="D24" s="2" t="s">
        <v>18</v>
      </c>
      <c r="E24" s="2" t="s">
        <v>21</v>
      </c>
      <c r="F24" s="2" t="s">
        <v>105</v>
      </c>
      <c r="G24" s="6">
        <v>1</v>
      </c>
      <c r="H24" s="2">
        <v>75</v>
      </c>
      <c r="I24" s="2">
        <v>-70</v>
      </c>
      <c r="J24" s="2">
        <v>210</v>
      </c>
      <c r="K24" s="2">
        <v>35</v>
      </c>
      <c r="L24" s="2">
        <v>80</v>
      </c>
      <c r="M24" s="8">
        <v>25.5</v>
      </c>
      <c r="N24" s="2">
        <v>71.400000000000006</v>
      </c>
      <c r="O24" s="2">
        <v>0.64</v>
      </c>
      <c r="P24" s="2">
        <v>38.799999999999997</v>
      </c>
      <c r="Q24" s="2">
        <v>-52.2</v>
      </c>
      <c r="R24" s="2">
        <v>0.329846472</v>
      </c>
      <c r="S24" s="2">
        <v>0.54599797699999997</v>
      </c>
      <c r="T24" s="2">
        <v>234.59426880000001</v>
      </c>
      <c r="U24" s="2">
        <f>T24/N24</f>
        <v>3.2856340168067226</v>
      </c>
      <c r="V24" s="2">
        <v>-123.24588009999999</v>
      </c>
      <c r="W24" s="2">
        <f>V24/N24</f>
        <v>-1.7261327745098036</v>
      </c>
      <c r="X24" s="2">
        <f t="shared" si="0"/>
        <v>-1.9034654027351947</v>
      </c>
      <c r="Y24" s="2">
        <f>(J24*K24)/1000</f>
        <v>7.35</v>
      </c>
      <c r="Z24" s="2">
        <v>2.5</v>
      </c>
      <c r="AA24" s="2">
        <v>-13.6</v>
      </c>
      <c r="AB24" s="2">
        <v>0.19999999999998863</v>
      </c>
      <c r="AC24" s="2">
        <v>30</v>
      </c>
      <c r="AD24" s="2">
        <v>6</v>
      </c>
      <c r="AE24" s="2">
        <v>90</v>
      </c>
      <c r="AF24" s="2">
        <f>66.8/73.2</f>
        <v>0.91256830601092886</v>
      </c>
      <c r="AG24" s="2">
        <f>11.3/9.5</f>
        <v>1.1894736842105265</v>
      </c>
      <c r="AH24" s="2" t="s">
        <v>70</v>
      </c>
      <c r="AJ24" s="2">
        <f>1/0.0047</f>
        <v>212.7659574468085</v>
      </c>
      <c r="AK24" s="2">
        <f>1/0.007</f>
        <v>142.85714285714286</v>
      </c>
      <c r="AL24" s="2">
        <f t="shared" si="2"/>
        <v>0.67142857142857149</v>
      </c>
      <c r="AM24" s="2" t="s">
        <v>66</v>
      </c>
      <c r="AN24" s="2" t="s">
        <v>8</v>
      </c>
      <c r="AO24" s="2" t="s">
        <v>9</v>
      </c>
      <c r="AP24" s="2">
        <v>4</v>
      </c>
      <c r="AQ24" s="2" t="s">
        <v>106</v>
      </c>
      <c r="AR24" s="6" t="s">
        <v>74</v>
      </c>
    </row>
    <row r="25" spans="1:44" x14ac:dyDescent="0.3">
      <c r="A25" s="2" t="s">
        <v>31</v>
      </c>
      <c r="B25" s="2" t="s">
        <v>107</v>
      </c>
      <c r="C25" s="2" t="s">
        <v>20</v>
      </c>
      <c r="D25" s="2" t="s">
        <v>18</v>
      </c>
      <c r="E25" s="2" t="s">
        <v>21</v>
      </c>
      <c r="F25" s="2" t="s">
        <v>108</v>
      </c>
      <c r="G25" s="6">
        <v>3</v>
      </c>
      <c r="H25" s="2">
        <v>73</v>
      </c>
      <c r="I25" s="2">
        <v>-70</v>
      </c>
      <c r="J25" s="2">
        <v>200</v>
      </c>
      <c r="K25" s="2">
        <v>24</v>
      </c>
      <c r="L25" s="2">
        <v>80</v>
      </c>
      <c r="M25" s="8">
        <v>21.5</v>
      </c>
      <c r="N25" s="2">
        <v>70.7</v>
      </c>
      <c r="O25" s="2">
        <v>0.79</v>
      </c>
      <c r="P25" s="2">
        <v>44.6</v>
      </c>
      <c r="Q25" s="2">
        <v>-49.1</v>
      </c>
      <c r="R25" s="2">
        <v>0.34896376729011502</v>
      </c>
      <c r="S25" s="2">
        <v>0.690060615539551</v>
      </c>
      <c r="T25" s="2">
        <v>238.5601044</v>
      </c>
      <c r="U25" s="2">
        <f>T25/N25</f>
        <v>3.374258902404526</v>
      </c>
      <c r="V25" s="2">
        <v>-100.1221008</v>
      </c>
      <c r="W25" s="2">
        <f>V25/N25</f>
        <v>-1.4161541838755303</v>
      </c>
      <c r="X25" s="2">
        <f t="shared" si="0"/>
        <v>-2.3826917583015796</v>
      </c>
      <c r="Y25" s="2">
        <f>(J25*K25)/1000</f>
        <v>4.8</v>
      </c>
      <c r="Z25" s="2">
        <v>3.1</v>
      </c>
      <c r="AA25" s="2">
        <v>-17.5</v>
      </c>
      <c r="AB25" s="2">
        <v>0.70000000000000284</v>
      </c>
      <c r="AC25" s="2">
        <v>32</v>
      </c>
      <c r="AD25" s="2">
        <v>25</v>
      </c>
      <c r="AE25" s="2">
        <v>74</v>
      </c>
      <c r="AF25" s="2">
        <f>61.6/71.8</f>
        <v>0.85793871866295268</v>
      </c>
      <c r="AG25" s="2">
        <f>14/10.7</f>
        <v>1.3084112149532712</v>
      </c>
      <c r="AH25" s="2">
        <v>600</v>
      </c>
      <c r="AI25" s="2">
        <v>32.6</v>
      </c>
      <c r="AJ25" s="2">
        <f>1/0.0059</f>
        <v>169.49152542372883</v>
      </c>
      <c r="AK25" s="2">
        <f>1/0.00975</f>
        <v>102.56410256410257</v>
      </c>
      <c r="AL25" s="2">
        <f t="shared" si="2"/>
        <v>0.60512820512820509</v>
      </c>
      <c r="AM25" s="2" t="s">
        <v>71</v>
      </c>
      <c r="AN25" s="2" t="s">
        <v>8</v>
      </c>
      <c r="AO25" s="2" t="s">
        <v>9</v>
      </c>
      <c r="AP25" s="2">
        <v>4</v>
      </c>
      <c r="AQ25" s="2">
        <v>25</v>
      </c>
      <c r="AR25" s="6" t="s">
        <v>67</v>
      </c>
    </row>
    <row r="26" spans="1:44" x14ac:dyDescent="0.3">
      <c r="A26" s="2" t="s">
        <v>10</v>
      </c>
      <c r="B26" s="2" t="s">
        <v>109</v>
      </c>
      <c r="C26" s="2" t="s">
        <v>111</v>
      </c>
      <c r="D26" s="2" t="s">
        <v>18</v>
      </c>
      <c r="E26" s="2" t="s">
        <v>21</v>
      </c>
      <c r="F26" s="2" t="s">
        <v>110</v>
      </c>
      <c r="G26" s="2">
        <v>1204</v>
      </c>
      <c r="H26" s="2">
        <v>87</v>
      </c>
      <c r="I26" s="2">
        <v>-70</v>
      </c>
      <c r="J26" s="2">
        <v>160</v>
      </c>
      <c r="K26" s="2">
        <v>33</v>
      </c>
      <c r="L26" s="2">
        <v>80</v>
      </c>
      <c r="M26" s="8">
        <v>27.3</v>
      </c>
      <c r="N26" s="2">
        <v>60.8</v>
      </c>
      <c r="O26" s="2">
        <v>1.17</v>
      </c>
      <c r="P26" s="2">
        <v>58.1</v>
      </c>
      <c r="Q26" s="2">
        <v>-52.9</v>
      </c>
      <c r="R26" s="2">
        <v>0.43803220999999998</v>
      </c>
      <c r="S26" s="2">
        <v>1.0642417669999999</v>
      </c>
      <c r="T26" s="2">
        <v>147.74114990000001</v>
      </c>
      <c r="U26" s="2">
        <f>T26/N26</f>
        <v>2.4299531233552636</v>
      </c>
      <c r="V26" s="2">
        <v>-51.282051090000003</v>
      </c>
      <c r="W26" s="2">
        <f>V26/N26</f>
        <v>-0.84345478766447379</v>
      </c>
      <c r="X26" s="2">
        <v>-2.880952433839167</v>
      </c>
      <c r="Y26" s="2">
        <f>(J26*K26)/1000</f>
        <v>5.28</v>
      </c>
      <c r="Z26" s="2">
        <v>5</v>
      </c>
      <c r="AA26" s="2">
        <v>-12.4</v>
      </c>
      <c r="AB26" s="2">
        <v>0.76</v>
      </c>
      <c r="AC26" s="2">
        <v>2</v>
      </c>
      <c r="AD26" s="2">
        <v>1</v>
      </c>
      <c r="AE26" s="2">
        <v>50</v>
      </c>
      <c r="AF26" s="2">
        <v>0.76605504587155959</v>
      </c>
      <c r="AG26" s="2">
        <v>1.3043478260869565</v>
      </c>
      <c r="AN26" s="2" t="s">
        <v>8</v>
      </c>
      <c r="AO26" s="2" t="s">
        <v>9</v>
      </c>
      <c r="AP26" s="2">
        <v>4</v>
      </c>
      <c r="AQ26" s="2">
        <v>1</v>
      </c>
      <c r="AR26" s="6" t="s">
        <v>112</v>
      </c>
    </row>
    <row r="27" spans="1:44" x14ac:dyDescent="0.3">
      <c r="A27" s="2" t="s">
        <v>11</v>
      </c>
      <c r="B27" s="2" t="s">
        <v>113</v>
      </c>
      <c r="C27" s="2" t="s">
        <v>111</v>
      </c>
      <c r="D27" s="2" t="s">
        <v>18</v>
      </c>
      <c r="E27" s="2" t="s">
        <v>21</v>
      </c>
      <c r="F27" s="2" t="s">
        <v>114</v>
      </c>
      <c r="G27" s="2">
        <v>4</v>
      </c>
      <c r="H27" s="2">
        <v>66</v>
      </c>
      <c r="I27" s="2">
        <v>-70</v>
      </c>
      <c r="J27" s="2">
        <v>350</v>
      </c>
      <c r="K27" s="2">
        <v>25</v>
      </c>
      <c r="L27" s="2">
        <v>120</v>
      </c>
      <c r="M27" s="8">
        <v>21.5</v>
      </c>
      <c r="N27" s="2">
        <v>69.400000000000006</v>
      </c>
      <c r="O27" s="2">
        <v>1.21</v>
      </c>
      <c r="P27" s="2">
        <v>67.099999999999994</v>
      </c>
      <c r="Q27" s="2">
        <v>-47.2</v>
      </c>
      <c r="R27" s="2">
        <v>0.52198159700000002</v>
      </c>
      <c r="S27" s="2">
        <v>1.0574719909999999</v>
      </c>
      <c r="T27" s="2">
        <v>156.59339900000001</v>
      </c>
      <c r="U27" s="2">
        <f>T27/N27</f>
        <v>2.2563890345821322</v>
      </c>
      <c r="V27" s="2">
        <v>-61.355312349999998</v>
      </c>
      <c r="W27" s="2">
        <f>V27/N27</f>
        <v>-0.88408231051873187</v>
      </c>
      <c r="X27" s="2">
        <v>-2.5522386408322149</v>
      </c>
      <c r="Y27" s="2">
        <f>(J27*K27)/1000</f>
        <v>8.75</v>
      </c>
      <c r="Z27" s="2">
        <v>4.5</v>
      </c>
      <c r="AA27" s="2">
        <v>-15.9</v>
      </c>
      <c r="AB27" s="2">
        <v>0.76</v>
      </c>
      <c r="AC27" s="2">
        <v>32</v>
      </c>
      <c r="AD27" s="2">
        <v>3</v>
      </c>
      <c r="AE27" s="2">
        <v>66</v>
      </c>
      <c r="AF27" s="2">
        <v>0.8036723163841808</v>
      </c>
      <c r="AG27" s="2">
        <v>1.4122807017543861</v>
      </c>
      <c r="AH27" s="2" t="s">
        <v>70</v>
      </c>
      <c r="AJ27" s="2">
        <v>128.2051282051282</v>
      </c>
      <c r="AK27" s="2">
        <v>73.152889539136794</v>
      </c>
      <c r="AL27" s="2">
        <v>1.7525641025641026</v>
      </c>
      <c r="AM27" s="2" t="s">
        <v>115</v>
      </c>
      <c r="AN27" s="2" t="s">
        <v>8</v>
      </c>
      <c r="AO27" s="2" t="s">
        <v>9</v>
      </c>
      <c r="AP27" s="2">
        <v>4</v>
      </c>
      <c r="AQ27" s="2">
        <v>3</v>
      </c>
      <c r="AR27" s="6" t="s">
        <v>116</v>
      </c>
    </row>
    <row r="28" spans="1:44" x14ac:dyDescent="0.3">
      <c r="A28" s="2" t="s">
        <v>11</v>
      </c>
      <c r="B28" s="2" t="s">
        <v>117</v>
      </c>
      <c r="C28" s="2" t="s">
        <v>111</v>
      </c>
      <c r="D28" s="2" t="s">
        <v>18</v>
      </c>
      <c r="E28" s="2" t="s">
        <v>21</v>
      </c>
      <c r="F28" s="2" t="s">
        <v>114</v>
      </c>
      <c r="G28" s="2">
        <v>4</v>
      </c>
      <c r="H28" s="2">
        <v>66</v>
      </c>
      <c r="I28" s="2">
        <v>-63</v>
      </c>
      <c r="J28" s="2">
        <v>280</v>
      </c>
      <c r="K28" s="2">
        <v>20</v>
      </c>
      <c r="L28" s="2">
        <v>120</v>
      </c>
      <c r="M28" s="8">
        <v>22.4</v>
      </c>
      <c r="N28" s="2">
        <v>72.3</v>
      </c>
      <c r="O28" s="2">
        <v>1.62</v>
      </c>
      <c r="P28" s="2">
        <v>100.4</v>
      </c>
      <c r="Q28" s="2">
        <v>-44.1</v>
      </c>
      <c r="R28" s="2">
        <v>0.60425609400000002</v>
      </c>
      <c r="S28" s="2">
        <v>1.550137162</v>
      </c>
      <c r="T28" s="2">
        <v>132.17338559999999</v>
      </c>
      <c r="U28" s="2">
        <f>T28/N28</f>
        <v>1.8281242821576762</v>
      </c>
      <c r="V28" s="2">
        <v>-43.650794980000001</v>
      </c>
      <c r="W28" s="2">
        <f>V28/N28</f>
        <v>-0.60374543540802217</v>
      </c>
      <c r="X28" s="2">
        <v>-3.0279720142682263</v>
      </c>
      <c r="Y28" s="2">
        <f>(J28*K28)/1000</f>
        <v>5.6</v>
      </c>
      <c r="Z28" s="2">
        <v>5.8</v>
      </c>
      <c r="AA28" s="2">
        <v>-15.8</v>
      </c>
      <c r="AB28" s="2">
        <v>0.85</v>
      </c>
      <c r="AC28" s="2">
        <v>28</v>
      </c>
      <c r="AD28" s="2">
        <v>5</v>
      </c>
      <c r="AE28" s="2">
        <v>56</v>
      </c>
      <c r="AF28" s="2">
        <v>0.74965034965034971</v>
      </c>
      <c r="AG28" s="2">
        <v>1.5725190839694658</v>
      </c>
      <c r="AN28" s="2" t="s">
        <v>8</v>
      </c>
      <c r="AO28" s="2" t="s">
        <v>9</v>
      </c>
      <c r="AP28" s="2">
        <v>4</v>
      </c>
      <c r="AQ28" s="2">
        <v>5</v>
      </c>
      <c r="AR28" s="6" t="s">
        <v>82</v>
      </c>
    </row>
    <row r="29" spans="1:44" x14ac:dyDescent="0.3">
      <c r="A29" s="2" t="s">
        <v>12</v>
      </c>
      <c r="B29" s="2" t="s">
        <v>118</v>
      </c>
      <c r="C29" s="2" t="s">
        <v>111</v>
      </c>
      <c r="D29" s="2" t="s">
        <v>18</v>
      </c>
      <c r="E29" s="2" t="s">
        <v>21</v>
      </c>
      <c r="F29" s="2" t="s">
        <v>119</v>
      </c>
      <c r="G29" s="2">
        <v>2</v>
      </c>
      <c r="H29" s="2">
        <v>66</v>
      </c>
      <c r="I29" s="2">
        <v>-68</v>
      </c>
      <c r="J29" s="2">
        <v>480</v>
      </c>
      <c r="K29" s="2">
        <v>30</v>
      </c>
      <c r="L29" s="2">
        <v>80</v>
      </c>
      <c r="M29" s="8">
        <v>34.299999999999997</v>
      </c>
      <c r="N29" s="2">
        <v>67.7</v>
      </c>
      <c r="O29" s="2">
        <v>1.32</v>
      </c>
      <c r="P29" s="2">
        <v>66.3</v>
      </c>
      <c r="Q29" s="2">
        <v>-43.4</v>
      </c>
      <c r="R29" s="2">
        <v>0.60296267299999995</v>
      </c>
      <c r="S29" s="2">
        <v>1.12712872</v>
      </c>
      <c r="T29" s="2">
        <v>132.17338559999999</v>
      </c>
      <c r="U29" s="2">
        <f>T29/N29</f>
        <v>1.9523395214180204</v>
      </c>
      <c r="V29" s="2">
        <v>-56.166057590000001</v>
      </c>
      <c r="W29" s="2">
        <f>V29/N29</f>
        <v>-0.82963157444608571</v>
      </c>
      <c r="X29" s="2">
        <f t="shared" ref="X29:X34" si="3">T29/V29</f>
        <v>-2.3532608709131222</v>
      </c>
      <c r="Y29" s="2">
        <f>(J29*K29)/1000</f>
        <v>14.4</v>
      </c>
      <c r="Z29" s="2">
        <v>5</v>
      </c>
      <c r="AA29" s="2">
        <v>-18.7</v>
      </c>
      <c r="AB29" s="2">
        <v>0.52</v>
      </c>
      <c r="AC29" s="2">
        <v>24</v>
      </c>
      <c r="AD29" s="2">
        <v>2</v>
      </c>
      <c r="AE29" s="2">
        <v>54</v>
      </c>
      <c r="AF29" s="2">
        <f>54.1/69.2</f>
        <v>0.78179190751445082</v>
      </c>
      <c r="AG29" s="2">
        <f>20/15.3</f>
        <v>1.3071895424836601</v>
      </c>
      <c r="AH29" s="2">
        <v>440</v>
      </c>
      <c r="AI29" s="2">
        <v>-19</v>
      </c>
      <c r="AJ29" s="2">
        <f>1/0.0104</f>
        <v>96.15384615384616</v>
      </c>
      <c r="AK29" s="2">
        <f>1/0.0172</f>
        <v>58.139534883720927</v>
      </c>
      <c r="AL29" s="2">
        <f>AJ29/AK29</f>
        <v>1.653846153846154</v>
      </c>
      <c r="AM29" s="2" t="s">
        <v>120</v>
      </c>
      <c r="AN29" s="2" t="s">
        <v>8</v>
      </c>
      <c r="AO29" s="2" t="s">
        <v>9</v>
      </c>
      <c r="AP29" s="2">
        <v>4</v>
      </c>
      <c r="AR29" s="6">
        <v>2</v>
      </c>
    </row>
    <row r="30" spans="1:44" x14ac:dyDescent="0.3">
      <c r="A30" s="2" t="s">
        <v>12</v>
      </c>
      <c r="B30" s="2" t="s">
        <v>121</v>
      </c>
      <c r="C30" s="2" t="s">
        <v>111</v>
      </c>
      <c r="D30" s="2" t="s">
        <v>18</v>
      </c>
      <c r="E30" s="2" t="s">
        <v>21</v>
      </c>
      <c r="F30" s="2" t="s">
        <v>119</v>
      </c>
      <c r="G30" s="2">
        <v>2</v>
      </c>
      <c r="H30" s="2">
        <v>66</v>
      </c>
      <c r="I30" s="2">
        <v>-66</v>
      </c>
      <c r="J30" s="2">
        <v>190</v>
      </c>
      <c r="K30" s="2">
        <v>22</v>
      </c>
      <c r="L30" s="2">
        <v>160</v>
      </c>
      <c r="M30" s="8">
        <v>56.5</v>
      </c>
      <c r="N30" s="2">
        <v>74.099999999999994</v>
      </c>
      <c r="O30" s="2">
        <v>0.85</v>
      </c>
      <c r="P30" s="2">
        <v>53</v>
      </c>
      <c r="Q30" s="2">
        <v>-39.299999999999997</v>
      </c>
      <c r="R30" s="2">
        <v>0.37370440399999999</v>
      </c>
      <c r="S30" s="2">
        <v>0.75138896700000002</v>
      </c>
      <c r="T30" s="2">
        <v>215.9853516</v>
      </c>
      <c r="U30" s="2">
        <f>T30/N30</f>
        <v>2.9147820728744942</v>
      </c>
      <c r="V30" s="2">
        <v>-93.654670719999999</v>
      </c>
      <c r="W30" s="2">
        <f>V30/N30</f>
        <v>-1.2638956912280703</v>
      </c>
      <c r="X30" s="2">
        <f t="shared" si="3"/>
        <v>-2.3061887884452967</v>
      </c>
      <c r="Y30" s="2">
        <f>(J30*K30)/1000</f>
        <v>4.18</v>
      </c>
      <c r="Z30" s="2">
        <v>3</v>
      </c>
      <c r="AA30" s="2">
        <v>-15.9</v>
      </c>
      <c r="AB30" s="2">
        <v>1.1000000000000001</v>
      </c>
      <c r="AC30" s="2">
        <v>6</v>
      </c>
      <c r="AD30" s="2">
        <v>3</v>
      </c>
      <c r="AE30" s="2">
        <v>70</v>
      </c>
      <c r="AF30" s="2">
        <f>63/73</f>
        <v>0.86301369863013699</v>
      </c>
      <c r="AG30" s="2">
        <f>15.1/9.5</f>
        <v>1.5894736842105264</v>
      </c>
      <c r="AH30" s="2" t="s">
        <v>70</v>
      </c>
      <c r="AJ30" s="2">
        <f>1/0.0064</f>
        <v>156.25</v>
      </c>
      <c r="AK30" s="2">
        <f>1/0.0116</f>
        <v>86.206896551724142</v>
      </c>
      <c r="AL30" s="2">
        <f>AJ30/AK30</f>
        <v>1.8125</v>
      </c>
      <c r="AM30" s="2" t="s">
        <v>115</v>
      </c>
      <c r="AN30" s="2" t="s">
        <v>8</v>
      </c>
      <c r="AO30" s="2" t="s">
        <v>9</v>
      </c>
      <c r="AP30" s="2">
        <v>4</v>
      </c>
      <c r="AR30" s="6">
        <v>3</v>
      </c>
    </row>
    <row r="31" spans="1:44" x14ac:dyDescent="0.3">
      <c r="A31" s="2" t="s">
        <v>13</v>
      </c>
      <c r="B31" s="2" t="s">
        <v>122</v>
      </c>
      <c r="C31" s="2" t="s">
        <v>111</v>
      </c>
      <c r="D31" s="2" t="s">
        <v>18</v>
      </c>
      <c r="E31" s="2" t="s">
        <v>21</v>
      </c>
      <c r="F31" s="2" t="s">
        <v>123</v>
      </c>
      <c r="G31" s="2">
        <v>8</v>
      </c>
      <c r="H31" s="2">
        <v>72</v>
      </c>
      <c r="I31" s="2">
        <v>-63</v>
      </c>
      <c r="J31" s="2">
        <v>250</v>
      </c>
      <c r="K31" s="2">
        <v>23</v>
      </c>
      <c r="L31" s="2">
        <v>200</v>
      </c>
      <c r="M31" s="8">
        <v>6.3</v>
      </c>
      <c r="N31" s="2">
        <v>52.9</v>
      </c>
      <c r="O31" s="2">
        <v>0.84</v>
      </c>
      <c r="P31" s="2">
        <v>43.1</v>
      </c>
      <c r="Q31" s="2">
        <v>-54.2</v>
      </c>
      <c r="R31" s="2">
        <v>0.39488977199999997</v>
      </c>
      <c r="S31" s="2">
        <v>0.81531685600000003</v>
      </c>
      <c r="T31" s="2">
        <v>161.78266909999999</v>
      </c>
      <c r="U31" s="2">
        <f>T31/N31</f>
        <v>3.058273517958412</v>
      </c>
      <c r="V31" s="2">
        <v>-68.681320189999994</v>
      </c>
      <c r="W31" s="2">
        <f>V31/N31</f>
        <v>-1.2983236330812853</v>
      </c>
      <c r="X31" s="2">
        <f t="shared" si="3"/>
        <v>-2.3555556103529232</v>
      </c>
      <c r="Y31" s="2">
        <f>(J31*K31)/1000</f>
        <v>5.75</v>
      </c>
      <c r="Z31" s="2">
        <v>3</v>
      </c>
      <c r="AA31" s="2">
        <v>-8.1</v>
      </c>
      <c r="AB31" s="2">
        <v>0.52</v>
      </c>
      <c r="AC31" s="2">
        <v>82</v>
      </c>
      <c r="AD31" s="2">
        <v>2</v>
      </c>
      <c r="AE31" s="2">
        <v>136</v>
      </c>
      <c r="AF31" s="2">
        <f>36.1/54</f>
        <v>0.66851851851851851</v>
      </c>
      <c r="AG31" s="2">
        <f>7.8/5.9</f>
        <v>1.3220338983050846</v>
      </c>
      <c r="AJ31" s="2">
        <f>1/0.0056</f>
        <v>178.57142857142858</v>
      </c>
      <c r="AK31" s="2">
        <f>1/0.0077</f>
        <v>129.87012987012986</v>
      </c>
      <c r="AL31" s="2">
        <f>AJ31/AK31</f>
        <v>1.3750000000000002</v>
      </c>
      <c r="AN31" s="2" t="s">
        <v>8</v>
      </c>
      <c r="AO31" s="2" t="s">
        <v>9</v>
      </c>
      <c r="AP31" s="2">
        <v>4</v>
      </c>
      <c r="AR31" s="6">
        <v>2</v>
      </c>
    </row>
    <row r="32" spans="1:44" x14ac:dyDescent="0.3">
      <c r="A32" s="2" t="s">
        <v>13</v>
      </c>
      <c r="B32" s="2" t="s">
        <v>124</v>
      </c>
      <c r="C32" s="2" t="s">
        <v>111</v>
      </c>
      <c r="D32" s="2" t="s">
        <v>18</v>
      </c>
      <c r="E32" s="2" t="s">
        <v>21</v>
      </c>
      <c r="F32" s="2" t="s">
        <v>123</v>
      </c>
      <c r="G32" s="2">
        <v>8</v>
      </c>
      <c r="H32" s="2">
        <v>72</v>
      </c>
      <c r="I32" s="2">
        <v>-70</v>
      </c>
      <c r="J32" s="2">
        <v>170</v>
      </c>
      <c r="K32" s="2">
        <v>37</v>
      </c>
      <c r="L32" s="2">
        <v>200</v>
      </c>
      <c r="M32" s="8">
        <v>96.9</v>
      </c>
      <c r="N32" s="2">
        <v>59.5</v>
      </c>
      <c r="O32" s="2">
        <v>0.69</v>
      </c>
      <c r="P32" s="2">
        <v>31.2</v>
      </c>
      <c r="Q32" s="2">
        <v>-41.9</v>
      </c>
      <c r="R32" s="2">
        <v>0.32736971999999998</v>
      </c>
      <c r="S32" s="2">
        <v>0.59151506399999998</v>
      </c>
      <c r="T32" s="2">
        <v>189.86569209999999</v>
      </c>
      <c r="U32" s="2">
        <f>T32/N32</f>
        <v>3.1910200352941174</v>
      </c>
      <c r="V32" s="2">
        <v>-99.206352229999993</v>
      </c>
      <c r="W32" s="2">
        <f>V32/N32</f>
        <v>-1.6673336509243697</v>
      </c>
      <c r="X32" s="2">
        <f t="shared" si="3"/>
        <v>-1.9138461180370325</v>
      </c>
      <c r="Y32" s="2">
        <f>(J32*K32)/1000</f>
        <v>6.29</v>
      </c>
      <c r="Z32" s="2">
        <v>2.8</v>
      </c>
      <c r="AA32" s="2">
        <v>-13.4</v>
      </c>
      <c r="AB32" s="2">
        <v>0.67</v>
      </c>
      <c r="AC32" s="2">
        <v>6</v>
      </c>
      <c r="AD32" s="2">
        <v>4</v>
      </c>
      <c r="AE32" s="2">
        <v>74</v>
      </c>
      <c r="AF32" s="2">
        <f>55.6/60.2</f>
        <v>0.92358803986710958</v>
      </c>
      <c r="AG32" s="2">
        <f>11.6/11.6</f>
        <v>1</v>
      </c>
      <c r="AH32" s="2" t="s">
        <v>70</v>
      </c>
      <c r="AJ32" s="2">
        <f>1/0.0069</f>
        <v>144.92753623188406</v>
      </c>
      <c r="AK32" s="2">
        <f>1/0.009966</f>
        <v>100.34115994380896</v>
      </c>
      <c r="AL32" s="2">
        <f>AJ32/AK32</f>
        <v>1.4443478260869564</v>
      </c>
      <c r="AM32" s="2" t="s">
        <v>115</v>
      </c>
      <c r="AN32" s="2" t="s">
        <v>8</v>
      </c>
      <c r="AO32" s="2" t="s">
        <v>9</v>
      </c>
      <c r="AP32" s="2">
        <v>4</v>
      </c>
      <c r="AR32" s="6">
        <v>4</v>
      </c>
    </row>
    <row r="33" spans="1:48" x14ac:dyDescent="0.3">
      <c r="A33" s="2" t="s">
        <v>13</v>
      </c>
      <c r="B33" s="2" t="s">
        <v>125</v>
      </c>
      <c r="C33" s="2" t="s">
        <v>111</v>
      </c>
      <c r="D33" s="2" t="s">
        <v>18</v>
      </c>
      <c r="E33" s="2" t="s">
        <v>21</v>
      </c>
      <c r="F33" s="2" t="s">
        <v>123</v>
      </c>
      <c r="G33" s="2">
        <v>8</v>
      </c>
      <c r="H33" s="2">
        <v>69</v>
      </c>
      <c r="I33" s="2">
        <v>-65</v>
      </c>
      <c r="J33" s="2">
        <v>400</v>
      </c>
      <c r="K33" s="2">
        <v>20</v>
      </c>
      <c r="L33" s="2">
        <v>120</v>
      </c>
      <c r="M33" s="8">
        <v>108</v>
      </c>
      <c r="N33" s="2">
        <v>57.6</v>
      </c>
      <c r="O33" s="2">
        <v>0.91</v>
      </c>
      <c r="P33" s="2">
        <v>28</v>
      </c>
      <c r="Q33" s="2">
        <v>-34.6</v>
      </c>
      <c r="R33" s="2">
        <v>0.42776051199999998</v>
      </c>
      <c r="S33" s="2">
        <v>0.74859726400000004</v>
      </c>
      <c r="T33" s="2">
        <v>143.1623993</v>
      </c>
      <c r="U33" s="2">
        <f>T33/N33</f>
        <v>2.4854583211805554</v>
      </c>
      <c r="V33" s="2">
        <v>-73.565322879999997</v>
      </c>
      <c r="W33" s="2">
        <f>V33/N33</f>
        <v>-1.2771757444444443</v>
      </c>
      <c r="X33" s="2">
        <f t="shared" si="3"/>
        <v>-1.9460581928462</v>
      </c>
      <c r="Y33" s="2">
        <f>(J33*K33)/1000</f>
        <v>8</v>
      </c>
      <c r="Z33" s="2">
        <v>3.9</v>
      </c>
      <c r="AA33" s="2">
        <v>-17.600000000000001</v>
      </c>
      <c r="AB33" s="2">
        <v>1.5</v>
      </c>
      <c r="AC33" s="2">
        <v>28</v>
      </c>
      <c r="AD33" s="2">
        <v>11</v>
      </c>
      <c r="AE33" s="2">
        <v>84</v>
      </c>
      <c r="AF33" s="2">
        <f>48.5/58.5</f>
        <v>0.82905982905982911</v>
      </c>
      <c r="AG33" s="2">
        <f>11.9/11.6</f>
        <v>1.0258620689655173</v>
      </c>
      <c r="AN33" s="2" t="s">
        <v>8</v>
      </c>
      <c r="AO33" s="2" t="s">
        <v>9</v>
      </c>
      <c r="AP33" s="2">
        <v>4</v>
      </c>
      <c r="AR33" s="6">
        <v>11</v>
      </c>
    </row>
    <row r="34" spans="1:48" x14ac:dyDescent="0.3">
      <c r="A34" s="2" t="s">
        <v>13</v>
      </c>
      <c r="B34" s="2" t="s">
        <v>126</v>
      </c>
      <c r="C34" s="2" t="s">
        <v>111</v>
      </c>
      <c r="D34" s="2" t="s">
        <v>18</v>
      </c>
      <c r="E34" s="2" t="s">
        <v>21</v>
      </c>
      <c r="F34" s="2" t="s">
        <v>123</v>
      </c>
      <c r="G34" s="2">
        <v>8</v>
      </c>
      <c r="H34" s="2">
        <v>69</v>
      </c>
      <c r="I34" s="2">
        <v>-66</v>
      </c>
      <c r="J34" s="2">
        <v>250</v>
      </c>
      <c r="K34" s="2">
        <v>31</v>
      </c>
      <c r="L34" s="2">
        <v>200</v>
      </c>
      <c r="M34" s="8">
        <v>38.5</v>
      </c>
      <c r="N34" s="2">
        <v>56.2</v>
      </c>
      <c r="O34" s="2">
        <v>0.84</v>
      </c>
      <c r="P34" s="2">
        <v>16.600000000000001</v>
      </c>
      <c r="Q34" s="2">
        <v>-29.2</v>
      </c>
      <c r="R34" s="2">
        <v>0.36528188</v>
      </c>
      <c r="S34" s="2">
        <v>0.70084285700000004</v>
      </c>
      <c r="T34" s="2">
        <v>172.77166750000001</v>
      </c>
      <c r="U34" s="2">
        <f>T34/N34</f>
        <v>3.0742289590747331</v>
      </c>
      <c r="V34" s="2">
        <v>-73.260070799999994</v>
      </c>
      <c r="W34" s="2">
        <f>V34/N34</f>
        <v>-1.3035599786476866</v>
      </c>
      <c r="X34" s="2">
        <f t="shared" si="3"/>
        <v>-2.3583333405678339</v>
      </c>
      <c r="Y34" s="2">
        <f>(J34*K34)/1000</f>
        <v>7.75</v>
      </c>
      <c r="Z34" s="2">
        <v>4.2</v>
      </c>
      <c r="AA34" s="2">
        <v>-17.899999999999999</v>
      </c>
      <c r="AB34" s="2">
        <v>1.71</v>
      </c>
      <c r="AC34" s="2">
        <v>28</v>
      </c>
      <c r="AD34" s="2">
        <v>13</v>
      </c>
      <c r="AE34" s="2">
        <v>100</v>
      </c>
      <c r="AF34" s="2">
        <f>42.4/60.2</f>
        <v>0.70431893687707636</v>
      </c>
      <c r="AG34" s="2">
        <f>10.7/7.8</f>
        <v>1.3717948717948718</v>
      </c>
      <c r="AH34" s="2" t="s">
        <v>70</v>
      </c>
      <c r="AJ34" s="2">
        <f>1/0.0065</f>
        <v>153.84615384615384</v>
      </c>
      <c r="AK34" s="2">
        <f>1/0.010075</f>
        <v>99.25558312655086</v>
      </c>
      <c r="AL34" s="2">
        <f>AJ34/AK34</f>
        <v>1.55</v>
      </c>
      <c r="AM34" s="2" t="s">
        <v>115</v>
      </c>
      <c r="AN34" s="2" t="s">
        <v>8</v>
      </c>
      <c r="AO34" s="2" t="s">
        <v>9</v>
      </c>
      <c r="AP34" s="2">
        <v>4</v>
      </c>
      <c r="AR34" s="6">
        <v>13</v>
      </c>
    </row>
    <row r="35" spans="1:48" s="3" customFormat="1" x14ac:dyDescent="0.3">
      <c r="A35" s="3" t="s">
        <v>127</v>
      </c>
      <c r="B35" s="3" t="s">
        <v>128</v>
      </c>
      <c r="C35" s="3" t="s">
        <v>20</v>
      </c>
      <c r="D35" s="3" t="s">
        <v>14</v>
      </c>
      <c r="E35" s="3" t="s">
        <v>21</v>
      </c>
      <c r="F35" s="3" t="s">
        <v>129</v>
      </c>
      <c r="G35" s="3">
        <v>1</v>
      </c>
      <c r="H35" s="3">
        <v>71</v>
      </c>
      <c r="I35" s="3">
        <v>-71</v>
      </c>
      <c r="J35" s="3">
        <v>180</v>
      </c>
      <c r="K35" s="3">
        <v>38</v>
      </c>
      <c r="L35" s="3">
        <v>180</v>
      </c>
      <c r="M35" s="12">
        <v>19.100000000000001</v>
      </c>
      <c r="N35" s="3">
        <v>47.5</v>
      </c>
      <c r="O35" s="3">
        <v>0.34</v>
      </c>
      <c r="P35" s="3">
        <v>2.2200000000000002</v>
      </c>
      <c r="Q35" s="3">
        <v>-30.23</v>
      </c>
      <c r="R35" s="3">
        <v>0.22264185547828699</v>
      </c>
      <c r="S35" s="3">
        <v>0.259089976549149</v>
      </c>
      <c r="T35" s="3">
        <v>270.38986210000002</v>
      </c>
      <c r="U35" s="3">
        <f>T35/N35</f>
        <v>5.692418149473685</v>
      </c>
      <c r="V35" s="3">
        <v>-180.05645749999999</v>
      </c>
      <c r="W35" s="3">
        <f>V35/N35</f>
        <v>-3.7906622631578948</v>
      </c>
      <c r="X35" s="3">
        <f t="shared" si="0"/>
        <v>-1.5016948897820008</v>
      </c>
      <c r="Y35" s="3">
        <f>(J35*K35)/1000</f>
        <v>6.84</v>
      </c>
      <c r="Z35" s="3">
        <v>1.5</v>
      </c>
      <c r="AA35" s="3">
        <v>-23.16</v>
      </c>
      <c r="AB35" s="3">
        <v>1.3299999999999983</v>
      </c>
      <c r="AC35" s="3">
        <v>12</v>
      </c>
      <c r="AD35" s="3">
        <v>2</v>
      </c>
      <c r="AE35" s="3">
        <f>91/0.8</f>
        <v>113.75</v>
      </c>
      <c r="AF35" s="3">
        <f>38.7/57.7</f>
        <v>0.6707105719237435</v>
      </c>
      <c r="AG35" s="3">
        <f>10.8/6.2</f>
        <v>1.7419354838709677</v>
      </c>
      <c r="AH35" s="3">
        <v>700</v>
      </c>
      <c r="AI35" s="3">
        <v>30.2</v>
      </c>
      <c r="AJ35" s="3">
        <f>1/0.0033</f>
        <v>303.03030303030306</v>
      </c>
      <c r="AK35" s="3">
        <f>1/0.0055</f>
        <v>181.81818181818184</v>
      </c>
      <c r="AL35" s="3">
        <f t="shared" si="2"/>
        <v>0.6</v>
      </c>
      <c r="AM35" s="3" t="s">
        <v>66</v>
      </c>
      <c r="AN35" s="3" t="s">
        <v>8</v>
      </c>
      <c r="AO35" s="3" t="s">
        <v>9</v>
      </c>
      <c r="AP35" s="3">
        <v>4</v>
      </c>
      <c r="AQ35" s="3">
        <v>2</v>
      </c>
      <c r="AR35" s="7" t="s">
        <v>99</v>
      </c>
    </row>
    <row r="36" spans="1:48" s="3" customFormat="1" x14ac:dyDescent="0.3">
      <c r="A36" s="3" t="s">
        <v>127</v>
      </c>
      <c r="B36" s="3" t="s">
        <v>130</v>
      </c>
      <c r="C36" s="3" t="s">
        <v>20</v>
      </c>
      <c r="D36" s="3" t="s">
        <v>14</v>
      </c>
      <c r="E36" s="3" t="s">
        <v>21</v>
      </c>
      <c r="F36" s="3" t="s">
        <v>129</v>
      </c>
      <c r="G36" s="3">
        <v>1</v>
      </c>
      <c r="H36" s="3">
        <v>71</v>
      </c>
      <c r="I36" s="3">
        <v>-60</v>
      </c>
      <c r="J36" s="3">
        <v>117</v>
      </c>
      <c r="K36" s="3">
        <v>38</v>
      </c>
      <c r="L36" s="3">
        <v>320</v>
      </c>
      <c r="M36" s="12">
        <v>10.9</v>
      </c>
      <c r="N36" s="3">
        <v>42.3</v>
      </c>
      <c r="O36" s="3">
        <v>0.37</v>
      </c>
      <c r="P36" s="3">
        <v>4.83</v>
      </c>
      <c r="Q36" s="3">
        <v>-26.6</v>
      </c>
      <c r="R36" s="3">
        <v>0.22183042764663699</v>
      </c>
      <c r="S36" s="3">
        <v>0.28121790289878801</v>
      </c>
      <c r="T36" s="3">
        <v>231.02159119999999</v>
      </c>
      <c r="U36" s="3">
        <f>T36/N36</f>
        <v>5.4615033380614655</v>
      </c>
      <c r="V36" s="3">
        <v>-143.12962340000001</v>
      </c>
      <c r="W36" s="3">
        <f>V36/N36</f>
        <v>-3.3836790401891257</v>
      </c>
      <c r="X36" s="3">
        <f t="shared" si="0"/>
        <v>-1.614072514914477</v>
      </c>
      <c r="Y36" s="3">
        <f>(J36*K36)/1000</f>
        <v>4.4459999999999997</v>
      </c>
      <c r="Z36" s="3">
        <v>1.6</v>
      </c>
      <c r="AA36" s="3">
        <v>-22.2</v>
      </c>
      <c r="AB36" s="3">
        <v>1.3900000000000006</v>
      </c>
      <c r="AC36" s="3">
        <v>2</v>
      </c>
      <c r="AD36" s="3">
        <v>5</v>
      </c>
      <c r="AE36" s="3">
        <f>94/0.8</f>
        <v>117.5</v>
      </c>
      <c r="AF36" s="3">
        <f>32/51.8</f>
        <v>0.61776061776061775</v>
      </c>
      <c r="AG36" s="3">
        <f>7.8/4.9</f>
        <v>1.5918367346938773</v>
      </c>
      <c r="AH36" s="3">
        <v>380</v>
      </c>
      <c r="AI36" s="3">
        <v>28.9</v>
      </c>
      <c r="AJ36" s="3">
        <f>1/0.0076</f>
        <v>131.57894736842104</v>
      </c>
      <c r="AK36" s="3">
        <f>1/0.011175</f>
        <v>89.485458612975393</v>
      </c>
      <c r="AL36" s="3">
        <f t="shared" si="2"/>
        <v>0.68008948545861303</v>
      </c>
      <c r="AM36" s="3" t="s">
        <v>66</v>
      </c>
      <c r="AN36" s="3" t="s">
        <v>8</v>
      </c>
      <c r="AO36" s="3" t="s">
        <v>9</v>
      </c>
      <c r="AP36" s="3">
        <v>4</v>
      </c>
      <c r="AQ36" s="3">
        <v>5</v>
      </c>
      <c r="AR36" s="7" t="s">
        <v>101</v>
      </c>
    </row>
    <row r="37" spans="1:48" s="3" customFormat="1" x14ac:dyDescent="0.3">
      <c r="A37" s="3" t="s">
        <v>127</v>
      </c>
      <c r="B37" s="3" t="s">
        <v>131</v>
      </c>
      <c r="C37" s="3" t="s">
        <v>20</v>
      </c>
      <c r="D37" s="3" t="s">
        <v>14</v>
      </c>
      <c r="E37" s="3" t="s">
        <v>21</v>
      </c>
      <c r="F37" s="3" t="s">
        <v>129</v>
      </c>
      <c r="G37" s="3">
        <v>1</v>
      </c>
      <c r="H37" s="3">
        <v>71</v>
      </c>
      <c r="I37" s="3">
        <v>-60</v>
      </c>
      <c r="J37" s="3">
        <v>240</v>
      </c>
      <c r="K37" s="3">
        <v>25</v>
      </c>
      <c r="L37" s="3">
        <v>160</v>
      </c>
      <c r="M37" s="12">
        <v>182.7</v>
      </c>
      <c r="N37" s="3">
        <v>49.1</v>
      </c>
      <c r="O37" s="3">
        <v>0.51</v>
      </c>
      <c r="P37" s="3">
        <v>16.899999999999999</v>
      </c>
      <c r="Q37" s="3">
        <v>-34.1</v>
      </c>
      <c r="R37" s="3">
        <v>0.25106516499999998</v>
      </c>
      <c r="S37" s="3">
        <v>0.40519171999999998</v>
      </c>
      <c r="T37" s="3">
        <v>216.6781158</v>
      </c>
      <c r="U37" s="3">
        <f>T37/N37</f>
        <v>4.4129962484725054</v>
      </c>
      <c r="V37" s="3">
        <v>-114.7478409</v>
      </c>
      <c r="W37" s="3">
        <f>V37/N37</f>
        <v>-2.3370232362525458</v>
      </c>
      <c r="X37" s="3">
        <f t="shared" si="0"/>
        <v>-1.8882979766811456</v>
      </c>
      <c r="Y37" s="3">
        <f>(J37*K37)/1000</f>
        <v>6</v>
      </c>
      <c r="Z37" s="3">
        <v>2</v>
      </c>
      <c r="AA37" s="3">
        <v>-15.2</v>
      </c>
      <c r="AB37" s="3">
        <v>2.0100000000000051</v>
      </c>
      <c r="AC37" s="3">
        <v>2</v>
      </c>
      <c r="AD37" s="3">
        <v>8</v>
      </c>
      <c r="AE37" s="3">
        <f>7/0.8</f>
        <v>8.75</v>
      </c>
      <c r="AF37" s="3">
        <f>30.5/52.7</f>
        <v>0.57874762808349145</v>
      </c>
      <c r="AG37" s="3">
        <f>6/4.6</f>
        <v>1.3043478260869565</v>
      </c>
      <c r="AH37" s="3">
        <v>160</v>
      </c>
      <c r="AI37" s="3">
        <v>32.299999999999997</v>
      </c>
      <c r="AJ37" s="3">
        <f>1/0.0066</f>
        <v>151.51515151515153</v>
      </c>
      <c r="AK37" s="3">
        <f>1/0.0083</f>
        <v>120.48192771084337</v>
      </c>
      <c r="AL37" s="3">
        <f t="shared" si="2"/>
        <v>0.79518072289156616</v>
      </c>
      <c r="AM37" s="3" t="s">
        <v>71</v>
      </c>
      <c r="AN37" s="3" t="s">
        <v>8</v>
      </c>
      <c r="AO37" s="3" t="s">
        <v>9</v>
      </c>
      <c r="AP37" s="3">
        <v>4</v>
      </c>
      <c r="AQ37" s="3">
        <v>8</v>
      </c>
      <c r="AR37" s="7" t="s">
        <v>84</v>
      </c>
    </row>
    <row r="38" spans="1:48" s="3" customFormat="1" x14ac:dyDescent="0.3">
      <c r="A38" s="3" t="s">
        <v>132</v>
      </c>
      <c r="B38" s="3" t="s">
        <v>133</v>
      </c>
      <c r="C38" s="3" t="s">
        <v>20</v>
      </c>
      <c r="D38" s="3" t="s">
        <v>14</v>
      </c>
      <c r="E38" s="3" t="s">
        <v>21</v>
      </c>
      <c r="F38" s="3" t="s">
        <v>65</v>
      </c>
      <c r="G38" s="3">
        <v>3</v>
      </c>
      <c r="H38" s="3">
        <v>73</v>
      </c>
      <c r="I38" s="3">
        <v>-67</v>
      </c>
      <c r="J38" s="3">
        <v>170</v>
      </c>
      <c r="K38" s="3">
        <v>35</v>
      </c>
      <c r="L38" s="3">
        <v>210</v>
      </c>
      <c r="M38" s="12">
        <v>446.3</v>
      </c>
      <c r="N38" s="3">
        <v>43.4</v>
      </c>
      <c r="O38" s="3">
        <v>0.39</v>
      </c>
      <c r="P38" s="3">
        <v>8.9</v>
      </c>
      <c r="Q38" s="3">
        <v>-30.6</v>
      </c>
      <c r="R38" s="3">
        <v>0.22819919899999999</v>
      </c>
      <c r="S38" s="3">
        <v>0.30672732000000003</v>
      </c>
      <c r="T38" s="3">
        <v>234.7374878</v>
      </c>
      <c r="U38" s="3">
        <f>T38/N38</f>
        <v>5.4086978755760367</v>
      </c>
      <c r="V38" s="3">
        <v>-129.65222170000001</v>
      </c>
      <c r="W38" s="3">
        <f>V38/N38</f>
        <v>-2.9873783801843321</v>
      </c>
      <c r="X38" s="3">
        <f t="shared" si="0"/>
        <v>-1.810516508873677</v>
      </c>
      <c r="Y38" s="3">
        <f>(J38*K38)/1000</f>
        <v>5.95</v>
      </c>
      <c r="Z38" s="3">
        <v>1.7</v>
      </c>
      <c r="AA38" s="3">
        <v>-17.7</v>
      </c>
      <c r="AB38" s="3">
        <v>0.69999999999998863</v>
      </c>
      <c r="AC38" s="3">
        <v>6</v>
      </c>
      <c r="AD38" s="3">
        <v>5</v>
      </c>
      <c r="AE38" s="3">
        <f>86/0.5</f>
        <v>172</v>
      </c>
      <c r="AF38" s="3">
        <f>39/41.8</f>
        <v>0.93301435406698574</v>
      </c>
      <c r="AG38" s="3">
        <f>6.3/6</f>
        <v>1.05</v>
      </c>
      <c r="AH38" s="3" t="s">
        <v>134</v>
      </c>
      <c r="AJ38" s="3">
        <f>1/0.0039</f>
        <v>256.41025641025641</v>
      </c>
      <c r="AK38" s="3">
        <f>1/0.0047</f>
        <v>212.7659574468085</v>
      </c>
      <c r="AL38" s="3">
        <f t="shared" si="2"/>
        <v>0.82978723404255317</v>
      </c>
      <c r="AM38" s="3" t="s">
        <v>66</v>
      </c>
      <c r="AN38" s="3" t="s">
        <v>8</v>
      </c>
      <c r="AO38" s="3" t="s">
        <v>9</v>
      </c>
      <c r="AP38" s="3">
        <v>4</v>
      </c>
      <c r="AQ38" s="3">
        <v>5</v>
      </c>
      <c r="AR38" s="7" t="s">
        <v>87</v>
      </c>
      <c r="AV38" s="3" t="s">
        <v>135</v>
      </c>
    </row>
    <row r="39" spans="1:48" s="3" customFormat="1" x14ac:dyDescent="0.3">
      <c r="A39" s="3" t="s">
        <v>132</v>
      </c>
      <c r="B39" s="3" t="s">
        <v>136</v>
      </c>
      <c r="C39" s="3" t="s">
        <v>20</v>
      </c>
      <c r="D39" s="3" t="s">
        <v>14</v>
      </c>
      <c r="E39" s="3" t="s">
        <v>21</v>
      </c>
      <c r="F39" s="3" t="s">
        <v>65</v>
      </c>
      <c r="G39" s="3">
        <v>3</v>
      </c>
      <c r="H39" s="3">
        <v>73</v>
      </c>
      <c r="I39" s="13">
        <v>-72</v>
      </c>
      <c r="J39" s="3">
        <v>240</v>
      </c>
      <c r="K39" s="3">
        <v>25</v>
      </c>
      <c r="L39" s="3">
        <v>200</v>
      </c>
      <c r="M39" s="12">
        <v>17.7</v>
      </c>
      <c r="N39" s="3">
        <v>48.7</v>
      </c>
      <c r="O39" s="3">
        <v>0.46</v>
      </c>
      <c r="P39" s="3">
        <v>14.8</v>
      </c>
      <c r="Q39" s="3">
        <v>-27.1</v>
      </c>
      <c r="R39" s="3">
        <v>0.314077198505402</v>
      </c>
      <c r="S39" s="3">
        <v>0.38454115390777599</v>
      </c>
      <c r="T39" s="3">
        <v>206.95970149999999</v>
      </c>
      <c r="U39" s="3">
        <f>T39/N39</f>
        <v>4.2496858624229974</v>
      </c>
      <c r="V39" s="3">
        <v>-131.78767400000001</v>
      </c>
      <c r="W39" s="3">
        <f>V39/N39</f>
        <v>-2.7061124024640657</v>
      </c>
      <c r="X39" s="3">
        <f t="shared" si="0"/>
        <v>-1.5704025666315347</v>
      </c>
      <c r="Y39" s="3">
        <f>(J39*K39)/1000</f>
        <v>6</v>
      </c>
      <c r="Z39" s="3">
        <v>1.8</v>
      </c>
      <c r="AA39" s="3">
        <v>-18.899999999999999</v>
      </c>
      <c r="AB39" s="3">
        <v>1.2000000000000028</v>
      </c>
      <c r="AC39" s="3">
        <v>4</v>
      </c>
      <c r="AD39" s="3">
        <v>10</v>
      </c>
      <c r="AE39" s="3">
        <f>90/0.5</f>
        <v>180</v>
      </c>
      <c r="AF39" s="3">
        <f>41.4/53.2</f>
        <v>0.77819548872180444</v>
      </c>
      <c r="AG39" s="3">
        <f>6.6/4.7</f>
        <v>1.404255319148936</v>
      </c>
      <c r="AH39" s="3" t="s">
        <v>134</v>
      </c>
      <c r="AJ39" s="3">
        <f>1/0.004</f>
        <v>250</v>
      </c>
      <c r="AK39" s="3">
        <f>1/0.00615</f>
        <v>162.60162601626016</v>
      </c>
      <c r="AL39" s="3">
        <f t="shared" si="2"/>
        <v>0.65040650406504064</v>
      </c>
      <c r="AM39" s="3" t="s">
        <v>66</v>
      </c>
      <c r="AN39" s="3" t="s">
        <v>8</v>
      </c>
      <c r="AO39" s="3" t="s">
        <v>9</v>
      </c>
      <c r="AP39" s="3">
        <v>4</v>
      </c>
      <c r="AQ39" s="3">
        <v>10</v>
      </c>
      <c r="AR39" s="7" t="s">
        <v>67</v>
      </c>
      <c r="AV39" s="3" t="s">
        <v>137</v>
      </c>
    </row>
    <row r="40" spans="1:48" s="3" customFormat="1" x14ac:dyDescent="0.3">
      <c r="A40" s="3" t="s">
        <v>138</v>
      </c>
      <c r="B40" s="3" t="s">
        <v>139</v>
      </c>
      <c r="C40" s="3" t="s">
        <v>20</v>
      </c>
      <c r="D40" s="3" t="s">
        <v>14</v>
      </c>
      <c r="E40" s="3" t="s">
        <v>21</v>
      </c>
      <c r="F40" s="3" t="s">
        <v>65</v>
      </c>
      <c r="G40" s="3">
        <v>1</v>
      </c>
      <c r="H40" s="3">
        <v>77</v>
      </c>
      <c r="I40" s="3">
        <v>-70</v>
      </c>
      <c r="J40" s="3">
        <v>170</v>
      </c>
      <c r="K40" s="3">
        <v>37</v>
      </c>
      <c r="L40" s="3">
        <v>170</v>
      </c>
      <c r="M40" s="12">
        <v>68.3</v>
      </c>
      <c r="N40" s="3">
        <v>51.2</v>
      </c>
      <c r="O40" s="3">
        <v>0.36</v>
      </c>
      <c r="P40" s="3">
        <v>5.0999999999999996</v>
      </c>
      <c r="Q40" s="3">
        <v>-30.9</v>
      </c>
      <c r="R40" s="3">
        <v>0.21767629699999999</v>
      </c>
      <c r="S40" s="3">
        <v>0.31129449599999998</v>
      </c>
      <c r="T40" s="3">
        <v>286.6300354</v>
      </c>
      <c r="U40" s="3">
        <f>T40/N40</f>
        <v>5.5982428789062499</v>
      </c>
      <c r="V40" s="3">
        <v>-159.3406525</v>
      </c>
      <c r="W40" s="3">
        <f>V40/N40</f>
        <v>-3.1121221191406248</v>
      </c>
      <c r="X40" s="3">
        <f t="shared" si="0"/>
        <v>-1.7988506442196224</v>
      </c>
      <c r="Y40" s="3">
        <f>(J40*K40)/1000</f>
        <v>6.29</v>
      </c>
      <c r="Z40" s="3">
        <v>1.8</v>
      </c>
      <c r="AA40" s="3">
        <v>-18.2</v>
      </c>
      <c r="AB40" s="3">
        <v>3</v>
      </c>
      <c r="AC40" s="3">
        <v>34</v>
      </c>
      <c r="AD40" s="3">
        <v>6</v>
      </c>
      <c r="AE40" s="3">
        <f>67/0.5</f>
        <v>134</v>
      </c>
      <c r="AF40" s="3">
        <f>48.8/54.6</f>
        <v>0.89377289377289371</v>
      </c>
      <c r="AG40" s="3">
        <f>7.8/6.4</f>
        <v>1.21875</v>
      </c>
      <c r="AH40" s="3">
        <v>600</v>
      </c>
      <c r="AJ40" s="3">
        <f>1/0.0032</f>
        <v>312.5</v>
      </c>
      <c r="AK40" s="3">
        <f>1/0.004575</f>
        <v>218.5792349726776</v>
      </c>
      <c r="AL40" s="3">
        <f>AK40/AJ40</f>
        <v>0.69945355191256831</v>
      </c>
      <c r="AM40" s="3" t="s">
        <v>66</v>
      </c>
      <c r="AN40" s="3" t="s">
        <v>8</v>
      </c>
      <c r="AO40" s="3" t="s">
        <v>9</v>
      </c>
      <c r="AP40" s="3">
        <v>4</v>
      </c>
      <c r="AQ40" s="3">
        <v>6</v>
      </c>
      <c r="AR40" s="7" t="s">
        <v>101</v>
      </c>
      <c r="AV40" s="3" t="s">
        <v>140</v>
      </c>
    </row>
    <row r="41" spans="1:48" s="3" customFormat="1" x14ac:dyDescent="0.3">
      <c r="A41" s="3" t="s">
        <v>138</v>
      </c>
      <c r="B41" s="3" t="s">
        <v>141</v>
      </c>
      <c r="C41" s="3" t="s">
        <v>20</v>
      </c>
      <c r="D41" s="3" t="s">
        <v>14</v>
      </c>
      <c r="E41" s="3" t="s">
        <v>21</v>
      </c>
      <c r="F41" s="3" t="s">
        <v>65</v>
      </c>
      <c r="G41" s="3">
        <v>1</v>
      </c>
      <c r="H41" s="3">
        <v>77</v>
      </c>
      <c r="I41" s="3">
        <v>-70</v>
      </c>
      <c r="J41" s="3">
        <v>350</v>
      </c>
      <c r="K41" s="3">
        <v>23</v>
      </c>
      <c r="L41" s="3">
        <v>120</v>
      </c>
      <c r="M41" s="12">
        <v>23.6</v>
      </c>
      <c r="N41" s="3">
        <v>47.4</v>
      </c>
      <c r="O41" s="3">
        <v>0.62</v>
      </c>
      <c r="P41" s="3">
        <v>13.9</v>
      </c>
      <c r="Q41" s="3">
        <v>-29.6</v>
      </c>
      <c r="R41" s="3">
        <v>0.31479421257972701</v>
      </c>
      <c r="S41" s="3">
        <v>0.44715821743011502</v>
      </c>
      <c r="T41" s="3">
        <v>166.66667179999999</v>
      </c>
      <c r="U41" s="3">
        <f>T41/N41</f>
        <v>3.5161745105485229</v>
      </c>
      <c r="V41" s="3">
        <v>-104.0268478</v>
      </c>
      <c r="W41" s="3">
        <f>V41/N41</f>
        <v>-2.1946592362869199</v>
      </c>
      <c r="X41" s="3">
        <f t="shared" si="0"/>
        <v>-1.6021505536765865</v>
      </c>
      <c r="Y41" s="3">
        <f>(J41*K41)/1000</f>
        <v>8.0500000000000007</v>
      </c>
      <c r="Z41" s="3">
        <v>2.5</v>
      </c>
      <c r="AA41" s="3">
        <v>-24.7</v>
      </c>
      <c r="AB41" s="3">
        <v>0.15000000000000568</v>
      </c>
      <c r="AC41" s="3">
        <v>44</v>
      </c>
      <c r="AD41" s="3">
        <v>8</v>
      </c>
      <c r="AE41" s="3">
        <f>55/0.5</f>
        <v>110</v>
      </c>
      <c r="AF41" s="3">
        <f>43.6/58.2</f>
        <v>0.74914089347079038</v>
      </c>
      <c r="AG41" s="3">
        <f>9.3/7.1</f>
        <v>1.3098591549295777</v>
      </c>
      <c r="AH41" s="3">
        <v>440</v>
      </c>
      <c r="AI41" s="3">
        <v>24.05</v>
      </c>
      <c r="AJ41" s="3">
        <f>1/0.0055</f>
        <v>181.81818181818184</v>
      </c>
      <c r="AK41" s="3">
        <f>1/0.0076</f>
        <v>131.57894736842104</v>
      </c>
      <c r="AL41" s="3">
        <f>AK41/AJ41</f>
        <v>0.7236842105263156</v>
      </c>
      <c r="AM41" s="3" t="s">
        <v>66</v>
      </c>
      <c r="AN41" s="3" t="s">
        <v>8</v>
      </c>
      <c r="AO41" s="3" t="s">
        <v>9</v>
      </c>
      <c r="AP41" s="3">
        <v>4</v>
      </c>
      <c r="AQ41" s="3">
        <v>8</v>
      </c>
      <c r="AR41" s="7" t="s">
        <v>87</v>
      </c>
    </row>
    <row r="42" spans="1:48" s="3" customFormat="1" x14ac:dyDescent="0.3">
      <c r="A42" s="3" t="s">
        <v>142</v>
      </c>
      <c r="B42" s="3" t="s">
        <v>143</v>
      </c>
      <c r="C42" s="3" t="s">
        <v>20</v>
      </c>
      <c r="D42" s="3" t="s">
        <v>14</v>
      </c>
      <c r="E42" s="3" t="s">
        <v>21</v>
      </c>
      <c r="F42" s="3" t="s">
        <v>144</v>
      </c>
      <c r="G42" s="3">
        <v>2</v>
      </c>
      <c r="H42" s="3">
        <v>66</v>
      </c>
      <c r="I42" s="3">
        <v>-67</v>
      </c>
      <c r="J42" s="3">
        <v>190</v>
      </c>
      <c r="K42" s="3">
        <v>32</v>
      </c>
      <c r="L42" s="3">
        <v>200</v>
      </c>
      <c r="M42" s="12">
        <v>24</v>
      </c>
      <c r="N42" s="3">
        <v>43.9</v>
      </c>
      <c r="O42" s="3">
        <v>0.57999999999999996</v>
      </c>
      <c r="P42" s="3">
        <v>7.8</v>
      </c>
      <c r="Q42" s="3">
        <v>-25.2</v>
      </c>
      <c r="R42" s="3">
        <v>0.30688926577568099</v>
      </c>
      <c r="S42" s="3">
        <v>0.526816666126251</v>
      </c>
      <c r="T42" s="3">
        <v>154.7619019</v>
      </c>
      <c r="U42" s="3">
        <f>T42/N42</f>
        <v>3.525328061503417</v>
      </c>
      <c r="V42" s="3">
        <v>-85.775337219999997</v>
      </c>
      <c r="W42" s="3">
        <f>V42/N42</f>
        <v>-1.953880118906606</v>
      </c>
      <c r="X42" s="3">
        <f t="shared" si="0"/>
        <v>-1.8042703988800477</v>
      </c>
      <c r="Y42" s="3">
        <f>(J42*K42)/1000</f>
        <v>6.08</v>
      </c>
      <c r="Z42" s="3">
        <v>2.7</v>
      </c>
      <c r="AA42" s="3">
        <v>-15.7</v>
      </c>
      <c r="AB42" s="3">
        <v>0.89999999999999147</v>
      </c>
      <c r="AC42" s="3">
        <v>8</v>
      </c>
      <c r="AD42" s="3">
        <v>11</v>
      </c>
      <c r="AE42" s="3">
        <f>62/0.5</f>
        <v>124</v>
      </c>
      <c r="AF42" s="3">
        <f>24.07/46.3</f>
        <v>0.51987041036717063</v>
      </c>
      <c r="AG42" s="3">
        <f>9/6.2</f>
        <v>1.4516129032258065</v>
      </c>
      <c r="AH42" s="3">
        <v>440</v>
      </c>
      <c r="AI42" s="3">
        <v>11.02</v>
      </c>
      <c r="AJ42" s="3">
        <f>1/0.0062</f>
        <v>161.29032258064515</v>
      </c>
      <c r="AK42" s="3">
        <f>1/0.0093</f>
        <v>107.52688172043011</v>
      </c>
      <c r="AL42" s="3">
        <f t="shared" ref="AL42:AL48" si="4">AK42/AJ42</f>
        <v>0.66666666666666674</v>
      </c>
      <c r="AM42" s="3" t="s">
        <v>145</v>
      </c>
      <c r="AN42" s="3" t="s">
        <v>8</v>
      </c>
      <c r="AO42" s="3" t="s">
        <v>9</v>
      </c>
      <c r="AP42" s="3">
        <v>4</v>
      </c>
      <c r="AQ42" s="3">
        <v>11</v>
      </c>
      <c r="AR42" s="7" t="s">
        <v>146</v>
      </c>
    </row>
    <row r="43" spans="1:48" s="3" customFormat="1" x14ac:dyDescent="0.3">
      <c r="A43" s="3" t="s">
        <v>147</v>
      </c>
      <c r="B43" s="3" t="s">
        <v>148</v>
      </c>
      <c r="C43" s="3" t="s">
        <v>20</v>
      </c>
      <c r="D43" s="3" t="s">
        <v>14</v>
      </c>
      <c r="E43" s="3" t="s">
        <v>21</v>
      </c>
      <c r="F43" s="3" t="s">
        <v>77</v>
      </c>
      <c r="G43" s="3">
        <v>0</v>
      </c>
      <c r="H43" s="3">
        <v>65</v>
      </c>
      <c r="I43" s="3">
        <v>-72</v>
      </c>
      <c r="J43" s="3">
        <v>360</v>
      </c>
      <c r="K43" s="3">
        <v>27</v>
      </c>
      <c r="L43" s="3">
        <v>120</v>
      </c>
      <c r="M43" s="12">
        <v>12.3</v>
      </c>
      <c r="N43" s="3">
        <v>45.5</v>
      </c>
      <c r="O43" s="3">
        <v>0.51</v>
      </c>
      <c r="P43" s="3">
        <v>15.6</v>
      </c>
      <c r="Q43" s="3">
        <v>-40.299999999999997</v>
      </c>
      <c r="R43" s="3">
        <v>0.29987558722495999</v>
      </c>
      <c r="S43" s="3">
        <v>0.50026762485504195</v>
      </c>
      <c r="T43" s="3">
        <v>190.3599701</v>
      </c>
      <c r="U43" s="3">
        <f>T43/N43</f>
        <v>4.1837356065934062</v>
      </c>
      <c r="V43" s="3">
        <v>-97.315437320000001</v>
      </c>
      <c r="W43" s="3">
        <f>V43/N43</f>
        <v>-2.1388008202197804</v>
      </c>
      <c r="X43" s="3">
        <f t="shared" si="0"/>
        <v>-1.9561127745235722</v>
      </c>
      <c r="Y43" s="3">
        <f>(J43*K43)/1000</f>
        <v>9.7200000000000006</v>
      </c>
      <c r="Z43" s="3">
        <v>2.2000000000000002</v>
      </c>
      <c r="AA43" s="3">
        <v>-13.2</v>
      </c>
      <c r="AB43" s="3">
        <v>1.7000000000000028</v>
      </c>
      <c r="AC43" s="3">
        <v>2</v>
      </c>
      <c r="AD43" s="3">
        <v>0</v>
      </c>
      <c r="AE43" s="3">
        <f>79/0.5</f>
        <v>158</v>
      </c>
      <c r="AF43" s="3">
        <f>34.8/47.3</f>
        <v>0.73572938689217759</v>
      </c>
      <c r="AG43" s="3">
        <f>7/5</f>
        <v>1.4</v>
      </c>
      <c r="AH43" s="3">
        <v>320</v>
      </c>
      <c r="AI43" s="3">
        <v>27.07</v>
      </c>
      <c r="AJ43" s="3">
        <f>1/0.0043</f>
        <v>232.55813953488371</v>
      </c>
      <c r="AK43" s="3">
        <f>1/0.007075</f>
        <v>141.34275618374559</v>
      </c>
      <c r="AL43" s="3">
        <f t="shared" si="4"/>
        <v>0.60777385159010611</v>
      </c>
      <c r="AM43" s="3" t="s">
        <v>71</v>
      </c>
      <c r="AN43" s="3" t="s">
        <v>8</v>
      </c>
      <c r="AO43" s="3" t="s">
        <v>9</v>
      </c>
      <c r="AP43" s="3">
        <v>4</v>
      </c>
      <c r="AQ43" s="3">
        <v>0</v>
      </c>
      <c r="AR43" s="7" t="s">
        <v>67</v>
      </c>
    </row>
    <row r="44" spans="1:48" s="3" customFormat="1" x14ac:dyDescent="0.3">
      <c r="A44" s="3" t="s">
        <v>149</v>
      </c>
      <c r="B44" s="3" t="s">
        <v>150</v>
      </c>
      <c r="C44" s="3" t="s">
        <v>20</v>
      </c>
      <c r="D44" s="3" t="s">
        <v>14</v>
      </c>
      <c r="E44" s="3" t="s">
        <v>21</v>
      </c>
      <c r="F44" s="3" t="s">
        <v>79</v>
      </c>
      <c r="G44" s="3">
        <v>12</v>
      </c>
      <c r="H44" s="3">
        <v>78</v>
      </c>
      <c r="I44" s="3">
        <v>-77</v>
      </c>
      <c r="J44" s="3">
        <v>160</v>
      </c>
      <c r="K44" s="3">
        <v>37</v>
      </c>
      <c r="L44" s="3">
        <v>120</v>
      </c>
      <c r="M44" s="12">
        <v>22.4</v>
      </c>
      <c r="N44" s="3">
        <v>55.7</v>
      </c>
      <c r="O44" s="3">
        <v>0.82</v>
      </c>
      <c r="P44" s="3">
        <v>30.4</v>
      </c>
      <c r="Q44" s="3">
        <v>-46.7</v>
      </c>
      <c r="R44" s="3">
        <v>0.34982788599999998</v>
      </c>
      <c r="S44" s="3">
        <v>0.65549284200000002</v>
      </c>
      <c r="T44" s="3">
        <v>166.97192380000001</v>
      </c>
      <c r="U44" s="3">
        <f>T44/N44</f>
        <v>2.9977006068222622</v>
      </c>
      <c r="V44" s="3">
        <v>-76.266014100000007</v>
      </c>
      <c r="W44" s="3">
        <f>V44/N44</f>
        <v>-1.3692282603231598</v>
      </c>
      <c r="X44" s="3">
        <f t="shared" si="0"/>
        <v>-2.189335915484798</v>
      </c>
      <c r="Y44" s="3">
        <f>(J44*K44)/1000</f>
        <v>5.92</v>
      </c>
      <c r="Z44" s="3">
        <v>3.1</v>
      </c>
      <c r="AA44" s="3">
        <v>-18</v>
      </c>
      <c r="AB44" s="3">
        <v>0.5</v>
      </c>
      <c r="AC44" s="3">
        <v>46</v>
      </c>
      <c r="AD44" s="3">
        <v>0</v>
      </c>
      <c r="AE44" s="3">
        <f>47/0.5</f>
        <v>94</v>
      </c>
      <c r="AF44" s="3">
        <f>42.5/59.7</f>
        <v>0.71189279731993294</v>
      </c>
      <c r="AG44" s="3">
        <f>11.3/8.7</f>
        <v>1.2988505747126438</v>
      </c>
      <c r="AH44" s="3">
        <v>440</v>
      </c>
      <c r="AI44" s="3">
        <v>30.6</v>
      </c>
      <c r="AJ44" s="3">
        <f>1/0.0066</f>
        <v>151.51515151515153</v>
      </c>
      <c r="AK44" s="3">
        <f>1/0.011475</f>
        <v>87.145969498910674</v>
      </c>
      <c r="AL44" s="3">
        <f t="shared" si="4"/>
        <v>0.57516339869281041</v>
      </c>
      <c r="AM44" s="3" t="s">
        <v>66</v>
      </c>
      <c r="AN44" s="3" t="s">
        <v>8</v>
      </c>
      <c r="AO44" s="3" t="s">
        <v>9</v>
      </c>
      <c r="AP44" s="3">
        <v>4</v>
      </c>
      <c r="AQ44" s="3">
        <v>0</v>
      </c>
      <c r="AR44" s="7" t="s">
        <v>67</v>
      </c>
    </row>
    <row r="45" spans="1:48" s="3" customFormat="1" x14ac:dyDescent="0.3">
      <c r="A45" s="3" t="s">
        <v>149</v>
      </c>
      <c r="B45" s="3" t="s">
        <v>151</v>
      </c>
      <c r="C45" s="3" t="s">
        <v>20</v>
      </c>
      <c r="D45" s="3" t="s">
        <v>14</v>
      </c>
      <c r="E45" s="3" t="s">
        <v>21</v>
      </c>
      <c r="F45" s="3" t="s">
        <v>79</v>
      </c>
      <c r="G45" s="3">
        <v>12</v>
      </c>
      <c r="H45" s="3">
        <v>78</v>
      </c>
      <c r="I45" s="3">
        <v>-66</v>
      </c>
      <c r="J45" s="3">
        <v>268</v>
      </c>
      <c r="K45" s="3">
        <v>26</v>
      </c>
      <c r="L45" s="3">
        <v>120</v>
      </c>
      <c r="M45" s="12">
        <v>31.5</v>
      </c>
      <c r="N45" s="3">
        <v>65.599999999999994</v>
      </c>
      <c r="O45" s="3">
        <v>1.05</v>
      </c>
      <c r="P45" s="3">
        <v>48</v>
      </c>
      <c r="Q45" s="3">
        <v>-32.799999999999997</v>
      </c>
      <c r="R45" s="3">
        <v>0.41746622300000003</v>
      </c>
      <c r="S45" s="3">
        <v>0.880728662</v>
      </c>
      <c r="T45" s="3">
        <v>166.56497189999999</v>
      </c>
      <c r="U45" s="3">
        <f>T45/N45</f>
        <v>2.5391001814024392</v>
      </c>
      <c r="V45" s="3">
        <v>-68.33435059</v>
      </c>
      <c r="W45" s="3">
        <f>V45/N45</f>
        <v>-1.0416821736280488</v>
      </c>
      <c r="X45" s="3">
        <f t="shared" si="0"/>
        <v>-2.4374998878583765</v>
      </c>
      <c r="Y45" s="3">
        <f>(J45*K45)/1000</f>
        <v>6.968</v>
      </c>
      <c r="Z45" s="3">
        <v>3.5</v>
      </c>
      <c r="AA45" s="3">
        <v>-17.5</v>
      </c>
      <c r="AB45" s="3">
        <v>0.84999999999999432</v>
      </c>
      <c r="AC45" s="3">
        <v>32</v>
      </c>
      <c r="AD45" s="3">
        <v>6</v>
      </c>
      <c r="AE45" s="3">
        <f>36/0.5</f>
        <v>72</v>
      </c>
      <c r="AF45" s="3">
        <f>48.6/67.3</f>
        <v>0.72213967310549787</v>
      </c>
      <c r="AG45" s="3">
        <f>14.1/10.6</f>
        <v>1.3301886792452831</v>
      </c>
      <c r="AH45" s="3">
        <v>440</v>
      </c>
      <c r="AI45" s="3">
        <v>15</v>
      </c>
      <c r="AJ45" s="3">
        <f>1/0.0079</f>
        <v>126.58227848101265</v>
      </c>
      <c r="AK45" s="3">
        <f>1/0.0142</f>
        <v>70.422535211267601</v>
      </c>
      <c r="AL45" s="3">
        <f t="shared" si="4"/>
        <v>0.55633802816901412</v>
      </c>
      <c r="AM45" s="3" t="s">
        <v>66</v>
      </c>
      <c r="AN45" s="3" t="s">
        <v>8</v>
      </c>
      <c r="AO45" s="3" t="s">
        <v>9</v>
      </c>
      <c r="AP45" s="3">
        <v>4</v>
      </c>
      <c r="AQ45" s="3">
        <v>6</v>
      </c>
      <c r="AR45" s="7" t="s">
        <v>99</v>
      </c>
    </row>
    <row r="46" spans="1:48" s="3" customFormat="1" x14ac:dyDescent="0.3">
      <c r="A46" s="3" t="s">
        <v>149</v>
      </c>
      <c r="B46" s="3" t="s">
        <v>152</v>
      </c>
      <c r="C46" s="3" t="s">
        <v>20</v>
      </c>
      <c r="D46" s="3" t="s">
        <v>14</v>
      </c>
      <c r="E46" s="3" t="s">
        <v>21</v>
      </c>
      <c r="F46" s="3" t="s">
        <v>79</v>
      </c>
      <c r="G46" s="3">
        <v>12</v>
      </c>
      <c r="H46" s="3">
        <v>78</v>
      </c>
      <c r="I46" s="3">
        <v>-66</v>
      </c>
      <c r="J46" s="3">
        <v>260</v>
      </c>
      <c r="K46" s="3">
        <v>33</v>
      </c>
      <c r="L46" s="3">
        <v>120</v>
      </c>
      <c r="M46" s="12">
        <v>23.3</v>
      </c>
      <c r="N46" s="3">
        <v>56</v>
      </c>
      <c r="O46" s="3">
        <v>0.92</v>
      </c>
      <c r="P46" s="3">
        <v>48.3</v>
      </c>
      <c r="Q46" s="3">
        <v>-39.299999999999997</v>
      </c>
      <c r="R46" s="3">
        <v>0.36844959900000002</v>
      </c>
      <c r="S46" s="3">
        <v>0.87683141200000003</v>
      </c>
      <c r="T46" s="3">
        <v>156.1927948</v>
      </c>
      <c r="U46" s="3">
        <f>T46/N46</f>
        <v>2.78915705</v>
      </c>
      <c r="V46" s="3">
        <v>-64.713066100000006</v>
      </c>
      <c r="W46" s="3">
        <f>V46/N46</f>
        <v>-1.1555904660714287</v>
      </c>
      <c r="X46" s="3">
        <f t="shared" si="0"/>
        <v>-2.4136206830107216</v>
      </c>
      <c r="Y46" s="3">
        <f>(J46*K46)/1000</f>
        <v>8.58</v>
      </c>
      <c r="Z46" s="3">
        <v>3.3</v>
      </c>
      <c r="AA46" s="3">
        <v>-8.4</v>
      </c>
      <c r="AB46" s="3">
        <v>2.0999999999999943</v>
      </c>
      <c r="AC46" s="3">
        <v>34</v>
      </c>
      <c r="AD46" s="3">
        <v>9</v>
      </c>
      <c r="AE46" s="3">
        <f>48/0.5</f>
        <v>96</v>
      </c>
      <c r="AF46" s="3">
        <f>46.4/55.8</f>
        <v>0.8315412186379928</v>
      </c>
      <c r="AG46" s="3">
        <f>11.7/7.4</f>
        <v>1.5810810810810809</v>
      </c>
      <c r="AH46" s="3">
        <v>600</v>
      </c>
      <c r="AI46" s="3">
        <v>7.8</v>
      </c>
      <c r="AJ46" s="3">
        <f>1/0.005</f>
        <v>200</v>
      </c>
      <c r="AK46" s="3">
        <f>1/0.009825</f>
        <v>101.78117048346056</v>
      </c>
      <c r="AL46" s="3">
        <f t="shared" si="4"/>
        <v>0.5089058524173028</v>
      </c>
      <c r="AM46" s="3" t="s">
        <v>66</v>
      </c>
      <c r="AN46" s="3" t="s">
        <v>8</v>
      </c>
      <c r="AO46" s="3" t="s">
        <v>9</v>
      </c>
      <c r="AP46" s="3">
        <v>4</v>
      </c>
      <c r="AQ46" s="3">
        <v>9</v>
      </c>
      <c r="AR46" s="7" t="s">
        <v>84</v>
      </c>
    </row>
    <row r="47" spans="1:48" s="3" customFormat="1" x14ac:dyDescent="0.3">
      <c r="A47" s="3" t="s">
        <v>149</v>
      </c>
      <c r="B47" s="3" t="s">
        <v>153</v>
      </c>
      <c r="C47" s="3" t="s">
        <v>20</v>
      </c>
      <c r="D47" s="3" t="s">
        <v>14</v>
      </c>
      <c r="E47" s="3" t="s">
        <v>21</v>
      </c>
      <c r="F47" s="3" t="s">
        <v>79</v>
      </c>
      <c r="G47" s="3">
        <v>12</v>
      </c>
      <c r="H47" s="3">
        <v>78</v>
      </c>
      <c r="I47" s="3">
        <v>-62</v>
      </c>
      <c r="J47" s="3">
        <v>170</v>
      </c>
      <c r="K47" s="3">
        <v>34</v>
      </c>
      <c r="L47" s="3">
        <v>160</v>
      </c>
      <c r="M47" s="12">
        <v>16.3</v>
      </c>
      <c r="N47" s="3">
        <v>72.400000000000006</v>
      </c>
      <c r="O47" s="3">
        <v>0.59</v>
      </c>
      <c r="P47" s="3">
        <v>30.7</v>
      </c>
      <c r="Q47" s="3">
        <v>-47.6</v>
      </c>
      <c r="R47" s="3">
        <v>0.3256675</v>
      </c>
      <c r="S47" s="3">
        <v>0.44830995800000001</v>
      </c>
      <c r="T47" s="3">
        <v>263.12576289999998</v>
      </c>
      <c r="U47" s="3">
        <f>T47/N47</f>
        <v>3.6343337417127066</v>
      </c>
      <c r="V47" s="3">
        <v>-147.1306458</v>
      </c>
      <c r="W47" s="3">
        <f>V47/N47</f>
        <v>-2.0321912403314917</v>
      </c>
      <c r="X47" s="3">
        <f t="shared" si="0"/>
        <v>-1.7883817573782443</v>
      </c>
      <c r="Y47" s="3">
        <f>(J47*K47)/1000</f>
        <v>5.78</v>
      </c>
      <c r="Z47" s="3">
        <v>2.2999999999999998</v>
      </c>
      <c r="AA47" s="3">
        <v>-19.100000000000001</v>
      </c>
      <c r="AB47" s="3">
        <v>0.26000000000000512</v>
      </c>
      <c r="AC47" s="3">
        <v>22</v>
      </c>
      <c r="AD47" s="3">
        <v>11</v>
      </c>
      <c r="AE47" s="3">
        <f>56/0.5</f>
        <v>112</v>
      </c>
      <c r="AF47" s="3">
        <f>60.9/77</f>
        <v>0.79090909090909089</v>
      </c>
      <c r="AG47" s="3">
        <f>8.7/7.3</f>
        <v>1.1917808219178081</v>
      </c>
      <c r="AH47" s="3" t="s">
        <v>134</v>
      </c>
      <c r="AJ47" s="3">
        <f>1/0.0048</f>
        <v>208.33333333333334</v>
      </c>
      <c r="AK47" s="3">
        <f>1/0.008575</f>
        <v>116.61807580174928</v>
      </c>
      <c r="AL47" s="3">
        <f t="shared" si="4"/>
        <v>0.55976676384839652</v>
      </c>
      <c r="AM47" s="3" t="s">
        <v>66</v>
      </c>
      <c r="AN47" s="3" t="s">
        <v>8</v>
      </c>
      <c r="AO47" s="3" t="s">
        <v>9</v>
      </c>
      <c r="AP47" s="3">
        <v>4</v>
      </c>
      <c r="AQ47" s="3">
        <v>11</v>
      </c>
      <c r="AR47" s="7" t="s">
        <v>99</v>
      </c>
    </row>
    <row r="48" spans="1:48" s="3" customFormat="1" x14ac:dyDescent="0.3">
      <c r="A48" s="3" t="s">
        <v>154</v>
      </c>
      <c r="B48" s="3" t="s">
        <v>155</v>
      </c>
      <c r="C48" s="3" t="s">
        <v>20</v>
      </c>
      <c r="D48" s="3" t="s">
        <v>14</v>
      </c>
      <c r="E48" s="3" t="s">
        <v>21</v>
      </c>
      <c r="F48" s="3" t="s">
        <v>79</v>
      </c>
      <c r="G48" s="3">
        <v>10</v>
      </c>
      <c r="H48" s="3">
        <v>80</v>
      </c>
      <c r="I48" s="3">
        <v>-60</v>
      </c>
      <c r="J48" s="3">
        <v>175</v>
      </c>
      <c r="K48" s="3">
        <v>31</v>
      </c>
      <c r="L48" s="3">
        <v>160</v>
      </c>
      <c r="M48" s="12">
        <v>240</v>
      </c>
      <c r="N48" s="3">
        <v>60</v>
      </c>
      <c r="O48" s="3">
        <v>0.79</v>
      </c>
      <c r="P48" s="3">
        <v>37.9</v>
      </c>
      <c r="Q48" s="3">
        <v>-46</v>
      </c>
      <c r="R48" s="3">
        <v>0.37515726700000002</v>
      </c>
      <c r="S48" s="3">
        <v>0.66378462299999996</v>
      </c>
      <c r="T48" s="3">
        <v>170.3296661</v>
      </c>
      <c r="U48" s="3">
        <f>T48/N48</f>
        <v>2.8388277683333332</v>
      </c>
      <c r="V48" s="3">
        <v>-89.743591309999999</v>
      </c>
      <c r="W48" s="3">
        <f>V48/N48</f>
        <v>-1.4957265218333333</v>
      </c>
      <c r="X48" s="3">
        <f t="shared" si="0"/>
        <v>-1.8979591034153367</v>
      </c>
      <c r="Y48" s="3">
        <f>(J48*K48)/1000</f>
        <v>5.4249999999999998</v>
      </c>
      <c r="Z48" s="3">
        <v>2.9</v>
      </c>
      <c r="AA48" s="3">
        <v>-14.7</v>
      </c>
      <c r="AB48" s="3">
        <v>0.10000000000000853</v>
      </c>
      <c r="AC48" s="3">
        <v>6</v>
      </c>
      <c r="AD48" s="3">
        <v>6</v>
      </c>
      <c r="AE48" s="3">
        <f>39/0.5</f>
        <v>78</v>
      </c>
      <c r="AF48" s="3">
        <f>52.1/57.7</f>
        <v>0.90294627383015591</v>
      </c>
      <c r="AG48" s="3">
        <f>13.1/8.8</f>
        <v>1.4886363636363635</v>
      </c>
      <c r="AH48" s="3" t="s">
        <v>134</v>
      </c>
      <c r="AJ48" s="3">
        <f>1/0.0061</f>
        <v>163.93442622950818</v>
      </c>
      <c r="AK48" s="3">
        <f>1/0.008875</f>
        <v>112.67605633802818</v>
      </c>
      <c r="AL48" s="3">
        <f t="shared" si="4"/>
        <v>0.68732394366197191</v>
      </c>
      <c r="AM48" s="3" t="s">
        <v>66</v>
      </c>
      <c r="AN48" s="3" t="s">
        <v>8</v>
      </c>
      <c r="AO48" s="3" t="s">
        <v>9</v>
      </c>
      <c r="AP48" s="3">
        <v>4</v>
      </c>
      <c r="AQ48" s="3">
        <v>6</v>
      </c>
      <c r="AR48" s="7" t="s">
        <v>156</v>
      </c>
    </row>
    <row r="49" spans="1:44" s="3" customFormat="1" x14ac:dyDescent="0.3">
      <c r="A49" s="3" t="s">
        <v>157</v>
      </c>
      <c r="B49" s="3" t="s">
        <v>158</v>
      </c>
      <c r="C49" s="3" t="s">
        <v>20</v>
      </c>
      <c r="D49" s="3" t="s">
        <v>14</v>
      </c>
      <c r="E49" s="3" t="s">
        <v>21</v>
      </c>
      <c r="F49" s="3" t="s">
        <v>144</v>
      </c>
      <c r="G49" s="3">
        <v>4</v>
      </c>
      <c r="H49" s="3">
        <v>68</v>
      </c>
      <c r="I49" s="3">
        <v>-67</v>
      </c>
      <c r="J49" s="3">
        <v>266</v>
      </c>
      <c r="K49" s="3">
        <v>26</v>
      </c>
      <c r="L49" s="3">
        <v>120</v>
      </c>
      <c r="M49" s="12">
        <v>20.7</v>
      </c>
      <c r="N49" s="3">
        <v>50.9</v>
      </c>
      <c r="O49" s="3">
        <v>0.75</v>
      </c>
      <c r="P49" s="3">
        <v>15.5</v>
      </c>
      <c r="Q49" s="3">
        <v>-34.799999999999997</v>
      </c>
      <c r="R49" s="3">
        <v>0.35992631316184998</v>
      </c>
      <c r="S49" s="3">
        <v>0.65513128042221103</v>
      </c>
      <c r="T49" s="3">
        <v>166.66667179999999</v>
      </c>
      <c r="U49" s="3">
        <f>T49/N49</f>
        <v>3.2743943379174851</v>
      </c>
      <c r="V49" s="3">
        <v>-79.975578310000003</v>
      </c>
      <c r="W49" s="3">
        <f>V49/N49</f>
        <v>-1.5712294363457762</v>
      </c>
      <c r="X49" s="3">
        <f t="shared" si="0"/>
        <v>-2.0839695732360872</v>
      </c>
      <c r="Y49" s="3">
        <f>(J49*K49)/1000</f>
        <v>6.9160000000000004</v>
      </c>
      <c r="Z49" s="3">
        <v>3.8</v>
      </c>
      <c r="AA49" s="3">
        <v>-19.899999999999999</v>
      </c>
      <c r="AB49" s="3">
        <v>1.2000000000000028</v>
      </c>
      <c r="AC49" s="3">
        <v>32</v>
      </c>
      <c r="AD49" s="3">
        <v>8</v>
      </c>
      <c r="AE49" s="3">
        <f>41/0.5</f>
        <v>82</v>
      </c>
      <c r="AF49" s="3">
        <f>45.5/56</f>
        <v>0.8125</v>
      </c>
      <c r="AG49" s="3">
        <f>11.9/10</f>
        <v>1.19</v>
      </c>
      <c r="AH49" s="3">
        <v>520</v>
      </c>
      <c r="AI49" s="3">
        <v>18.7</v>
      </c>
      <c r="AJ49" s="3">
        <f>1/0.0073</f>
        <v>136.98630136986301</v>
      </c>
      <c r="AK49" s="3">
        <f>1/0.01033</f>
        <v>96.805421103581793</v>
      </c>
      <c r="AL49" s="3">
        <f>AK49/AJ49</f>
        <v>0.70667957405614712</v>
      </c>
      <c r="AM49" s="3" t="s">
        <v>71</v>
      </c>
      <c r="AN49" s="3" t="s">
        <v>8</v>
      </c>
      <c r="AO49" s="3" t="s">
        <v>9</v>
      </c>
      <c r="AP49" s="3">
        <v>4</v>
      </c>
      <c r="AQ49" s="3">
        <v>8</v>
      </c>
      <c r="AR49" s="7" t="s">
        <v>116</v>
      </c>
    </row>
    <row r="50" spans="1:44" s="3" customFormat="1" x14ac:dyDescent="0.3">
      <c r="A50" s="3" t="s">
        <v>157</v>
      </c>
      <c r="B50" s="3" t="s">
        <v>159</v>
      </c>
      <c r="C50" s="3" t="s">
        <v>20</v>
      </c>
      <c r="D50" s="3" t="s">
        <v>14</v>
      </c>
      <c r="E50" s="3" t="s">
        <v>21</v>
      </c>
      <c r="F50" s="3" t="s">
        <v>144</v>
      </c>
      <c r="G50" s="3">
        <v>4</v>
      </c>
      <c r="H50" s="3">
        <v>68</v>
      </c>
      <c r="I50" s="3">
        <v>-69</v>
      </c>
      <c r="J50" s="3">
        <v>220</v>
      </c>
      <c r="K50" s="3">
        <v>27</v>
      </c>
      <c r="L50" s="3">
        <v>120</v>
      </c>
      <c r="M50" s="12">
        <v>29.5</v>
      </c>
      <c r="N50" s="3">
        <v>42.7</v>
      </c>
      <c r="O50" s="3">
        <v>0.78</v>
      </c>
      <c r="P50" s="3">
        <v>17.5</v>
      </c>
      <c r="Q50" s="3">
        <v>-29.6</v>
      </c>
      <c r="R50" s="3">
        <v>0.349938213825226</v>
      </c>
      <c r="S50" s="3">
        <v>0.69309705495834395</v>
      </c>
      <c r="T50" s="3">
        <v>154.45664980000001</v>
      </c>
      <c r="U50" s="3">
        <f>T50/N50</f>
        <v>3.6172517517564402</v>
      </c>
      <c r="V50" s="3">
        <v>-65.018318179999994</v>
      </c>
      <c r="W50" s="3">
        <f>V50/N50</f>
        <v>-1.5226772407494142</v>
      </c>
      <c r="X50" s="3">
        <f t="shared" si="0"/>
        <v>-2.3755866673203454</v>
      </c>
      <c r="Y50" s="3">
        <f>(J50*K50)/1000</f>
        <v>5.94</v>
      </c>
      <c r="Z50" s="3">
        <v>3.4</v>
      </c>
      <c r="AA50" s="3">
        <v>-16</v>
      </c>
      <c r="AB50" s="3">
        <v>1.0999999999999943</v>
      </c>
      <c r="AC50" s="3">
        <v>2</v>
      </c>
      <c r="AD50" s="3">
        <v>11</v>
      </c>
      <c r="AE50" s="3">
        <f>39/0.5</f>
        <v>78</v>
      </c>
      <c r="AF50" s="3">
        <f>27.7/45.1</f>
        <v>0.61419068736141902</v>
      </c>
      <c r="AG50" s="3">
        <f>13.4/8.6</f>
        <v>1.558139534883721</v>
      </c>
      <c r="AH50" s="3">
        <v>280</v>
      </c>
      <c r="AI50" s="3">
        <v>20.97</v>
      </c>
      <c r="AJ50" s="3">
        <f>1/0.0087</f>
        <v>114.94252873563219</v>
      </c>
      <c r="AK50" s="3">
        <f>1/0.0136</f>
        <v>73.529411764705884</v>
      </c>
      <c r="AL50" s="3">
        <f>AK50/AJ50</f>
        <v>0.63970588235294112</v>
      </c>
      <c r="AM50" s="3" t="s">
        <v>71</v>
      </c>
      <c r="AN50" s="3" t="s">
        <v>8</v>
      </c>
      <c r="AO50" s="3" t="s">
        <v>9</v>
      </c>
      <c r="AP50" s="3">
        <v>4</v>
      </c>
      <c r="AQ50" s="3">
        <v>11</v>
      </c>
      <c r="AR50" s="7" t="s">
        <v>160</v>
      </c>
    </row>
    <row r="51" spans="1:44" s="3" customFormat="1" x14ac:dyDescent="0.3">
      <c r="A51" s="3" t="s">
        <v>157</v>
      </c>
      <c r="B51" s="3" t="s">
        <v>161</v>
      </c>
      <c r="C51" s="3" t="s">
        <v>20</v>
      </c>
      <c r="D51" s="3" t="s">
        <v>14</v>
      </c>
      <c r="E51" s="3" t="s">
        <v>21</v>
      </c>
      <c r="F51" s="3" t="s">
        <v>144</v>
      </c>
      <c r="G51" s="3">
        <v>4</v>
      </c>
      <c r="H51" s="3">
        <v>68</v>
      </c>
      <c r="I51" s="3">
        <v>-72</v>
      </c>
      <c r="J51" s="3">
        <v>200</v>
      </c>
      <c r="K51" s="3">
        <v>27</v>
      </c>
      <c r="L51" s="3">
        <v>240</v>
      </c>
      <c r="M51" s="12">
        <v>14.3</v>
      </c>
      <c r="N51" s="3">
        <v>59.5</v>
      </c>
      <c r="O51" s="3">
        <v>0.74</v>
      </c>
      <c r="P51" s="3">
        <v>38.9</v>
      </c>
      <c r="Q51" s="3">
        <v>-27.4</v>
      </c>
      <c r="R51" s="3">
        <v>0.33196392655372597</v>
      </c>
      <c r="S51" s="3">
        <v>0.67987549304962203</v>
      </c>
      <c r="T51" s="3">
        <v>195.85113530000001</v>
      </c>
      <c r="U51" s="3">
        <f>T51/N51</f>
        <v>3.2916157193277313</v>
      </c>
      <c r="V51" s="3">
        <v>-88.522590640000004</v>
      </c>
      <c r="W51" s="3">
        <f>V51/N51</f>
        <v>-1.4877746326050421</v>
      </c>
      <c r="X51" s="3">
        <f t="shared" si="0"/>
        <v>-2.2124424272271841</v>
      </c>
      <c r="Y51" s="3">
        <f>(J51*K51)/1000</f>
        <v>5.4</v>
      </c>
      <c r="Z51" s="3">
        <v>2.6</v>
      </c>
      <c r="AA51" s="3">
        <v>-12.8</v>
      </c>
      <c r="AB51" s="3">
        <v>0.40000000000000568</v>
      </c>
      <c r="AC51" s="3">
        <v>56</v>
      </c>
      <c r="AD51" s="3" t="s">
        <v>162</v>
      </c>
      <c r="AE51" s="3">
        <f>59/0.5</f>
        <v>118</v>
      </c>
      <c r="AF51" s="3">
        <f>17.2/60.7</f>
        <v>0.28336079077429982</v>
      </c>
      <c r="AG51" s="3">
        <f>10.3/5.7</f>
        <v>1.8070175438596492</v>
      </c>
      <c r="AH51" s="3">
        <v>520</v>
      </c>
      <c r="AI51" s="3">
        <v>5</v>
      </c>
      <c r="AJ51" s="3">
        <f>1/0.0062</f>
        <v>161.29032258064515</v>
      </c>
      <c r="AK51" s="3">
        <f>1/0.01</f>
        <v>100</v>
      </c>
      <c r="AL51" s="3">
        <f>AK51/AJ51</f>
        <v>0.62</v>
      </c>
      <c r="AM51" s="3" t="s">
        <v>71</v>
      </c>
      <c r="AN51" s="3" t="s">
        <v>8</v>
      </c>
      <c r="AO51" s="3" t="s">
        <v>9</v>
      </c>
      <c r="AP51" s="3">
        <v>4</v>
      </c>
      <c r="AQ51" s="3" t="s">
        <v>162</v>
      </c>
      <c r="AR51" s="7" t="s">
        <v>112</v>
      </c>
    </row>
    <row r="52" spans="1:44" s="3" customFormat="1" x14ac:dyDescent="0.3">
      <c r="A52" s="3" t="s">
        <v>163</v>
      </c>
      <c r="B52" s="3" t="s">
        <v>164</v>
      </c>
      <c r="C52" s="3" t="s">
        <v>111</v>
      </c>
      <c r="D52" s="3" t="s">
        <v>14</v>
      </c>
      <c r="E52" s="3" t="s">
        <v>21</v>
      </c>
      <c r="F52" s="3" t="s">
        <v>165</v>
      </c>
      <c r="G52" s="3">
        <v>1</v>
      </c>
      <c r="H52" s="3">
        <v>93</v>
      </c>
      <c r="I52" s="3">
        <v>-82</v>
      </c>
      <c r="J52" s="3">
        <v>280</v>
      </c>
      <c r="K52" s="3">
        <v>35</v>
      </c>
      <c r="L52" s="3">
        <v>40</v>
      </c>
      <c r="M52" s="12">
        <v>35.5</v>
      </c>
      <c r="N52" s="3">
        <v>70.7</v>
      </c>
      <c r="O52" s="3">
        <v>0.7</v>
      </c>
      <c r="P52" s="3">
        <v>35</v>
      </c>
      <c r="Q52" s="3">
        <v>-58.2</v>
      </c>
      <c r="R52" s="3">
        <v>0.35215556599999998</v>
      </c>
      <c r="S52" s="3">
        <v>0.53769785199999998</v>
      </c>
      <c r="T52" s="3">
        <v>213.06471250000001</v>
      </c>
      <c r="U52" s="3">
        <f>T52/N52</f>
        <v>3.0136451555869872</v>
      </c>
      <c r="V52" s="3">
        <v>-115.0793686</v>
      </c>
      <c r="W52" s="3">
        <f>V52/N52</f>
        <v>-1.6277138415841583</v>
      </c>
      <c r="X52" s="3">
        <v>-1.8514588243926116</v>
      </c>
      <c r="Y52" s="3">
        <f>(J52*K52)/1000</f>
        <v>9.8000000000000007</v>
      </c>
      <c r="Z52" s="3">
        <v>2.8</v>
      </c>
      <c r="AA52" s="3">
        <v>-20.6</v>
      </c>
      <c r="AB52" s="3">
        <v>0.32</v>
      </c>
      <c r="AC52" s="3">
        <v>6</v>
      </c>
      <c r="AD52" s="3">
        <v>5</v>
      </c>
      <c r="AE52" s="3">
        <v>54</v>
      </c>
      <c r="AF52" s="3">
        <v>0.91160949868073871</v>
      </c>
      <c r="AG52" s="3">
        <v>1.0683229813664594</v>
      </c>
      <c r="AH52" s="3">
        <v>400</v>
      </c>
      <c r="AI52" s="3">
        <v>43.4</v>
      </c>
      <c r="AJ52" s="3">
        <v>172.41379310344828</v>
      </c>
      <c r="AK52" s="3">
        <v>115.2073732718894</v>
      </c>
      <c r="AL52" s="3">
        <v>1.4965517241379311</v>
      </c>
      <c r="AM52" s="3" t="s">
        <v>120</v>
      </c>
      <c r="AN52" s="3" t="s">
        <v>8</v>
      </c>
      <c r="AO52" s="3" t="s">
        <v>9</v>
      </c>
      <c r="AP52" s="3">
        <v>4</v>
      </c>
      <c r="AQ52" s="3">
        <v>5</v>
      </c>
      <c r="AR52" s="7" t="s">
        <v>166</v>
      </c>
    </row>
    <row r="53" spans="1:44" s="3" customFormat="1" x14ac:dyDescent="0.3">
      <c r="A53" s="3" t="s">
        <v>163</v>
      </c>
      <c r="B53" s="3" t="s">
        <v>167</v>
      </c>
      <c r="C53" s="3" t="s">
        <v>111</v>
      </c>
      <c r="D53" s="3" t="s">
        <v>14</v>
      </c>
      <c r="E53" s="3" t="s">
        <v>21</v>
      </c>
      <c r="F53" s="3" t="s">
        <v>165</v>
      </c>
      <c r="G53" s="3">
        <v>1</v>
      </c>
      <c r="H53" s="3">
        <v>93</v>
      </c>
      <c r="I53" s="3">
        <v>-64</v>
      </c>
      <c r="J53" s="3">
        <v>200</v>
      </c>
      <c r="K53" s="3">
        <v>32</v>
      </c>
      <c r="L53" s="3">
        <v>160</v>
      </c>
      <c r="M53" s="12">
        <v>27.1</v>
      </c>
      <c r="N53" s="3">
        <v>64.2</v>
      </c>
      <c r="O53" s="3">
        <v>0.97</v>
      </c>
      <c r="P53" s="3">
        <v>50.2</v>
      </c>
      <c r="Q53" s="3">
        <v>-39.799999999999997</v>
      </c>
      <c r="R53" s="3">
        <v>0.39986193199999998</v>
      </c>
      <c r="S53" s="3">
        <v>0.84304588999999996</v>
      </c>
      <c r="T53" s="3">
        <v>189.13972469999999</v>
      </c>
      <c r="U53" s="3">
        <f>T53/N53</f>
        <v>2.9461016308411212</v>
      </c>
      <c r="V53" s="3">
        <v>-71.690055849999993</v>
      </c>
      <c r="W53" s="3">
        <f>V53/N53</f>
        <v>-1.1166675366043612</v>
      </c>
      <c r="X53" s="3">
        <v>-2.6382979125549113</v>
      </c>
      <c r="Y53" s="3">
        <f>(J53*K53)/1000</f>
        <v>6.4</v>
      </c>
      <c r="Z53" s="3">
        <v>3.7</v>
      </c>
      <c r="AA53" s="3">
        <v>-15.5</v>
      </c>
      <c r="AB53" s="3">
        <v>0.85</v>
      </c>
      <c r="AC53" s="3">
        <v>28</v>
      </c>
      <c r="AD53" s="3">
        <v>8</v>
      </c>
      <c r="AE53" s="3">
        <v>80</v>
      </c>
      <c r="AF53" s="3">
        <v>0.67045454545454541</v>
      </c>
      <c r="AG53" s="3">
        <v>1.2959183673469385</v>
      </c>
      <c r="AH53" s="3" t="s">
        <v>70</v>
      </c>
      <c r="AJ53" s="3">
        <v>144.92753623188406</v>
      </c>
      <c r="AK53" s="3">
        <v>92.592592592592581</v>
      </c>
      <c r="AL53" s="3">
        <v>1.5652173913043481</v>
      </c>
      <c r="AM53" s="3" t="s">
        <v>115</v>
      </c>
      <c r="AN53" s="3" t="s">
        <v>8</v>
      </c>
      <c r="AO53" s="3" t="s">
        <v>9</v>
      </c>
      <c r="AP53" s="3">
        <v>4</v>
      </c>
      <c r="AQ53" s="3">
        <v>8</v>
      </c>
      <c r="AR53" s="7" t="s">
        <v>168</v>
      </c>
    </row>
    <row r="54" spans="1:44" s="3" customFormat="1" x14ac:dyDescent="0.3">
      <c r="A54" s="3" t="s">
        <v>169</v>
      </c>
      <c r="B54" s="3" t="s">
        <v>170</v>
      </c>
      <c r="C54" s="3" t="s">
        <v>111</v>
      </c>
      <c r="D54" s="3" t="s">
        <v>14</v>
      </c>
      <c r="E54" s="3" t="s">
        <v>21</v>
      </c>
      <c r="F54" s="3" t="s">
        <v>171</v>
      </c>
      <c r="G54" s="3">
        <v>0</v>
      </c>
      <c r="H54" s="3">
        <v>68</v>
      </c>
      <c r="I54" s="3">
        <v>-66</v>
      </c>
      <c r="J54" s="3">
        <v>320</v>
      </c>
      <c r="K54" s="3">
        <v>34</v>
      </c>
      <c r="L54" s="3">
        <v>120</v>
      </c>
      <c r="M54" s="12">
        <v>24.8</v>
      </c>
      <c r="N54" s="3">
        <v>76.599999999999994</v>
      </c>
      <c r="O54" s="3">
        <v>1.0900000000000001</v>
      </c>
      <c r="P54" s="3">
        <v>77.8</v>
      </c>
      <c r="Q54" s="3">
        <v>-36.700000000000003</v>
      </c>
      <c r="R54" s="3">
        <v>0.453776181</v>
      </c>
      <c r="S54" s="3">
        <v>1.1107784510000001</v>
      </c>
      <c r="T54" s="3">
        <v>200.24420169999999</v>
      </c>
      <c r="U54" s="3">
        <f>T54/N54</f>
        <v>2.6141540691906004</v>
      </c>
      <c r="V54" s="3">
        <v>-70.818069460000004</v>
      </c>
      <c r="W54" s="3">
        <f>V54/N54</f>
        <v>-0.92451787806788521</v>
      </c>
      <c r="X54" s="3">
        <v>-2.8275862816777777</v>
      </c>
      <c r="Y54" s="3">
        <f>(J54*K54)/1000</f>
        <v>10.88</v>
      </c>
      <c r="Z54" s="3">
        <v>4.2</v>
      </c>
      <c r="AA54" s="3">
        <v>-12.9</v>
      </c>
      <c r="AB54" s="3">
        <v>1.22</v>
      </c>
      <c r="AC54" s="3">
        <v>30</v>
      </c>
      <c r="AD54" s="3">
        <v>1</v>
      </c>
      <c r="AE54" s="3">
        <v>62</v>
      </c>
      <c r="AF54" s="3">
        <v>0.6739690721649485</v>
      </c>
      <c r="AG54" s="3">
        <v>1.3643410852713178</v>
      </c>
      <c r="AH54" s="3">
        <v>480</v>
      </c>
      <c r="AI54" s="3">
        <v>19.7</v>
      </c>
      <c r="AJ54" s="3">
        <v>120.48192771084337</v>
      </c>
      <c r="AK54" s="3">
        <v>54.644808743169399</v>
      </c>
      <c r="AL54" s="3">
        <v>2.2048192771084336</v>
      </c>
      <c r="AM54" s="3" t="s">
        <v>120</v>
      </c>
      <c r="AN54" s="3" t="s">
        <v>8</v>
      </c>
      <c r="AO54" s="3" t="s">
        <v>9</v>
      </c>
      <c r="AP54" s="3">
        <v>4</v>
      </c>
      <c r="AQ54" s="3">
        <v>1</v>
      </c>
      <c r="AR54" s="7" t="s">
        <v>172</v>
      </c>
    </row>
    <row r="55" spans="1:44" s="3" customFormat="1" x14ac:dyDescent="0.3">
      <c r="A55" s="3" t="s">
        <v>173</v>
      </c>
      <c r="B55" s="3" t="s">
        <v>174</v>
      </c>
      <c r="C55" s="3" t="s">
        <v>111</v>
      </c>
      <c r="D55" s="3" t="s">
        <v>14</v>
      </c>
      <c r="E55" s="3" t="s">
        <v>21</v>
      </c>
      <c r="F55" s="3" t="s">
        <v>114</v>
      </c>
      <c r="G55" s="3">
        <v>3</v>
      </c>
      <c r="H55" s="3">
        <v>68</v>
      </c>
      <c r="I55" s="3">
        <v>-60</v>
      </c>
      <c r="J55" s="3">
        <v>180</v>
      </c>
      <c r="K55" s="3">
        <v>40</v>
      </c>
      <c r="L55" s="3">
        <v>120</v>
      </c>
      <c r="M55" s="12">
        <v>361.8</v>
      </c>
      <c r="N55" s="3">
        <v>66.7</v>
      </c>
      <c r="O55" s="3">
        <v>0.84</v>
      </c>
      <c r="P55" s="3">
        <v>22.8</v>
      </c>
      <c r="Q55" s="3">
        <v>-37.4</v>
      </c>
      <c r="R55" s="3">
        <v>0.35775309799999999</v>
      </c>
      <c r="S55" s="3">
        <v>0.68553543100000003</v>
      </c>
      <c r="T55" s="3">
        <v>197.80220030000001</v>
      </c>
      <c r="U55" s="3">
        <f>T55/N55</f>
        <v>2.9655502293853075</v>
      </c>
      <c r="V55" s="3">
        <v>-87.553382869999993</v>
      </c>
      <c r="W55" s="3">
        <f>V55/N55</f>
        <v>-1.31264442083958</v>
      </c>
      <c r="X55" s="3">
        <v>-2.2592182485249985</v>
      </c>
      <c r="Y55" s="3">
        <f>(J55*K55)/1000</f>
        <v>7.2</v>
      </c>
      <c r="Z55" s="3">
        <v>3.5</v>
      </c>
      <c r="AA55" s="3">
        <v>-23.3</v>
      </c>
      <c r="AB55" s="3">
        <v>0.37</v>
      </c>
      <c r="AC55" s="3">
        <v>4</v>
      </c>
      <c r="AD55" s="3">
        <v>1</v>
      </c>
      <c r="AE55" s="3">
        <v>68</v>
      </c>
      <c r="AF55" s="3">
        <v>0.88169014084507047</v>
      </c>
      <c r="AG55" s="3">
        <v>1.0205479452054795</v>
      </c>
      <c r="AH55" s="3" t="s">
        <v>70</v>
      </c>
      <c r="AJ55" s="3">
        <v>147.05882352941177</v>
      </c>
      <c r="AK55" s="3">
        <v>101.52284263959392</v>
      </c>
      <c r="AL55" s="3">
        <v>1.4485294117647058</v>
      </c>
      <c r="AM55" s="3" t="s">
        <v>115</v>
      </c>
      <c r="AN55" s="3" t="s">
        <v>8</v>
      </c>
      <c r="AO55" s="3" t="s">
        <v>9</v>
      </c>
      <c r="AP55" s="3">
        <v>4</v>
      </c>
      <c r="AQ55" s="3">
        <v>1</v>
      </c>
      <c r="AR55" s="7" t="s">
        <v>82</v>
      </c>
    </row>
    <row r="56" spans="1:44" s="3" customFormat="1" x14ac:dyDescent="0.3">
      <c r="A56" s="3" t="s">
        <v>175</v>
      </c>
      <c r="B56" s="3" t="s">
        <v>176</v>
      </c>
      <c r="C56" s="3" t="s">
        <v>111</v>
      </c>
      <c r="D56" s="3" t="s">
        <v>14</v>
      </c>
      <c r="E56" s="3" t="s">
        <v>21</v>
      </c>
      <c r="F56" s="3" t="s">
        <v>177</v>
      </c>
      <c r="G56" s="3">
        <v>8</v>
      </c>
      <c r="H56" s="3">
        <v>67</v>
      </c>
      <c r="I56" s="3">
        <v>-65</v>
      </c>
      <c r="J56" s="3">
        <v>190</v>
      </c>
      <c r="K56" s="3">
        <v>28</v>
      </c>
      <c r="L56" s="3">
        <v>160</v>
      </c>
      <c r="M56" s="12">
        <v>200.6</v>
      </c>
      <c r="N56" s="3">
        <v>57.4</v>
      </c>
      <c r="O56" s="3">
        <v>0.79</v>
      </c>
      <c r="P56" s="3">
        <v>38.5</v>
      </c>
      <c r="Q56" s="3">
        <v>-32.200000000000003</v>
      </c>
      <c r="R56" s="3">
        <v>0.37775266200000002</v>
      </c>
      <c r="S56" s="3">
        <v>0.70187395799999996</v>
      </c>
      <c r="T56" s="3">
        <v>178.8766785</v>
      </c>
      <c r="U56" s="3">
        <f>T56/N56</f>
        <v>3.1163184407665505</v>
      </c>
      <c r="V56" s="3">
        <v>-82.977424619999994</v>
      </c>
      <c r="W56" s="3">
        <f>V56/N56</f>
        <v>-1.445599732055749</v>
      </c>
      <c r="X56" s="3">
        <v>-2.1557270464728964</v>
      </c>
      <c r="Y56" s="3">
        <f>(J56*K56)/1000</f>
        <v>5.32</v>
      </c>
      <c r="Z56" s="3">
        <v>3.1</v>
      </c>
      <c r="AA56" s="3">
        <v>-12.8</v>
      </c>
      <c r="AB56" s="3">
        <v>0.37</v>
      </c>
      <c r="AC56" s="3">
        <v>8</v>
      </c>
      <c r="AD56" s="3">
        <v>1</v>
      </c>
      <c r="AE56" s="3">
        <v>126</v>
      </c>
      <c r="AF56" s="3">
        <v>0.73229706390328153</v>
      </c>
      <c r="AG56" s="3">
        <v>1.1052631578947369</v>
      </c>
      <c r="AJ56" s="3">
        <v>147.05882352941177</v>
      </c>
      <c r="AK56" s="3">
        <v>120.91898428053204</v>
      </c>
      <c r="AL56" s="3">
        <v>1.2161764705882354</v>
      </c>
      <c r="AN56" s="3" t="s">
        <v>8</v>
      </c>
      <c r="AO56" s="3" t="s">
        <v>9</v>
      </c>
      <c r="AP56" s="3">
        <v>4</v>
      </c>
      <c r="AQ56" s="3">
        <v>1</v>
      </c>
      <c r="AR56" s="7" t="s">
        <v>74</v>
      </c>
    </row>
    <row r="57" spans="1:44" s="3" customFormat="1" x14ac:dyDescent="0.3">
      <c r="A57" s="3" t="s">
        <v>175</v>
      </c>
      <c r="B57" s="3" t="s">
        <v>178</v>
      </c>
      <c r="C57" s="3" t="s">
        <v>111</v>
      </c>
      <c r="D57" s="3" t="s">
        <v>14</v>
      </c>
      <c r="E57" s="3" t="s">
        <v>21</v>
      </c>
      <c r="F57" s="3" t="s">
        <v>177</v>
      </c>
      <c r="G57" s="3">
        <v>8</v>
      </c>
      <c r="H57" s="3">
        <v>67</v>
      </c>
      <c r="I57" s="3">
        <v>-63</v>
      </c>
      <c r="J57" s="3">
        <v>300</v>
      </c>
      <c r="K57" s="3">
        <v>30</v>
      </c>
      <c r="L57" s="3">
        <v>120</v>
      </c>
      <c r="M57" s="12">
        <v>35.700000000000003</v>
      </c>
      <c r="N57" s="3">
        <v>72.3</v>
      </c>
      <c r="O57" s="3">
        <v>1.29</v>
      </c>
      <c r="P57" s="3">
        <v>79.400000000000006</v>
      </c>
      <c r="Q57" s="3">
        <v>-37.9</v>
      </c>
      <c r="R57" s="3">
        <v>0.52967441100000001</v>
      </c>
      <c r="S57" s="3">
        <v>1.192085624</v>
      </c>
      <c r="T57" s="3">
        <v>157.5091553</v>
      </c>
      <c r="U57" s="3">
        <f>T57/N57</f>
        <v>2.1785498658367914</v>
      </c>
      <c r="V57" s="3">
        <v>-57.692306520000002</v>
      </c>
      <c r="W57" s="3">
        <f>V57/N57</f>
        <v>-0.79795721327800839</v>
      </c>
      <c r="X57" s="3">
        <v>-2.7301587473434923</v>
      </c>
      <c r="Y57" s="3">
        <f>(J57*K57)/1000</f>
        <v>9</v>
      </c>
      <c r="Z57" s="3">
        <v>4.8</v>
      </c>
      <c r="AA57" s="3">
        <v>-15.7</v>
      </c>
      <c r="AB57" s="3">
        <v>0.57999999999999996</v>
      </c>
      <c r="AC57" s="3">
        <v>22</v>
      </c>
      <c r="AD57" s="3">
        <v>5</v>
      </c>
      <c r="AE57" s="3">
        <v>64</v>
      </c>
      <c r="AF57" s="3">
        <v>0.77150916784203105</v>
      </c>
      <c r="AG57" s="3">
        <v>1.3057851239669422</v>
      </c>
      <c r="AH57" s="3">
        <v>400</v>
      </c>
      <c r="AI57" s="3">
        <v>11.6</v>
      </c>
      <c r="AJ57" s="3">
        <v>103.09278350515464</v>
      </c>
      <c r="AK57" s="3">
        <v>74.074074074074076</v>
      </c>
      <c r="AL57" s="3">
        <v>1.3917525773195876</v>
      </c>
      <c r="AM57" s="3" t="s">
        <v>120</v>
      </c>
      <c r="AN57" s="3" t="s">
        <v>8</v>
      </c>
      <c r="AO57" s="3" t="s">
        <v>9</v>
      </c>
      <c r="AP57" s="3">
        <v>4</v>
      </c>
      <c r="AQ57" s="3">
        <v>5</v>
      </c>
      <c r="AR57" s="7"/>
    </row>
    <row r="58" spans="1:44" s="3" customFormat="1" x14ac:dyDescent="0.3">
      <c r="A58" s="3" t="s">
        <v>179</v>
      </c>
      <c r="B58" s="3" t="s">
        <v>180</v>
      </c>
      <c r="C58" s="3" t="s">
        <v>111</v>
      </c>
      <c r="D58" s="3" t="s">
        <v>14</v>
      </c>
      <c r="E58" s="3" t="s">
        <v>21</v>
      </c>
      <c r="F58" s="3" t="s">
        <v>181</v>
      </c>
      <c r="G58" s="3">
        <v>10</v>
      </c>
      <c r="H58" s="3">
        <v>75</v>
      </c>
      <c r="I58" s="3">
        <v>-66</v>
      </c>
      <c r="J58" s="3">
        <v>250</v>
      </c>
      <c r="K58" s="3">
        <v>35</v>
      </c>
      <c r="L58" s="3">
        <v>240</v>
      </c>
      <c r="M58" s="12">
        <v>14.6</v>
      </c>
      <c r="N58" s="3">
        <v>54.9</v>
      </c>
      <c r="O58" s="3">
        <v>0.72</v>
      </c>
      <c r="P58" s="3">
        <v>31</v>
      </c>
      <c r="Q58" s="3">
        <v>-32.9</v>
      </c>
      <c r="R58" s="3">
        <v>0.33410495499999998</v>
      </c>
      <c r="S58" s="3">
        <v>0.57220417300000004</v>
      </c>
      <c r="T58" s="3">
        <v>174.60317989999999</v>
      </c>
      <c r="U58" s="3">
        <f>T58/N58</f>
        <v>3.1803857905282329</v>
      </c>
      <c r="V58" s="3">
        <v>-94.017097469999996</v>
      </c>
      <c r="W58" s="3">
        <f>V58/N58</f>
        <v>-1.7125154366120219</v>
      </c>
      <c r="X58" s="3">
        <v>-1.8571428452757146</v>
      </c>
      <c r="Y58" s="3">
        <f>(J58*K58)/1000</f>
        <v>8.75</v>
      </c>
      <c r="Z58" s="3">
        <v>2.7</v>
      </c>
      <c r="AA58" s="3">
        <v>-15.3</v>
      </c>
      <c r="AB58" s="3">
        <v>0.52</v>
      </c>
      <c r="AC58" s="3">
        <v>70</v>
      </c>
      <c r="AD58" s="3">
        <v>0</v>
      </c>
      <c r="AE58" s="3">
        <v>130</v>
      </c>
      <c r="AF58" s="3">
        <v>0.49557522123893805</v>
      </c>
      <c r="AG58" s="3">
        <v>1.5818181818181818</v>
      </c>
      <c r="AH58" s="3" t="s">
        <v>70</v>
      </c>
      <c r="AJ58" s="3">
        <v>181.81818181818184</v>
      </c>
      <c r="AK58" s="3">
        <v>120.48192771084337</v>
      </c>
      <c r="AL58" s="3">
        <v>1.5090909090909095</v>
      </c>
      <c r="AM58" s="3" t="s">
        <v>115</v>
      </c>
      <c r="AN58" s="3" t="s">
        <v>8</v>
      </c>
      <c r="AO58" s="3" t="s">
        <v>9</v>
      </c>
      <c r="AP58" s="3">
        <v>4</v>
      </c>
      <c r="AQ58" s="3">
        <v>0</v>
      </c>
      <c r="AR58" s="7" t="s">
        <v>82</v>
      </c>
    </row>
    <row r="59" spans="1:44" s="3" customFormat="1" x14ac:dyDescent="0.3">
      <c r="A59" s="3" t="s">
        <v>179</v>
      </c>
      <c r="B59" s="3" t="s">
        <v>182</v>
      </c>
      <c r="C59" s="3" t="s">
        <v>111</v>
      </c>
      <c r="D59" s="3" t="s">
        <v>14</v>
      </c>
      <c r="E59" s="3" t="s">
        <v>21</v>
      </c>
      <c r="F59" s="3" t="s">
        <v>181</v>
      </c>
      <c r="G59" s="3">
        <v>10</v>
      </c>
      <c r="H59" s="3">
        <v>75</v>
      </c>
      <c r="I59" s="3">
        <v>-73</v>
      </c>
      <c r="J59" s="3">
        <v>290</v>
      </c>
      <c r="K59" s="3">
        <v>23</v>
      </c>
      <c r="L59" s="3">
        <v>120</v>
      </c>
      <c r="M59" s="12">
        <v>25</v>
      </c>
      <c r="N59" s="3">
        <v>72.2</v>
      </c>
      <c r="O59" s="3">
        <v>0.93</v>
      </c>
      <c r="P59" s="3">
        <v>50.3</v>
      </c>
      <c r="Q59" s="3">
        <v>-36.799999999999997</v>
      </c>
      <c r="R59" s="3">
        <v>0.42941063600000001</v>
      </c>
      <c r="S59" s="3">
        <v>0.77880841499999998</v>
      </c>
      <c r="T59" s="3">
        <v>192.61294559999999</v>
      </c>
      <c r="U59" s="3">
        <f>T59/N59</f>
        <v>2.667769329639889</v>
      </c>
      <c r="V59" s="3">
        <v>-83.943832400000005</v>
      </c>
      <c r="W59" s="3">
        <f>V59/N59</f>
        <v>-1.1626569584487534</v>
      </c>
      <c r="X59" s="3">
        <v>-2.2945455323290669</v>
      </c>
      <c r="Y59" s="3">
        <f>(J59*K59)/1000</f>
        <v>6.67</v>
      </c>
      <c r="Z59" s="3">
        <v>3.5</v>
      </c>
      <c r="AA59" s="3">
        <v>-18.3</v>
      </c>
      <c r="AB59" s="3">
        <v>0.98</v>
      </c>
      <c r="AC59" s="3">
        <v>38</v>
      </c>
      <c r="AD59" s="3">
        <v>8</v>
      </c>
      <c r="AE59" s="3">
        <v>90</v>
      </c>
      <c r="AF59" s="3">
        <v>0.82503364737550466</v>
      </c>
      <c r="AG59" s="3">
        <v>1.2637362637362637</v>
      </c>
      <c r="AJ59" s="3">
        <v>153.84615384615384</v>
      </c>
      <c r="AK59" s="3">
        <v>103.09278350515464</v>
      </c>
      <c r="AL59" s="3">
        <v>1.4923076923076921</v>
      </c>
      <c r="AM59" s="3" t="s">
        <v>115</v>
      </c>
      <c r="AN59" s="3" t="s">
        <v>8</v>
      </c>
      <c r="AO59" s="3" t="s">
        <v>9</v>
      </c>
      <c r="AP59" s="3">
        <v>4</v>
      </c>
      <c r="AQ59" s="3">
        <v>8</v>
      </c>
      <c r="AR59" s="7" t="s">
        <v>101</v>
      </c>
    </row>
    <row r="60" spans="1:44" s="3" customFormat="1" x14ac:dyDescent="0.3">
      <c r="A60" s="3" t="s">
        <v>183</v>
      </c>
      <c r="B60" s="3" t="s">
        <v>184</v>
      </c>
      <c r="C60" s="3" t="s">
        <v>111</v>
      </c>
      <c r="D60" s="3" t="s">
        <v>14</v>
      </c>
      <c r="E60" s="3" t="s">
        <v>21</v>
      </c>
      <c r="F60" s="3" t="s">
        <v>185</v>
      </c>
      <c r="G60" s="3">
        <v>2</v>
      </c>
      <c r="H60" s="3">
        <v>66</v>
      </c>
      <c r="I60" s="3">
        <v>-73</v>
      </c>
      <c r="J60" s="3">
        <v>340</v>
      </c>
      <c r="K60" s="3">
        <v>26</v>
      </c>
      <c r="L60" s="3">
        <v>120</v>
      </c>
      <c r="M60" s="12">
        <v>27.5</v>
      </c>
      <c r="N60" s="3">
        <v>53.7</v>
      </c>
      <c r="O60" s="3">
        <v>0.72</v>
      </c>
      <c r="P60" s="3">
        <v>22.6</v>
      </c>
      <c r="Q60" s="3">
        <v>-40.4</v>
      </c>
      <c r="R60" s="3">
        <v>0.31876069299999998</v>
      </c>
      <c r="S60" s="3">
        <v>0.59457320000000002</v>
      </c>
      <c r="T60" s="3">
        <v>186.5079346</v>
      </c>
      <c r="U60" s="3">
        <f>T60/N60</f>
        <v>3.4731458957169457</v>
      </c>
      <c r="V60" s="3">
        <v>-86.996337890000007</v>
      </c>
      <c r="W60" s="3">
        <f>V60/N60</f>
        <v>-1.6200435361266294</v>
      </c>
      <c r="X60" s="3">
        <f t="shared" ref="X60:X74" si="5">T60/V60</f>
        <v>-2.14385960516895</v>
      </c>
      <c r="Y60" s="3">
        <f>(J60*K60)/1000</f>
        <v>8.84</v>
      </c>
      <c r="Z60" s="3">
        <v>3</v>
      </c>
      <c r="AA60" s="3">
        <v>-18.100000000000001</v>
      </c>
      <c r="AB60" s="3">
        <v>0.61</v>
      </c>
      <c r="AC60" s="3">
        <v>4</v>
      </c>
      <c r="AD60" s="3">
        <v>0</v>
      </c>
      <c r="AE60" s="3">
        <v>92</v>
      </c>
      <c r="AF60" s="3">
        <f>49.7/59.6</f>
        <v>0.83389261744966447</v>
      </c>
      <c r="AG60" s="3">
        <f>11/9.2</f>
        <v>1.1956521739130437</v>
      </c>
      <c r="AH60" s="3">
        <v>560</v>
      </c>
      <c r="AI60" s="3">
        <v>-23.9</v>
      </c>
      <c r="AJ60" s="3">
        <f>1/0.006</f>
        <v>166.66666666666666</v>
      </c>
      <c r="AK60" s="3">
        <f>1/0.0086</f>
        <v>116.27906976744185</v>
      </c>
      <c r="AL60" s="3">
        <f t="shared" ref="AL60:AL74" si="6">AJ60/AK60</f>
        <v>1.4333333333333333</v>
      </c>
      <c r="AM60" s="3" t="s">
        <v>120</v>
      </c>
      <c r="AN60" s="3" t="s">
        <v>8</v>
      </c>
      <c r="AO60" s="3" t="s">
        <v>9</v>
      </c>
      <c r="AP60" s="3">
        <v>4</v>
      </c>
      <c r="AR60" s="7">
        <v>0</v>
      </c>
    </row>
    <row r="61" spans="1:44" s="3" customFormat="1" x14ac:dyDescent="0.3">
      <c r="A61" s="3" t="s">
        <v>183</v>
      </c>
      <c r="B61" s="3" t="s">
        <v>186</v>
      </c>
      <c r="C61" s="3" t="s">
        <v>111</v>
      </c>
      <c r="D61" s="3" t="s">
        <v>14</v>
      </c>
      <c r="E61" s="3" t="s">
        <v>21</v>
      </c>
      <c r="F61" s="3" t="s">
        <v>185</v>
      </c>
      <c r="G61" s="3">
        <v>2</v>
      </c>
      <c r="H61" s="3">
        <v>66</v>
      </c>
      <c r="I61" s="3">
        <v>-73</v>
      </c>
      <c r="J61" s="3">
        <v>190</v>
      </c>
      <c r="K61" s="3">
        <v>28</v>
      </c>
      <c r="L61" s="3">
        <v>240</v>
      </c>
      <c r="M61" s="12">
        <v>19</v>
      </c>
      <c r="N61" s="3">
        <v>50.2</v>
      </c>
      <c r="O61" s="3">
        <v>0.68</v>
      </c>
      <c r="P61" s="3">
        <v>19.3</v>
      </c>
      <c r="Q61" s="3">
        <v>-39.299999999999997</v>
      </c>
      <c r="R61" s="3">
        <v>0.31423363100000001</v>
      </c>
      <c r="S61" s="3">
        <v>0.55241370199999995</v>
      </c>
      <c r="T61" s="3">
        <v>171.85592650000001</v>
      </c>
      <c r="U61" s="3">
        <f>T61/N61</f>
        <v>3.4234248306772908</v>
      </c>
      <c r="V61" s="3">
        <v>-89.133087160000002</v>
      </c>
      <c r="W61" s="3">
        <f>V61/N61</f>
        <v>-1.7755595051792827</v>
      </c>
      <c r="X61" s="3">
        <f t="shared" si="5"/>
        <v>-1.9280822865644365</v>
      </c>
      <c r="Y61" s="3">
        <f>(J61*K61)/1000</f>
        <v>5.32</v>
      </c>
      <c r="Z61" s="3">
        <v>2.8</v>
      </c>
      <c r="AA61" s="3">
        <v>-17.399999999999999</v>
      </c>
      <c r="AB61" s="3">
        <v>0.27</v>
      </c>
      <c r="AC61" s="3">
        <v>50</v>
      </c>
      <c r="AD61" s="3">
        <v>8</v>
      </c>
      <c r="AE61" s="3">
        <v>134</v>
      </c>
      <c r="AF61" s="3">
        <f>33.3/54.3</f>
        <v>0.61325966850828728</v>
      </c>
      <c r="AG61" s="3">
        <f>7.6/6.1</f>
        <v>1.2459016393442623</v>
      </c>
      <c r="AH61" s="3" t="s">
        <v>70</v>
      </c>
      <c r="AJ61" s="3">
        <f>1/0.0061</f>
        <v>163.93442622950818</v>
      </c>
      <c r="AK61" s="3">
        <f>1/0.0077</f>
        <v>129.87012987012986</v>
      </c>
      <c r="AL61" s="3">
        <f t="shared" si="6"/>
        <v>1.262295081967213</v>
      </c>
      <c r="AM61" s="3" t="s">
        <v>115</v>
      </c>
      <c r="AN61" s="3" t="s">
        <v>8</v>
      </c>
      <c r="AO61" s="3" t="s">
        <v>9</v>
      </c>
      <c r="AP61" s="3">
        <v>4</v>
      </c>
      <c r="AR61" s="7">
        <v>8</v>
      </c>
    </row>
    <row r="62" spans="1:44" s="3" customFormat="1" x14ac:dyDescent="0.3">
      <c r="A62" s="3" t="s">
        <v>187</v>
      </c>
      <c r="B62" s="3" t="s">
        <v>188</v>
      </c>
      <c r="C62" s="3" t="s">
        <v>111</v>
      </c>
      <c r="D62" s="3" t="s">
        <v>14</v>
      </c>
      <c r="E62" s="3" t="s">
        <v>21</v>
      </c>
      <c r="F62" s="3" t="s">
        <v>185</v>
      </c>
      <c r="G62" s="3">
        <v>1</v>
      </c>
      <c r="H62" s="3">
        <v>70</v>
      </c>
      <c r="I62" s="3">
        <v>-64</v>
      </c>
      <c r="J62" s="3">
        <v>220</v>
      </c>
      <c r="K62" s="3">
        <v>31</v>
      </c>
      <c r="L62" s="3">
        <v>280</v>
      </c>
      <c r="M62" s="12">
        <v>97.1</v>
      </c>
      <c r="N62" s="3">
        <v>65.099999999999994</v>
      </c>
      <c r="O62" s="3">
        <v>0.65</v>
      </c>
      <c r="P62" s="3">
        <v>25.5</v>
      </c>
      <c r="Q62" s="3">
        <v>-20.6</v>
      </c>
      <c r="R62" s="3">
        <v>0.31468308</v>
      </c>
      <c r="S62" s="3">
        <v>0.54053831100000005</v>
      </c>
      <c r="T62" s="3">
        <v>233.6790771</v>
      </c>
      <c r="U62" s="3">
        <f>T62/N62</f>
        <v>3.5895403548387099</v>
      </c>
      <c r="V62" s="3">
        <v>-112.6373596</v>
      </c>
      <c r="W62" s="3">
        <f>V62/N62</f>
        <v>-1.7302205775729647</v>
      </c>
      <c r="X62" s="3">
        <f t="shared" si="5"/>
        <v>-2.0746143014169163</v>
      </c>
      <c r="Y62" s="3">
        <f>(J62*K62)/1000</f>
        <v>6.82</v>
      </c>
      <c r="Z62" s="3">
        <v>2.7</v>
      </c>
      <c r="AA62" s="3">
        <v>-19.600000000000001</v>
      </c>
      <c r="AB62" s="3">
        <v>1.04</v>
      </c>
      <c r="AC62" s="3">
        <v>26</v>
      </c>
      <c r="AD62" s="3">
        <v>0</v>
      </c>
      <c r="AE62" s="3">
        <v>114</v>
      </c>
      <c r="AF62" s="3">
        <f>44.2/67.9</f>
        <v>0.65095729013254788</v>
      </c>
      <c r="AG62" s="3">
        <f>8.9/7.7</f>
        <v>1.1558441558441559</v>
      </c>
      <c r="AH62" s="3" t="s">
        <v>70</v>
      </c>
      <c r="AJ62" s="3">
        <f>1/0.0071</f>
        <v>140.8450704225352</v>
      </c>
      <c r="AK62" s="3">
        <f>1/0.0091</f>
        <v>109.89010989010988</v>
      </c>
      <c r="AL62" s="3">
        <f t="shared" si="6"/>
        <v>1.2816901408450705</v>
      </c>
      <c r="AM62" s="3" t="s">
        <v>115</v>
      </c>
      <c r="AN62" s="3" t="s">
        <v>8</v>
      </c>
      <c r="AO62" s="3" t="s">
        <v>9</v>
      </c>
      <c r="AP62" s="3">
        <v>4</v>
      </c>
      <c r="AR62" s="7">
        <v>0</v>
      </c>
    </row>
    <row r="63" spans="1:44" s="3" customFormat="1" x14ac:dyDescent="0.3">
      <c r="A63" s="3" t="s">
        <v>187</v>
      </c>
      <c r="B63" s="3" t="s">
        <v>189</v>
      </c>
      <c r="C63" s="3" t="s">
        <v>111</v>
      </c>
      <c r="D63" s="3" t="s">
        <v>14</v>
      </c>
      <c r="E63" s="3" t="s">
        <v>21</v>
      </c>
      <c r="F63" s="3" t="s">
        <v>185</v>
      </c>
      <c r="G63" s="3">
        <v>1</v>
      </c>
      <c r="H63" s="3">
        <v>70</v>
      </c>
      <c r="I63" s="3">
        <v>-62</v>
      </c>
      <c r="J63" s="3">
        <v>500</v>
      </c>
      <c r="K63" s="3">
        <v>29</v>
      </c>
      <c r="L63" s="3">
        <v>80</v>
      </c>
      <c r="M63" s="12">
        <v>98.1</v>
      </c>
      <c r="N63" s="3">
        <v>53</v>
      </c>
      <c r="O63" s="3">
        <v>0.89</v>
      </c>
      <c r="P63" s="3">
        <v>24.8</v>
      </c>
      <c r="Q63" s="3">
        <v>-31.6</v>
      </c>
      <c r="R63" s="3">
        <v>0.38350114200000002</v>
      </c>
      <c r="S63" s="3">
        <v>0.74019986400000004</v>
      </c>
      <c r="T63" s="3">
        <v>144.3833923</v>
      </c>
      <c r="U63" s="3">
        <f>T63/N63</f>
        <v>2.7242149490566039</v>
      </c>
      <c r="V63" s="3">
        <v>-70.512817380000001</v>
      </c>
      <c r="W63" s="3">
        <f>V63/N63</f>
        <v>-1.3304305166037735</v>
      </c>
      <c r="X63" s="3">
        <f t="shared" si="5"/>
        <v>-2.047619109046583</v>
      </c>
      <c r="Y63" s="3">
        <f>(J63*K63)/1000</f>
        <v>14.5</v>
      </c>
      <c r="Z63" s="3">
        <v>4</v>
      </c>
      <c r="AA63" s="3">
        <v>-17.7</v>
      </c>
      <c r="AB63" s="3">
        <v>1.43</v>
      </c>
      <c r="AC63" s="3">
        <v>10</v>
      </c>
      <c r="AD63" s="3">
        <v>1</v>
      </c>
      <c r="AE63" s="3">
        <v>56</v>
      </c>
      <c r="AF63" s="3">
        <f>48/53.2</f>
        <v>0.90225563909774431</v>
      </c>
      <c r="AG63" s="3">
        <f>19/16.7</f>
        <v>1.1377245508982037</v>
      </c>
      <c r="AJ63" s="3">
        <f>1/0.0081</f>
        <v>123.4567901234568</v>
      </c>
      <c r="AK63" s="3">
        <f>1/0.0121</f>
        <v>82.644628099173559</v>
      </c>
      <c r="AL63" s="3">
        <f t="shared" si="6"/>
        <v>1.4938271604938271</v>
      </c>
      <c r="AN63" s="3" t="s">
        <v>8</v>
      </c>
      <c r="AO63" s="3" t="s">
        <v>9</v>
      </c>
      <c r="AP63" s="3">
        <v>4</v>
      </c>
      <c r="AR63" s="7">
        <v>1</v>
      </c>
    </row>
    <row r="64" spans="1:44" s="3" customFormat="1" x14ac:dyDescent="0.3">
      <c r="A64" s="3" t="s">
        <v>187</v>
      </c>
      <c r="B64" s="3" t="s">
        <v>190</v>
      </c>
      <c r="C64" s="3" t="s">
        <v>111</v>
      </c>
      <c r="D64" s="3" t="s">
        <v>14</v>
      </c>
      <c r="E64" s="3" t="s">
        <v>21</v>
      </c>
      <c r="F64" s="3" t="s">
        <v>185</v>
      </c>
      <c r="G64" s="3">
        <v>1</v>
      </c>
      <c r="H64" s="3">
        <v>70</v>
      </c>
      <c r="I64" s="3">
        <v>-75</v>
      </c>
      <c r="J64" s="3">
        <v>375</v>
      </c>
      <c r="K64" s="3">
        <v>25</v>
      </c>
      <c r="L64" s="3">
        <v>120</v>
      </c>
      <c r="M64" s="12">
        <v>51</v>
      </c>
      <c r="N64" s="3">
        <v>65.5</v>
      </c>
      <c r="O64" s="3">
        <v>0.65</v>
      </c>
      <c r="P64" s="3">
        <v>34</v>
      </c>
      <c r="Q64" s="3">
        <v>-43.4</v>
      </c>
      <c r="R64" s="3">
        <v>0.35130813700000002</v>
      </c>
      <c r="S64" s="3">
        <v>0.54723286599999998</v>
      </c>
      <c r="T64" s="3">
        <v>205.43345640000001</v>
      </c>
      <c r="U64" s="3">
        <f>T64/N64</f>
        <v>3.1363886473282445</v>
      </c>
      <c r="V64" s="3">
        <v>-115.31421659999999</v>
      </c>
      <c r="W64" s="3">
        <f>V64/N64</f>
        <v>-1.7605223908396945</v>
      </c>
      <c r="X64" s="3">
        <f t="shared" si="5"/>
        <v>-1.7815102288090299</v>
      </c>
      <c r="Y64" s="3">
        <f>(J64*K64)/1000</f>
        <v>9.375</v>
      </c>
      <c r="Z64" s="3">
        <v>2.6</v>
      </c>
      <c r="AA64" s="3">
        <v>-14.3</v>
      </c>
      <c r="AB64" s="3">
        <v>0.1</v>
      </c>
      <c r="AC64" s="3">
        <v>24</v>
      </c>
      <c r="AD64" s="3">
        <v>6</v>
      </c>
      <c r="AE64" s="3">
        <v>108</v>
      </c>
      <c r="AF64" s="3">
        <f>62.1/66.6</f>
        <v>0.93243243243243257</v>
      </c>
      <c r="AG64" s="3">
        <f>9.4/8.4</f>
        <v>1.1190476190476191</v>
      </c>
      <c r="AH64" s="3" t="s">
        <v>70</v>
      </c>
      <c r="AJ64" s="3">
        <f>1/0.0044</f>
        <v>227.27272727272725</v>
      </c>
      <c r="AK64" s="3">
        <f>1/0.0062</f>
        <v>161.29032258064515</v>
      </c>
      <c r="AL64" s="3">
        <f t="shared" si="6"/>
        <v>1.4090909090909089</v>
      </c>
      <c r="AM64" s="3" t="s">
        <v>191</v>
      </c>
      <c r="AN64" s="3" t="s">
        <v>8</v>
      </c>
      <c r="AO64" s="3" t="s">
        <v>9</v>
      </c>
      <c r="AP64" s="3">
        <v>4</v>
      </c>
      <c r="AR64" s="7">
        <v>6</v>
      </c>
    </row>
    <row r="65" spans="1:78" s="3" customFormat="1" x14ac:dyDescent="0.3">
      <c r="A65" s="3" t="s">
        <v>187</v>
      </c>
      <c r="B65" s="3" t="s">
        <v>192</v>
      </c>
      <c r="C65" s="3" t="s">
        <v>111</v>
      </c>
      <c r="D65" s="3" t="s">
        <v>14</v>
      </c>
      <c r="E65" s="3" t="s">
        <v>21</v>
      </c>
      <c r="F65" s="3" t="s">
        <v>185</v>
      </c>
      <c r="G65" s="3">
        <v>1</v>
      </c>
      <c r="H65" s="3">
        <v>70</v>
      </c>
      <c r="I65" s="3">
        <v>-71</v>
      </c>
      <c r="J65" s="3">
        <v>270</v>
      </c>
      <c r="K65" s="3">
        <v>21</v>
      </c>
      <c r="L65" s="3">
        <v>160</v>
      </c>
      <c r="M65" s="12">
        <v>30.2</v>
      </c>
      <c r="N65" s="3">
        <v>53.7</v>
      </c>
      <c r="O65" s="3">
        <v>0.66</v>
      </c>
      <c r="P65" s="3">
        <v>26.3</v>
      </c>
      <c r="Q65" s="3">
        <v>-35.5</v>
      </c>
      <c r="R65" s="3">
        <v>0.29708263299999998</v>
      </c>
      <c r="S65" s="3">
        <v>0.54013675500000002</v>
      </c>
      <c r="T65" s="3">
        <v>183.03843689999999</v>
      </c>
      <c r="U65" s="3">
        <f>T65/N65</f>
        <v>3.4085369999999995</v>
      </c>
      <c r="V65" s="3">
        <v>-91.575088500000007</v>
      </c>
      <c r="W65" s="3">
        <f>V65/N65</f>
        <v>-1.7053089106145252</v>
      </c>
      <c r="X65" s="3">
        <f t="shared" si="5"/>
        <v>-1.9987797980670254</v>
      </c>
      <c r="Y65" s="3">
        <f>(J65*K65)/1000</f>
        <v>5.67</v>
      </c>
      <c r="Z65" s="3">
        <v>3.6</v>
      </c>
      <c r="AA65" s="3">
        <v>-20.7</v>
      </c>
      <c r="AB65" s="3">
        <v>0.73</v>
      </c>
      <c r="AC65" s="3">
        <v>2</v>
      </c>
      <c r="AD65" s="3">
        <v>9</v>
      </c>
      <c r="AE65" s="3">
        <v>102</v>
      </c>
      <c r="AF65" s="3">
        <f>51.6/60.7</f>
        <v>0.85008237232289952</v>
      </c>
      <c r="AG65" s="3">
        <f>9.6/7.9</f>
        <v>1.2151898734177213</v>
      </c>
      <c r="AH65" s="3" t="s">
        <v>70</v>
      </c>
      <c r="AJ65" s="3">
        <f>1/0.0051</f>
        <v>196.07843137254901</v>
      </c>
      <c r="AK65" s="3">
        <f>1/0.0082</f>
        <v>121.95121951219511</v>
      </c>
      <c r="AL65" s="3">
        <f t="shared" si="6"/>
        <v>1.607843137254902</v>
      </c>
      <c r="AM65" s="3" t="s">
        <v>191</v>
      </c>
      <c r="AN65" s="3" t="s">
        <v>8</v>
      </c>
      <c r="AO65" s="3" t="s">
        <v>9</v>
      </c>
      <c r="AP65" s="3">
        <v>4</v>
      </c>
      <c r="AR65" s="7">
        <v>9</v>
      </c>
    </row>
    <row r="66" spans="1:78" s="3" customFormat="1" x14ac:dyDescent="0.3">
      <c r="A66" s="3" t="s">
        <v>193</v>
      </c>
      <c r="B66" s="3" t="s">
        <v>194</v>
      </c>
      <c r="C66" s="3" t="s">
        <v>111</v>
      </c>
      <c r="D66" s="3" t="s">
        <v>14</v>
      </c>
      <c r="E66" s="3" t="s">
        <v>21</v>
      </c>
      <c r="F66" s="3" t="s">
        <v>185</v>
      </c>
      <c r="G66" s="3">
        <v>3</v>
      </c>
      <c r="H66" s="3">
        <v>71</v>
      </c>
      <c r="I66" s="3">
        <v>-63</v>
      </c>
      <c r="J66" s="3">
        <v>270</v>
      </c>
      <c r="K66" s="3">
        <v>21</v>
      </c>
      <c r="L66" s="3">
        <v>160</v>
      </c>
      <c r="M66" s="12">
        <v>43.3</v>
      </c>
      <c r="N66" s="3">
        <v>67.2</v>
      </c>
      <c r="O66" s="3">
        <v>0.91</v>
      </c>
      <c r="P66" s="3">
        <v>38.6</v>
      </c>
      <c r="Q66" s="3">
        <v>-34</v>
      </c>
      <c r="R66" s="3">
        <v>0.39038503200000002</v>
      </c>
      <c r="S66" s="3">
        <v>0.74374127400000001</v>
      </c>
      <c r="T66" s="3">
        <v>190.4761963</v>
      </c>
      <c r="U66" s="3">
        <f>T66/N66</f>
        <v>2.8344672068452379</v>
      </c>
      <c r="V66" s="3">
        <v>-82.062232969999997</v>
      </c>
      <c r="W66" s="3">
        <f>V66/N66</f>
        <v>-1.2211641811011904</v>
      </c>
      <c r="X66" s="3">
        <f t="shared" si="5"/>
        <v>-2.3211188558521623</v>
      </c>
      <c r="Y66" s="3">
        <f>(J66*K66)/1000</f>
        <v>5.67</v>
      </c>
      <c r="Z66" s="3">
        <v>3.6</v>
      </c>
      <c r="AA66" s="3">
        <v>-17.5</v>
      </c>
      <c r="AB66" s="3">
        <v>0.64</v>
      </c>
      <c r="AC66" s="3">
        <v>2</v>
      </c>
      <c r="AD66" s="3">
        <v>4</v>
      </c>
      <c r="AE66" s="3">
        <v>84</v>
      </c>
      <c r="AF66" s="3">
        <f>56.9/68.4</f>
        <v>0.83187134502923965</v>
      </c>
      <c r="AG66" s="3">
        <f>12.2/8.8</f>
        <v>1.3863636363636362</v>
      </c>
      <c r="AH66" s="3" t="s">
        <v>70</v>
      </c>
      <c r="AJ66" s="3">
        <f>1/0.0054</f>
        <v>185.18518518518516</v>
      </c>
      <c r="AK66" s="3">
        <f>1/0.00885</f>
        <v>112.99435028248587</v>
      </c>
      <c r="AL66" s="3">
        <f t="shared" si="6"/>
        <v>1.6388888888888888</v>
      </c>
      <c r="AM66" s="3" t="s">
        <v>115</v>
      </c>
      <c r="AN66" s="3" t="s">
        <v>8</v>
      </c>
      <c r="AO66" s="3" t="s">
        <v>9</v>
      </c>
      <c r="AP66" s="3">
        <v>4</v>
      </c>
      <c r="AR66" s="7">
        <v>4</v>
      </c>
    </row>
    <row r="67" spans="1:78" s="3" customFormat="1" x14ac:dyDescent="0.3">
      <c r="A67" s="3" t="s">
        <v>193</v>
      </c>
      <c r="B67" s="3" t="s">
        <v>195</v>
      </c>
      <c r="C67" s="3" t="s">
        <v>111</v>
      </c>
      <c r="D67" s="3" t="s">
        <v>14</v>
      </c>
      <c r="E67" s="3" t="s">
        <v>21</v>
      </c>
      <c r="F67" s="3" t="s">
        <v>185</v>
      </c>
      <c r="G67" s="3">
        <v>3</v>
      </c>
      <c r="H67" s="3">
        <v>71</v>
      </c>
      <c r="I67" s="3">
        <v>-64</v>
      </c>
      <c r="J67" s="3">
        <v>400</v>
      </c>
      <c r="K67" s="3">
        <v>19</v>
      </c>
      <c r="L67" s="3">
        <v>120</v>
      </c>
      <c r="M67" s="12">
        <v>27.8</v>
      </c>
      <c r="N67" s="3">
        <v>52.9</v>
      </c>
      <c r="O67" s="3">
        <v>1.3</v>
      </c>
      <c r="P67" s="3">
        <v>43.5</v>
      </c>
      <c r="Q67" s="3">
        <v>-38.1</v>
      </c>
      <c r="R67" s="3">
        <v>0.52387463999999995</v>
      </c>
      <c r="S67" s="3">
        <v>1.1192737820000001</v>
      </c>
      <c r="T67" s="3">
        <v>111.65345000000001</v>
      </c>
      <c r="U67" s="3">
        <f>T67/N67</f>
        <v>2.1106512287334596</v>
      </c>
      <c r="V67" s="3">
        <v>-47.284931180000001</v>
      </c>
      <c r="W67" s="3">
        <f>V67/N67</f>
        <v>-0.89385503175803405</v>
      </c>
      <c r="X67" s="3">
        <f t="shared" si="5"/>
        <v>-2.3612903141376638</v>
      </c>
      <c r="Y67" s="3">
        <f>(J67*K67)/1000</f>
        <v>7.6</v>
      </c>
      <c r="Z67" s="3">
        <v>5.2</v>
      </c>
      <c r="AA67" s="3">
        <v>-15.5</v>
      </c>
      <c r="AB67" s="3">
        <v>0.18</v>
      </c>
      <c r="AC67" s="3">
        <v>28</v>
      </c>
      <c r="AD67" s="3">
        <v>6</v>
      </c>
      <c r="AE67" s="3">
        <v>66</v>
      </c>
      <c r="AF67" s="3">
        <f>41.6/48.5</f>
        <v>0.85773195876288666</v>
      </c>
      <c r="AG67" s="3">
        <f>16.2/11.8</f>
        <v>1.3728813559322033</v>
      </c>
      <c r="AH67" s="3">
        <v>600</v>
      </c>
      <c r="AI67" s="3">
        <v>2.1</v>
      </c>
      <c r="AJ67" s="3">
        <f>1/0.0088</f>
        <v>113.63636363636363</v>
      </c>
      <c r="AK67" s="3">
        <f>1/0.0152</f>
        <v>65.78947368421052</v>
      </c>
      <c r="AL67" s="3">
        <f t="shared" si="6"/>
        <v>1.7272727272727273</v>
      </c>
      <c r="AM67" s="3" t="s">
        <v>120</v>
      </c>
      <c r="AN67" s="3" t="s">
        <v>8</v>
      </c>
      <c r="AO67" s="3" t="s">
        <v>9</v>
      </c>
      <c r="AP67" s="3">
        <v>4</v>
      </c>
      <c r="AR67" s="7">
        <v>6</v>
      </c>
    </row>
    <row r="68" spans="1:78" s="3" customFormat="1" x14ac:dyDescent="0.3">
      <c r="A68" s="3" t="s">
        <v>196</v>
      </c>
      <c r="B68" s="3" t="s">
        <v>197</v>
      </c>
      <c r="C68" s="3" t="s">
        <v>111</v>
      </c>
      <c r="D68" s="3" t="s">
        <v>14</v>
      </c>
      <c r="E68" s="3" t="s">
        <v>21</v>
      </c>
      <c r="F68" s="3" t="s">
        <v>123</v>
      </c>
      <c r="G68" s="3">
        <v>11</v>
      </c>
      <c r="H68" s="3">
        <v>70</v>
      </c>
      <c r="I68" s="3">
        <v>-75</v>
      </c>
      <c r="J68" s="3">
        <v>300</v>
      </c>
      <c r="K68" s="3">
        <v>26</v>
      </c>
      <c r="L68" s="3">
        <v>160</v>
      </c>
      <c r="M68" s="12">
        <v>21</v>
      </c>
      <c r="N68" s="3">
        <v>51.2</v>
      </c>
      <c r="O68" s="3">
        <v>0.87</v>
      </c>
      <c r="P68" s="3">
        <v>22.9</v>
      </c>
      <c r="Q68" s="3">
        <v>-40.9</v>
      </c>
      <c r="R68" s="3">
        <v>0.35940802100000002</v>
      </c>
      <c r="S68" s="3">
        <v>0.74163609699999999</v>
      </c>
      <c r="T68" s="3">
        <v>156.8986511</v>
      </c>
      <c r="U68" s="3">
        <f>T68/N68</f>
        <v>3.0644267792968747</v>
      </c>
      <c r="V68" s="3">
        <v>-66.80902863</v>
      </c>
      <c r="W68" s="3">
        <f>V68/N68</f>
        <v>-1.3048638404296875</v>
      </c>
      <c r="X68" s="3">
        <f t="shared" si="5"/>
        <v>-2.348464785634468</v>
      </c>
      <c r="Y68" s="3">
        <f>(J68*K68)/1000</f>
        <v>7.8</v>
      </c>
      <c r="Z68" s="3">
        <v>3.4</v>
      </c>
      <c r="AA68" s="3">
        <v>-15.2</v>
      </c>
      <c r="AB68" s="3">
        <v>0.31</v>
      </c>
      <c r="AC68" s="3">
        <v>42</v>
      </c>
      <c r="AD68" s="3">
        <v>3</v>
      </c>
      <c r="AE68" s="3">
        <v>92</v>
      </c>
      <c r="AF68" s="3">
        <f>35.3/52.1</f>
        <v>0.6775431861804222</v>
      </c>
      <c r="AG68" s="3">
        <f>10.9/7.7</f>
        <v>1.4155844155844155</v>
      </c>
      <c r="AH68" s="3">
        <v>520</v>
      </c>
      <c r="AI68" s="3">
        <v>-19.100000000000001</v>
      </c>
      <c r="AJ68" s="3">
        <f>1/0.0071</f>
        <v>140.8450704225352</v>
      </c>
      <c r="AK68" s="3">
        <f>1/0.0114</f>
        <v>87.719298245614027</v>
      </c>
      <c r="AL68" s="3">
        <f t="shared" si="6"/>
        <v>1.6056338028169015</v>
      </c>
      <c r="AM68" s="3" t="s">
        <v>120</v>
      </c>
      <c r="AN68" s="3" t="s">
        <v>8</v>
      </c>
      <c r="AO68" s="3" t="s">
        <v>9</v>
      </c>
      <c r="AP68" s="3">
        <v>4</v>
      </c>
      <c r="AR68" s="7">
        <v>3</v>
      </c>
    </row>
    <row r="69" spans="1:78" s="3" customFormat="1" ht="13.8" customHeight="1" x14ac:dyDescent="0.3">
      <c r="A69" s="3" t="s">
        <v>196</v>
      </c>
      <c r="B69" s="3" t="s">
        <v>198</v>
      </c>
      <c r="C69" s="3" t="s">
        <v>111</v>
      </c>
      <c r="D69" s="3" t="s">
        <v>14</v>
      </c>
      <c r="E69" s="3" t="s">
        <v>21</v>
      </c>
      <c r="F69" s="3" t="s">
        <v>123</v>
      </c>
      <c r="G69" s="3">
        <v>11</v>
      </c>
      <c r="H69" s="3">
        <v>70</v>
      </c>
      <c r="I69" s="3">
        <v>-72</v>
      </c>
      <c r="J69" s="3">
        <v>200</v>
      </c>
      <c r="K69" s="3">
        <v>37</v>
      </c>
      <c r="L69" s="3">
        <v>240</v>
      </c>
      <c r="M69" s="12">
        <v>101.6</v>
      </c>
      <c r="N69" s="3">
        <v>65.2</v>
      </c>
      <c r="O69" s="3">
        <v>0.72</v>
      </c>
      <c r="P69" s="3">
        <v>38.5</v>
      </c>
      <c r="Q69" s="3">
        <v>-42.1</v>
      </c>
      <c r="R69" s="3">
        <v>0.454414278</v>
      </c>
      <c r="S69" s="3">
        <v>0.58949977200000003</v>
      </c>
      <c r="T69" s="3">
        <v>178.4624786</v>
      </c>
      <c r="U69" s="3">
        <f>T69/N69</f>
        <v>2.7371545797546011</v>
      </c>
      <c r="V69" s="3">
        <v>-104.94203950000001</v>
      </c>
      <c r="W69" s="3">
        <f>V69/N69</f>
        <v>-1.6095404831288345</v>
      </c>
      <c r="X69" s="3">
        <f t="shared" si="5"/>
        <v>-1.7005813823543994</v>
      </c>
      <c r="Y69" s="3">
        <f>(J69*K69)/1000</f>
        <v>7.4</v>
      </c>
      <c r="Z69" s="3">
        <v>2.9</v>
      </c>
      <c r="AA69" s="3">
        <v>-13.9</v>
      </c>
      <c r="AB69" s="3">
        <v>0.15</v>
      </c>
      <c r="AC69" s="3">
        <v>40</v>
      </c>
      <c r="AD69" s="3">
        <v>4</v>
      </c>
      <c r="AE69" s="3">
        <v>120</v>
      </c>
      <c r="AF69" s="3">
        <f>47.2/65.9</f>
        <v>0.71623672230652502</v>
      </c>
      <c r="AG69" s="3">
        <f>8.5/7.2</f>
        <v>1.1805555555555556</v>
      </c>
      <c r="AH69" s="3" t="s">
        <v>70</v>
      </c>
      <c r="AJ69" s="3">
        <f>1/0.0065</f>
        <v>153.84615384615384</v>
      </c>
      <c r="AK69" s="3">
        <f>1/0.00895</f>
        <v>111.73184357541899</v>
      </c>
      <c r="AL69" s="3">
        <f t="shared" si="6"/>
        <v>1.3769230769230769</v>
      </c>
      <c r="AM69" s="3" t="s">
        <v>115</v>
      </c>
      <c r="AN69" s="3" t="s">
        <v>8</v>
      </c>
      <c r="AO69" s="3" t="s">
        <v>9</v>
      </c>
      <c r="AP69" s="3">
        <v>4</v>
      </c>
      <c r="AR69" s="7">
        <v>4</v>
      </c>
    </row>
    <row r="70" spans="1:78" s="3" customFormat="1" ht="13.8" customHeight="1" x14ac:dyDescent="0.3">
      <c r="A70" s="3" t="s">
        <v>196</v>
      </c>
      <c r="B70" s="3" t="s">
        <v>199</v>
      </c>
      <c r="C70" s="3" t="s">
        <v>111</v>
      </c>
      <c r="D70" s="3" t="s">
        <v>14</v>
      </c>
      <c r="E70" s="3" t="s">
        <v>21</v>
      </c>
      <c r="F70" s="3" t="s">
        <v>123</v>
      </c>
      <c r="G70" s="3">
        <v>11</v>
      </c>
      <c r="H70" s="3">
        <v>70</v>
      </c>
      <c r="I70" s="3">
        <v>-65</v>
      </c>
      <c r="J70" s="3">
        <v>200</v>
      </c>
      <c r="K70" s="3">
        <v>33</v>
      </c>
      <c r="L70" s="3">
        <v>160</v>
      </c>
      <c r="M70" s="12">
        <v>210</v>
      </c>
      <c r="N70" s="3">
        <v>55.6</v>
      </c>
      <c r="O70" s="3">
        <v>0.88</v>
      </c>
      <c r="P70" s="3">
        <v>32.799999999999997</v>
      </c>
      <c r="Q70" s="3">
        <v>-37.1</v>
      </c>
      <c r="R70" s="3">
        <v>0.38380387399999999</v>
      </c>
      <c r="S70" s="3">
        <v>0.72114497399999999</v>
      </c>
      <c r="T70" s="3">
        <v>156.28816219999999</v>
      </c>
      <c r="U70" s="3">
        <f>T70/N70</f>
        <v>2.8109381690647477</v>
      </c>
      <c r="V70" s="3">
        <v>-74.786323550000006</v>
      </c>
      <c r="W70" s="3">
        <f>V70/N70</f>
        <v>-1.3450777616906475</v>
      </c>
      <c r="X70" s="3">
        <f t="shared" si="5"/>
        <v>-2.0897960319644562</v>
      </c>
      <c r="Y70" s="3">
        <f>(J70*K70)/1000</f>
        <v>6.6</v>
      </c>
      <c r="Z70" s="3">
        <v>3.6</v>
      </c>
      <c r="AA70" s="3">
        <v>-17.2</v>
      </c>
      <c r="AB70" s="3">
        <v>0.92</v>
      </c>
      <c r="AC70" s="3">
        <v>8</v>
      </c>
      <c r="AD70" s="3">
        <v>8</v>
      </c>
      <c r="AE70" s="3">
        <v>58</v>
      </c>
      <c r="AF70" s="3">
        <f>45.6/57.3</f>
        <v>0.79581151832460739</v>
      </c>
      <c r="AG70" s="3">
        <f>17.9/13.9</f>
        <v>1.2877697841726616</v>
      </c>
      <c r="AH70" s="3" t="s">
        <v>70</v>
      </c>
      <c r="AJ70" s="3">
        <f>1/0.0074</f>
        <v>135.13513513513513</v>
      </c>
      <c r="AK70" s="3">
        <f>1/0.01453</f>
        <v>68.82312456985548</v>
      </c>
      <c r="AL70" s="3">
        <f t="shared" si="6"/>
        <v>1.9635135135135131</v>
      </c>
      <c r="AM70" s="3" t="s">
        <v>115</v>
      </c>
      <c r="AN70" s="3" t="s">
        <v>8</v>
      </c>
      <c r="AO70" s="3" t="s">
        <v>9</v>
      </c>
      <c r="AP70" s="3">
        <v>4</v>
      </c>
      <c r="AR70" s="7">
        <v>8</v>
      </c>
    </row>
    <row r="71" spans="1:78" s="3" customFormat="1" x14ac:dyDescent="0.3">
      <c r="A71" s="3" t="s">
        <v>200</v>
      </c>
      <c r="B71" s="3" t="s">
        <v>201</v>
      </c>
      <c r="C71" s="3" t="s">
        <v>111</v>
      </c>
      <c r="D71" s="3" t="s">
        <v>14</v>
      </c>
      <c r="E71" s="3" t="s">
        <v>21</v>
      </c>
      <c r="F71" s="3" t="s">
        <v>123</v>
      </c>
      <c r="G71" s="3">
        <v>7</v>
      </c>
      <c r="H71" s="3">
        <v>71</v>
      </c>
      <c r="I71" s="3">
        <v>-71</v>
      </c>
      <c r="J71" s="3">
        <v>200</v>
      </c>
      <c r="K71" s="3">
        <v>26</v>
      </c>
      <c r="L71" s="3">
        <v>280</v>
      </c>
      <c r="M71" s="12">
        <v>324.5</v>
      </c>
      <c r="N71" s="3">
        <v>59.5</v>
      </c>
      <c r="O71" s="3">
        <v>0.63</v>
      </c>
      <c r="P71" s="3">
        <v>33.4</v>
      </c>
      <c r="Q71" s="3">
        <v>-28.4</v>
      </c>
      <c r="R71" s="3">
        <v>0.338517815</v>
      </c>
      <c r="S71" s="3">
        <v>0.573724389</v>
      </c>
      <c r="T71" s="3">
        <v>197.3764496</v>
      </c>
      <c r="U71" s="3">
        <f>T71/N71</f>
        <v>3.3172512537815124</v>
      </c>
      <c r="V71" s="3">
        <v>-108.6691055</v>
      </c>
      <c r="W71" s="3">
        <f>V71/N71</f>
        <v>-1.8263715210084033</v>
      </c>
      <c r="X71" s="3">
        <f t="shared" si="5"/>
        <v>-1.8163069318721869</v>
      </c>
      <c r="Y71" s="3">
        <f>(J71*K71)/1000</f>
        <v>5.2</v>
      </c>
      <c r="Z71" s="3">
        <v>2.5</v>
      </c>
      <c r="AA71" s="3">
        <v>-10.1</v>
      </c>
      <c r="AB71" s="3">
        <v>0.15</v>
      </c>
      <c r="AC71" s="3">
        <v>2</v>
      </c>
      <c r="AD71" s="3" t="s">
        <v>202</v>
      </c>
      <c r="AE71" s="3">
        <v>148</v>
      </c>
      <c r="AF71" s="3">
        <f>48.9/64.2</f>
        <v>0.76168224299065412</v>
      </c>
      <c r="AG71" s="3">
        <f>7.2/5.1</f>
        <v>1.411764705882353</v>
      </c>
      <c r="AH71" s="3" t="s">
        <v>70</v>
      </c>
      <c r="AJ71" s="3">
        <f>1/0.0051</f>
        <v>196.07843137254901</v>
      </c>
      <c r="AK71" s="3">
        <f>1/0.0072</f>
        <v>138.88888888888889</v>
      </c>
      <c r="AL71" s="3">
        <f t="shared" si="6"/>
        <v>1.4117647058823528</v>
      </c>
      <c r="AM71" s="3" t="s">
        <v>115</v>
      </c>
      <c r="AN71" s="3" t="s">
        <v>8</v>
      </c>
      <c r="AO71" s="3" t="s">
        <v>9</v>
      </c>
      <c r="AP71" s="3">
        <v>4</v>
      </c>
      <c r="AR71" s="7" t="s">
        <v>202</v>
      </c>
    </row>
    <row r="72" spans="1:78" s="3" customFormat="1" x14ac:dyDescent="0.3">
      <c r="A72" s="3" t="s">
        <v>200</v>
      </c>
      <c r="B72" s="3" t="s">
        <v>203</v>
      </c>
      <c r="C72" s="3" t="s">
        <v>111</v>
      </c>
      <c r="D72" s="3" t="s">
        <v>14</v>
      </c>
      <c r="E72" s="3" t="s">
        <v>21</v>
      </c>
      <c r="F72" s="3" t="s">
        <v>123</v>
      </c>
      <c r="G72" s="3">
        <v>7</v>
      </c>
      <c r="H72" s="3">
        <v>71</v>
      </c>
      <c r="I72" s="3">
        <v>-73</v>
      </c>
      <c r="J72" s="3">
        <v>280</v>
      </c>
      <c r="K72" s="3">
        <v>26</v>
      </c>
      <c r="L72" s="3">
        <v>200</v>
      </c>
      <c r="M72" s="12">
        <v>231.7</v>
      </c>
      <c r="N72" s="3">
        <v>52</v>
      </c>
      <c r="O72" s="3">
        <v>0.66</v>
      </c>
      <c r="P72" s="3">
        <v>9.2200000000000006</v>
      </c>
      <c r="Q72" s="3">
        <v>-32.6</v>
      </c>
      <c r="R72" s="3">
        <v>0.281445801</v>
      </c>
      <c r="S72" s="3">
        <v>0.55206060400000001</v>
      </c>
      <c r="T72" s="3">
        <v>193.71568300000001</v>
      </c>
      <c r="U72" s="3">
        <f>T72/N72</f>
        <v>3.7253015961538463</v>
      </c>
      <c r="V72" s="3">
        <v>-88.522590640000004</v>
      </c>
      <c r="W72" s="3">
        <f>V72/N72</f>
        <v>-1.7023575123076924</v>
      </c>
      <c r="X72" s="3">
        <f t="shared" si="5"/>
        <v>-2.1883191804428197</v>
      </c>
      <c r="Y72" s="3">
        <f>(J72*K72)/1000</f>
        <v>7.28</v>
      </c>
      <c r="Z72" s="3">
        <v>2.7</v>
      </c>
      <c r="AA72" s="3">
        <v>-17.3</v>
      </c>
      <c r="AB72" s="3">
        <v>0.31</v>
      </c>
      <c r="AC72" s="3">
        <v>20</v>
      </c>
      <c r="AD72" s="3" t="s">
        <v>204</v>
      </c>
      <c r="AE72" s="3">
        <v>106</v>
      </c>
      <c r="AF72" s="3">
        <f>36.3/53</f>
        <v>0.68490566037735845</v>
      </c>
      <c r="AG72" s="3">
        <f>10/7.4</f>
        <v>1.3513513513513513</v>
      </c>
      <c r="AH72" s="3">
        <v>520</v>
      </c>
      <c r="AI72" s="3">
        <v>-15.8</v>
      </c>
      <c r="AJ72" s="3">
        <f>1/0.0069</f>
        <v>144.92753623188406</v>
      </c>
      <c r="AK72" s="3">
        <f>1/0.0104</f>
        <v>96.15384615384616</v>
      </c>
      <c r="AL72" s="3">
        <f t="shared" si="6"/>
        <v>1.5072463768115942</v>
      </c>
      <c r="AM72" s="3" t="s">
        <v>120</v>
      </c>
      <c r="AN72" s="3" t="s">
        <v>8</v>
      </c>
      <c r="AO72" s="3" t="s">
        <v>9</v>
      </c>
      <c r="AP72" s="3">
        <v>4</v>
      </c>
      <c r="AR72" s="7" t="s">
        <v>204</v>
      </c>
    </row>
    <row r="73" spans="1:78" s="3" customFormat="1" x14ac:dyDescent="0.3">
      <c r="A73" s="3" t="s">
        <v>200</v>
      </c>
      <c r="B73" s="3" t="s">
        <v>205</v>
      </c>
      <c r="C73" s="3" t="s">
        <v>111</v>
      </c>
      <c r="D73" s="3" t="s">
        <v>14</v>
      </c>
      <c r="E73" s="3" t="s">
        <v>21</v>
      </c>
      <c r="F73" s="3" t="s">
        <v>123</v>
      </c>
      <c r="G73" s="3">
        <v>7</v>
      </c>
      <c r="H73" s="3">
        <v>71</v>
      </c>
      <c r="I73" s="3">
        <v>-66</v>
      </c>
      <c r="J73" s="3">
        <v>320</v>
      </c>
      <c r="K73" s="3">
        <v>22</v>
      </c>
      <c r="L73" s="3">
        <v>200</v>
      </c>
      <c r="M73" s="12">
        <v>42.5</v>
      </c>
      <c r="N73" s="3">
        <v>48.7</v>
      </c>
      <c r="O73" s="3">
        <v>0.65</v>
      </c>
      <c r="P73" s="3">
        <v>3.87</v>
      </c>
      <c r="Q73" s="3">
        <v>-16.5</v>
      </c>
      <c r="R73" s="3">
        <v>0.316752374</v>
      </c>
      <c r="S73" s="3">
        <v>0.50185018800000003</v>
      </c>
      <c r="T73" s="3">
        <v>161.477417</v>
      </c>
      <c r="U73" s="3">
        <f>T73/N73</f>
        <v>3.3157580492813139</v>
      </c>
      <c r="V73" s="3">
        <v>-90.298965449999997</v>
      </c>
      <c r="W73" s="3">
        <f>V73/N73</f>
        <v>-1.8541882022587268</v>
      </c>
      <c r="X73" s="3">
        <f t="shared" si="5"/>
        <v>-1.7882532340795496</v>
      </c>
      <c r="Y73" s="3">
        <f>(J73*K73)/1000</f>
        <v>7.04</v>
      </c>
      <c r="Z73" s="3">
        <v>3</v>
      </c>
      <c r="AA73" s="3">
        <v>-22.6</v>
      </c>
      <c r="AB73" s="3">
        <v>0.76</v>
      </c>
      <c r="AC73" s="3">
        <v>28</v>
      </c>
      <c r="AD73" s="3">
        <v>10</v>
      </c>
      <c r="AE73" s="3">
        <v>124</v>
      </c>
      <c r="AF73" s="3">
        <f>36.9/55.6</f>
        <v>0.66366906474820142</v>
      </c>
      <c r="AG73" s="3">
        <f>8.8/6.4</f>
        <v>1.375</v>
      </c>
      <c r="AH73" s="3">
        <v>600</v>
      </c>
      <c r="AI73" s="3">
        <v>3.78</v>
      </c>
      <c r="AJ73" s="3">
        <f>1/0.006</f>
        <v>166.66666666666666</v>
      </c>
      <c r="AK73" s="3">
        <f>1/0.008</f>
        <v>125</v>
      </c>
      <c r="AL73" s="3">
        <f t="shared" si="6"/>
        <v>1.3333333333333333</v>
      </c>
      <c r="AM73" s="3" t="s">
        <v>120</v>
      </c>
      <c r="AN73" s="3" t="s">
        <v>8</v>
      </c>
      <c r="AO73" s="3" t="s">
        <v>9</v>
      </c>
      <c r="AP73" s="3">
        <v>4</v>
      </c>
      <c r="AR73" s="7">
        <v>10</v>
      </c>
    </row>
    <row r="74" spans="1:78" s="3" customFormat="1" x14ac:dyDescent="0.3">
      <c r="A74" s="3" t="s">
        <v>200</v>
      </c>
      <c r="B74" s="3" t="s">
        <v>206</v>
      </c>
      <c r="C74" s="3" t="s">
        <v>111</v>
      </c>
      <c r="D74" s="3" t="s">
        <v>14</v>
      </c>
      <c r="E74" s="3" t="s">
        <v>21</v>
      </c>
      <c r="F74" s="3" t="s">
        <v>123</v>
      </c>
      <c r="G74" s="3">
        <v>7</v>
      </c>
      <c r="H74" s="3">
        <v>71</v>
      </c>
      <c r="I74" s="3">
        <v>-79</v>
      </c>
      <c r="J74" s="3">
        <v>230</v>
      </c>
      <c r="K74" s="3">
        <v>36</v>
      </c>
      <c r="L74" s="3">
        <v>240</v>
      </c>
      <c r="M74" s="12">
        <v>18.7</v>
      </c>
      <c r="N74" s="3">
        <v>69.400000000000006</v>
      </c>
      <c r="O74" s="3">
        <v>0.61</v>
      </c>
      <c r="P74" s="3">
        <v>35.799999999999997</v>
      </c>
      <c r="Q74" s="3">
        <v>-40.700000000000003</v>
      </c>
      <c r="R74" s="3">
        <v>0.289634734</v>
      </c>
      <c r="S74" s="3">
        <v>0.56331378200000004</v>
      </c>
      <c r="T74" s="3">
        <v>261.90475459999999</v>
      </c>
      <c r="U74" s="3">
        <f>T74/N74</f>
        <v>3.7738437262247833</v>
      </c>
      <c r="V74" s="3">
        <v>-120.87911990000001</v>
      </c>
      <c r="W74" s="3">
        <f>V74/N74</f>
        <v>-1.7417740619596542</v>
      </c>
      <c r="X74" s="3">
        <f t="shared" si="5"/>
        <v>-2.1666666237863632</v>
      </c>
      <c r="Y74" s="3">
        <f>(J74*K74)/1000</f>
        <v>8.2799999999999994</v>
      </c>
      <c r="Z74" s="3">
        <v>2.4</v>
      </c>
      <c r="AA74" s="3">
        <v>-11.8</v>
      </c>
      <c r="AB74" s="3">
        <v>0.1</v>
      </c>
      <c r="AC74" s="3">
        <v>28</v>
      </c>
      <c r="AD74" s="3">
        <v>13</v>
      </c>
      <c r="AE74" s="3">
        <v>138</v>
      </c>
      <c r="AF74" s="3">
        <f>59.6/70.4</f>
        <v>0.84659090909090906</v>
      </c>
      <c r="AG74" s="3">
        <f>7.6/5.4</f>
        <v>1.4074074074074072</v>
      </c>
      <c r="AJ74" s="3">
        <f>1/0.0049</f>
        <v>204.08163265306123</v>
      </c>
      <c r="AK74" s="3">
        <f>1/0.0074</f>
        <v>135.13513513513513</v>
      </c>
      <c r="AL74" s="3">
        <f t="shared" si="6"/>
        <v>1.5102040816326532</v>
      </c>
      <c r="AM74" s="3" t="s">
        <v>191</v>
      </c>
      <c r="AN74" s="3" t="s">
        <v>8</v>
      </c>
      <c r="AO74" s="3" t="s">
        <v>9</v>
      </c>
      <c r="AP74" s="3">
        <v>4</v>
      </c>
      <c r="AR74" s="7">
        <v>13</v>
      </c>
    </row>
    <row r="76" spans="1:78" x14ac:dyDescent="0.3">
      <c r="D76" s="2" t="s">
        <v>214</v>
      </c>
      <c r="I76" s="2">
        <f t="shared" ref="I76:AL76" si="7">AVERAGE(I2:I34)</f>
        <v>-70.515151515151516</v>
      </c>
      <c r="J76" s="2">
        <f t="shared" si="7"/>
        <v>275.5151515151515</v>
      </c>
      <c r="K76" s="2">
        <f t="shared" si="7"/>
        <v>29</v>
      </c>
      <c r="L76" s="2">
        <f t="shared" si="7"/>
        <v>129.09090909090909</v>
      </c>
      <c r="M76" s="2">
        <f t="shared" si="7"/>
        <v>31.448484848484846</v>
      </c>
      <c r="N76" s="2">
        <f t="shared" si="7"/>
        <v>62.066666666666677</v>
      </c>
      <c r="O76" s="2">
        <f t="shared" si="7"/>
        <v>0.85090909090909095</v>
      </c>
      <c r="P76" s="2">
        <f t="shared" si="7"/>
        <v>42.18484848484848</v>
      </c>
      <c r="Q76" s="2">
        <f t="shared" si="7"/>
        <v>-42.578787878787885</v>
      </c>
      <c r="R76" s="2">
        <f t="shared" si="7"/>
        <v>0.38926542402446584</v>
      </c>
      <c r="S76" s="2">
        <f t="shared" si="7"/>
        <v>0.7396739567507965</v>
      </c>
      <c r="T76" s="2">
        <f t="shared" si="7"/>
        <v>185.57507902424243</v>
      </c>
      <c r="U76" s="2">
        <f t="shared" si="7"/>
        <v>3.0155993071038778</v>
      </c>
      <c r="V76" s="2">
        <f t="shared" si="7"/>
        <v>-87.637854949393954</v>
      </c>
      <c r="W76" s="2">
        <f t="shared" si="7"/>
        <v>-1.4278727707158243</v>
      </c>
      <c r="X76" s="2">
        <f t="shared" si="7"/>
        <v>-2.1902357408277737</v>
      </c>
      <c r="Y76" s="2">
        <f t="shared" si="7"/>
        <v>7.8843030303030304</v>
      </c>
      <c r="Z76" s="2">
        <f t="shared" si="7"/>
        <v>3.415151515151515</v>
      </c>
      <c r="AA76" s="2">
        <f t="shared" si="7"/>
        <v>-15.506060606060606</v>
      </c>
      <c r="AB76" s="2">
        <f t="shared" si="7"/>
        <v>0.75575757575757663</v>
      </c>
      <c r="AC76" s="2">
        <f t="shared" si="7"/>
        <v>27.636363636363637</v>
      </c>
      <c r="AD76" s="2">
        <f t="shared" si="7"/>
        <v>6.5757575757575761</v>
      </c>
      <c r="AE76" s="2">
        <f t="shared" si="7"/>
        <v>84.727272727272734</v>
      </c>
      <c r="AF76" s="2">
        <f t="shared" si="7"/>
        <v>0.78018325059133076</v>
      </c>
      <c r="AG76" s="2">
        <f t="shared" si="7"/>
        <v>1.3562198406112913</v>
      </c>
      <c r="AH76" s="2">
        <f t="shared" si="7"/>
        <v>452.94117647058823</v>
      </c>
      <c r="AI76" s="2">
        <f t="shared" si="7"/>
        <v>22.300000000000004</v>
      </c>
      <c r="AJ76" s="2">
        <f t="shared" si="7"/>
        <v>163.88879136045506</v>
      </c>
      <c r="AK76" s="2">
        <f t="shared" si="7"/>
        <v>102.33385167954351</v>
      </c>
      <c r="AL76" s="2">
        <f t="shared" si="7"/>
        <v>0.83595039364386137</v>
      </c>
      <c r="AZ76" s="6"/>
    </row>
    <row r="77" spans="1:78" x14ac:dyDescent="0.3">
      <c r="D77" s="2" t="s">
        <v>16</v>
      </c>
      <c r="I77" s="2">
        <f t="shared" ref="I77:AL77" si="8">STDEV(I2:I34)</f>
        <v>4.8933705927076234</v>
      </c>
      <c r="J77" s="2">
        <f t="shared" si="8"/>
        <v>81.30964011577943</v>
      </c>
      <c r="K77" s="2">
        <f t="shared" si="8"/>
        <v>6.2749501990055663</v>
      </c>
      <c r="L77" s="2">
        <f t="shared" si="8"/>
        <v>38.435305739290378</v>
      </c>
      <c r="M77" s="2">
        <f t="shared" si="8"/>
        <v>23.54028622930435</v>
      </c>
      <c r="N77" s="2">
        <f t="shared" si="8"/>
        <v>7.8149162930043978</v>
      </c>
      <c r="O77" s="2">
        <f t="shared" si="8"/>
        <v>0.2417302685376255</v>
      </c>
      <c r="P77" s="2">
        <f t="shared" si="8"/>
        <v>18.469030179128954</v>
      </c>
      <c r="Q77" s="2">
        <f t="shared" si="8"/>
        <v>5.8396680971479862</v>
      </c>
      <c r="R77" s="2">
        <f t="shared" si="8"/>
        <v>8.7859443408836446E-2</v>
      </c>
      <c r="S77" s="2">
        <f t="shared" si="8"/>
        <v>0.23712819064687377</v>
      </c>
      <c r="T77" s="2">
        <f t="shared" si="8"/>
        <v>36.911483736420493</v>
      </c>
      <c r="U77" s="2">
        <f t="shared" si="8"/>
        <v>0.61892693517617114</v>
      </c>
      <c r="V77" s="2">
        <f t="shared" si="8"/>
        <v>26.359064583543407</v>
      </c>
      <c r="W77" s="2">
        <f t="shared" si="8"/>
        <v>0.45189497019920838</v>
      </c>
      <c r="X77" s="2">
        <f t="shared" si="8"/>
        <v>0.32465910097422712</v>
      </c>
      <c r="Y77" s="2">
        <f t="shared" si="8"/>
        <v>2.7107078928396229</v>
      </c>
      <c r="Z77" s="2">
        <f t="shared" si="8"/>
        <v>0.93912233365826991</v>
      </c>
      <c r="AA77" s="2">
        <f t="shared" si="8"/>
        <v>3.3084115707106569</v>
      </c>
      <c r="AB77" s="2">
        <f t="shared" si="8"/>
        <v>0.37550824144609601</v>
      </c>
      <c r="AC77" s="2">
        <f t="shared" si="8"/>
        <v>19.839698494776485</v>
      </c>
      <c r="AD77" s="2">
        <f t="shared" si="8"/>
        <v>6.1848115524560603</v>
      </c>
      <c r="AE77" s="2">
        <f t="shared" si="8"/>
        <v>28.652304365522593</v>
      </c>
      <c r="AF77" s="2">
        <f t="shared" si="8"/>
        <v>8.393363117384825E-2</v>
      </c>
      <c r="AG77" s="2">
        <f t="shared" si="8"/>
        <v>0.17396469918687707</v>
      </c>
      <c r="AH77" s="2">
        <f t="shared" si="8"/>
        <v>122.66645353775171</v>
      </c>
      <c r="AI77" s="2">
        <f t="shared" si="8"/>
        <v>12.261117404217277</v>
      </c>
      <c r="AJ77" s="2">
        <f t="shared" si="8"/>
        <v>38.04132323526531</v>
      </c>
      <c r="AK77" s="2">
        <f t="shared" si="8"/>
        <v>30.74071530490048</v>
      </c>
      <c r="AL77" s="2">
        <f t="shared" si="8"/>
        <v>0.42945005642044493</v>
      </c>
    </row>
    <row r="78" spans="1:78" x14ac:dyDescent="0.3">
      <c r="D78" s="2" t="s">
        <v>17</v>
      </c>
      <c r="I78" s="2">
        <f>I77/SQRT(33)</f>
        <v>0.85182648250108683</v>
      </c>
      <c r="J78" s="2">
        <f t="shared" ref="J78:AL78" si="9">J77/SQRT(33)</f>
        <v>14.15419155795626</v>
      </c>
      <c r="K78" s="2">
        <f t="shared" si="9"/>
        <v>1.0923286218816286</v>
      </c>
      <c r="L78" s="2">
        <f t="shared" si="9"/>
        <v>6.6907279290362487</v>
      </c>
      <c r="M78" s="2">
        <f t="shared" si="9"/>
        <v>4.0978378473234942</v>
      </c>
      <c r="N78" s="2">
        <f t="shared" si="9"/>
        <v>1.360402309776197</v>
      </c>
      <c r="O78" s="2">
        <f t="shared" si="9"/>
        <v>4.2079838520571219E-2</v>
      </c>
      <c r="P78" s="2">
        <f t="shared" si="9"/>
        <v>3.2150454813578104</v>
      </c>
      <c r="Q78" s="2">
        <f t="shared" si="9"/>
        <v>1.0165557339107918</v>
      </c>
      <c r="R78" s="2">
        <f t="shared" si="9"/>
        <v>1.5294365962182536E-2</v>
      </c>
      <c r="S78" s="2">
        <f t="shared" si="9"/>
        <v>4.127871958882362E-2</v>
      </c>
      <c r="T78" s="2">
        <f t="shared" si="9"/>
        <v>6.4254645666829431</v>
      </c>
      <c r="U78" s="2">
        <f t="shared" si="9"/>
        <v>0.10774135008331202</v>
      </c>
      <c r="V78" s="2">
        <f t="shared" si="9"/>
        <v>4.5885241758880886</v>
      </c>
      <c r="W78" s="2">
        <f t="shared" si="9"/>
        <v>7.8664817150448124E-2</v>
      </c>
      <c r="X78" s="2">
        <f t="shared" si="9"/>
        <v>5.6515895282277677E-2</v>
      </c>
      <c r="Y78" s="2">
        <f>Y77/SQRT(33)</f>
        <v>0.4718736759661305</v>
      </c>
      <c r="Z78" s="2">
        <f t="shared" si="9"/>
        <v>0.1634802144988764</v>
      </c>
      <c r="AA78" s="2">
        <f t="shared" si="9"/>
        <v>0.5759205311660196</v>
      </c>
      <c r="AB78" s="2">
        <f t="shared" si="9"/>
        <v>6.5367594462982612E-2</v>
      </c>
      <c r="AC78" s="2">
        <f t="shared" si="9"/>
        <v>3.4536482088384775</v>
      </c>
      <c r="AD78" s="2">
        <f t="shared" si="9"/>
        <v>1.0766374975792714</v>
      </c>
      <c r="AE78" s="2">
        <f t="shared" si="9"/>
        <v>4.9877259816793815</v>
      </c>
      <c r="AF78" s="2">
        <f>AF77/SQRT(32)</f>
        <v>1.4837509943159674E-2</v>
      </c>
      <c r="AG78" s="2">
        <f>AG77/SQRT(32)</f>
        <v>3.075290462052966E-2</v>
      </c>
      <c r="AH78" s="2">
        <f t="shared" si="9"/>
        <v>21.353488696250334</v>
      </c>
      <c r="AI78" s="2">
        <f t="shared" si="9"/>
        <v>2.1343865771237542</v>
      </c>
      <c r="AJ78" s="2">
        <f>AJ77/SQRT(27)</f>
        <v>7.3210560700699974</v>
      </c>
      <c r="AK78" s="2">
        <f>AK77/SQRT(27)</f>
        <v>5.9160534187886471</v>
      </c>
      <c r="AL78" s="2">
        <f t="shared" si="9"/>
        <v>7.4757659171713231E-2</v>
      </c>
    </row>
    <row r="79" spans="1:78" x14ac:dyDescent="0.3">
      <c r="Y79" s="2">
        <f>Y76+Y78</f>
        <v>8.3561767062691601</v>
      </c>
      <c r="AB79" s="2">
        <f>AB76+AB78</f>
        <v>0.8211251702205592</v>
      </c>
    </row>
    <row r="80" spans="1:78" x14ac:dyDescent="0.3"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</row>
    <row r="81" spans="3:79" x14ac:dyDescent="0.3">
      <c r="D81" s="2" t="s">
        <v>207</v>
      </c>
      <c r="I81" s="2">
        <f>AVERAGE(I35:I74)</f>
        <v>-68.325000000000003</v>
      </c>
      <c r="J81" s="2">
        <f>AVERAGE(J35:J74)</f>
        <v>251.02500000000001</v>
      </c>
      <c r="K81" s="5">
        <f>AVERAGE(K35:K74)</f>
        <v>29.6</v>
      </c>
      <c r="L81" s="5">
        <f>AVERAGE(L35:L74)</f>
        <v>167</v>
      </c>
      <c r="M81" s="5">
        <f>AVERAGE(M35:M74)</f>
        <v>81.799999999999983</v>
      </c>
      <c r="N81" s="2">
        <f>AVERAGE(N35:N74)</f>
        <v>56.992500000000007</v>
      </c>
      <c r="O81" s="2">
        <f>AVERAGE(O35:O74)</f>
        <v>0.73474999999999979</v>
      </c>
      <c r="P81" s="2">
        <f>AVERAGE(P35:P74)</f>
        <v>28.833499999999987</v>
      </c>
      <c r="Q81" s="2">
        <f>AVERAGE(Q35:Q74)</f>
        <v>-35.298249999999996</v>
      </c>
      <c r="R81" s="2">
        <f>AVERAGE(R35:R74)</f>
        <v>0.34519353656878737</v>
      </c>
      <c r="S81" s="2">
        <f>AVERAGE(S35:S74)</f>
        <v>0.62547314392993247</v>
      </c>
      <c r="T81" s="2">
        <f>AVERAGE(T35:T74)</f>
        <v>190.88422946750006</v>
      </c>
      <c r="U81" s="2">
        <f>AVERAGE(U35:U74)</f>
        <v>3.4289670616840078</v>
      </c>
      <c r="V81" s="2">
        <f>AVERAGE(V35:V74)</f>
        <v>-95.993275740249999</v>
      </c>
      <c r="W81" s="2">
        <f>AVERAGE(W35:W74)</f>
        <v>-1.7450492159689961</v>
      </c>
      <c r="X81" s="2">
        <f>AVERAGE(X35:X74)</f>
        <v>-2.0578640737720559</v>
      </c>
      <c r="Y81" s="2">
        <f>AVERAGE(Y35:Y74)</f>
        <v>7.1929999999999978</v>
      </c>
      <c r="Z81" s="2">
        <f>AVERAGE(Z35:Z74)</f>
        <v>2.9750000000000005</v>
      </c>
      <c r="AA81" s="2">
        <f>AVERAGE(AA35:AA74)</f>
        <v>-16.966500000000003</v>
      </c>
      <c r="AB81" s="2">
        <f>AVERAGE(AB35:AB74)</f>
        <v>0.79500000000000004</v>
      </c>
      <c r="AC81" s="2">
        <f>AVERAGE(AC35:AC74)</f>
        <v>21.6</v>
      </c>
      <c r="AD81" s="2">
        <f>AVERAGE(AD35:AD74)</f>
        <v>5.5945945945945947</v>
      </c>
      <c r="AE81" s="2">
        <f>AVERAGE(AE35:AE74)</f>
        <v>101.6</v>
      </c>
      <c r="AF81" s="2">
        <f>AVERAGE(AF35:AF74)</f>
        <v>0.74318709405643757</v>
      </c>
      <c r="AG81" s="2">
        <f>AVERAGE(AG35:AG74)</f>
        <v>1.3295515838153396</v>
      </c>
      <c r="AH81" s="2">
        <f>AVERAGE(AH35:AH74)</f>
        <v>472.38095238095241</v>
      </c>
      <c r="AI81" s="2">
        <f>AVERAGE(AI35:AI74)</f>
        <v>13.669499999999999</v>
      </c>
      <c r="AJ81" s="2">
        <f>AVERAGE(AJ35:AJ74)</f>
        <v>171.84099887536141</v>
      </c>
      <c r="AK81" s="2">
        <f>AVERAGE(AK35:AK74)</f>
        <v>114.29641097812619</v>
      </c>
      <c r="AL81" s="2">
        <f>AVERAGE(AL35:AL74)</f>
        <v>1.1498557848508537</v>
      </c>
    </row>
    <row r="82" spans="3:79" x14ac:dyDescent="0.3">
      <c r="D82" s="2" t="s">
        <v>16</v>
      </c>
      <c r="I82" s="2">
        <f>STDEV(I35:I74)</f>
        <v>5.4508879540107493</v>
      </c>
      <c r="J82" s="2">
        <f>STDEV(J35:J74)</f>
        <v>77.885019625415026</v>
      </c>
      <c r="K82" s="2">
        <f>STDEV(K35:K74)</f>
        <v>5.527553360560721</v>
      </c>
      <c r="L82" s="2">
        <f>STDEV(L35:L74)</f>
        <v>59.277703682296547</v>
      </c>
      <c r="M82" s="2">
        <f>STDEV(M35:M74)</f>
        <v>107.56773417664535</v>
      </c>
      <c r="N82" s="2">
        <f>STDEV(N35:N74)</f>
        <v>9.4867893977320623</v>
      </c>
      <c r="O82" s="2">
        <f>STDEV(O35:O74)</f>
        <v>0.22354931194659325</v>
      </c>
      <c r="P82" s="2">
        <f>STDEV(P35:P74)</f>
        <v>17.85548375867792</v>
      </c>
      <c r="Q82" s="2">
        <f>STDEV(Q35:Q74)</f>
        <v>7.7209086377386935</v>
      </c>
      <c r="R82" s="2">
        <f>STDEV(R35:R74)</f>
        <v>7.1832264446260938E-2</v>
      </c>
      <c r="S82" s="2">
        <f>STDEV(S35:S74)</f>
        <v>0.21386543013555243</v>
      </c>
      <c r="T82" s="2">
        <f>STDEV(T35:T74)</f>
        <v>36.979404562351903</v>
      </c>
      <c r="U82" s="2">
        <f>STDEV(U35:U74)</f>
        <v>0.86939429549584257</v>
      </c>
      <c r="V82" s="2">
        <f>STDEV(V35:V74)</f>
        <v>28.646983344385767</v>
      </c>
      <c r="W82" s="2">
        <f>STDEV(W35:W74)</f>
        <v>0.66810871782428627</v>
      </c>
      <c r="X82" s="2">
        <f>STDEV(X35:X74)</f>
        <v>0.316397898614106</v>
      </c>
      <c r="Y82" s="2">
        <f>STDEV(Y35:Y74)</f>
        <v>1.8985242987174376</v>
      </c>
      <c r="Z82" s="2">
        <f>STDEV(Z35:Z74)</f>
        <v>0.82329855630901594</v>
      </c>
      <c r="AA82" s="2">
        <f>STDEV(AA35:AA74)</f>
        <v>3.6084328226942701</v>
      </c>
      <c r="AB82" s="2">
        <f>STDEV(AB35:AB74)</f>
        <v>0.63578338514034161</v>
      </c>
      <c r="AC82" s="2">
        <f>STDEV(AC35:AC74)</f>
        <v>17.809245654132315</v>
      </c>
      <c r="AD82" s="2">
        <f>STDEV(AD35:AD74)</f>
        <v>3.7746188877485034</v>
      </c>
      <c r="AE82" s="2">
        <f>STDEV(AE35:AE74)</f>
        <v>34.88864152832992</v>
      </c>
      <c r="AF82" s="2">
        <f>STDEV(AF35:AF74)</f>
        <v>0.13493592103413551</v>
      </c>
      <c r="AG82" s="2">
        <f>STDEV(AG35:AG74)</f>
        <v>0.17902535432337852</v>
      </c>
      <c r="AH82" s="2">
        <f>STDEV(AH35:AH74)</f>
        <v>125.45536106140551</v>
      </c>
      <c r="AI82" s="2">
        <f>STDEV(AI35:AI74)</f>
        <v>17.966727281575967</v>
      </c>
      <c r="AJ82" s="2">
        <f>STDEV(AJ35:AJ74)</f>
        <v>48.242858002704999</v>
      </c>
      <c r="AK82" s="2">
        <f>STDEV(AK35:AK74)</f>
        <v>35.935943937274764</v>
      </c>
      <c r="AL82" s="2">
        <f>STDEV(AL35:AL74)</f>
        <v>0.465995430387322</v>
      </c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</row>
    <row r="83" spans="3:79" x14ac:dyDescent="0.3">
      <c r="D83" s="2" t="s">
        <v>17</v>
      </c>
      <c r="I83" s="2">
        <f>I82/SQRT(40)</f>
        <v>0.86186106025245579</v>
      </c>
      <c r="J83" s="2">
        <f t="shared" ref="J83:AL83" si="10">J82/SQRT(40)</f>
        <v>12.314702881161287</v>
      </c>
      <c r="K83" s="2">
        <f t="shared" si="10"/>
        <v>0.87398292537449085</v>
      </c>
      <c r="L83" s="2">
        <f t="shared" si="10"/>
        <v>9.3726279050303614</v>
      </c>
      <c r="M83" s="2">
        <f t="shared" si="10"/>
        <v>17.007952137086811</v>
      </c>
      <c r="N83" s="2">
        <f t="shared" si="10"/>
        <v>1.4999931089585166</v>
      </c>
      <c r="O83" s="2">
        <f t="shared" si="10"/>
        <v>3.5346249755736199E-2</v>
      </c>
      <c r="P83" s="2">
        <f t="shared" si="10"/>
        <v>2.8231998700783256</v>
      </c>
      <c r="Q83" s="2">
        <f t="shared" si="10"/>
        <v>1.2207828450661071</v>
      </c>
      <c r="R83" s="2">
        <f t="shared" si="10"/>
        <v>1.1357678256885915E-2</v>
      </c>
      <c r="S83" s="2">
        <f t="shared" si="10"/>
        <v>3.3815093599997938E-2</v>
      </c>
      <c r="T83" s="2">
        <f t="shared" si="10"/>
        <v>5.8469572466927033</v>
      </c>
      <c r="U83" s="2">
        <f t="shared" si="10"/>
        <v>0.13746330792621647</v>
      </c>
      <c r="V83" s="2">
        <f t="shared" si="10"/>
        <v>4.5294857730583375</v>
      </c>
      <c r="W83" s="2">
        <f t="shared" si="10"/>
        <v>0.105637263646974</v>
      </c>
      <c r="X83" s="2">
        <f t="shared" si="10"/>
        <v>5.002690032558036E-2</v>
      </c>
      <c r="Y83" s="2">
        <f t="shared" si="10"/>
        <v>0.30018304885604957</v>
      </c>
      <c r="Z83" s="2">
        <f t="shared" si="10"/>
        <v>0.13017493161324398</v>
      </c>
      <c r="AA83" s="2">
        <f t="shared" si="10"/>
        <v>0.57054332517122086</v>
      </c>
      <c r="AB83" s="2">
        <f t="shared" si="10"/>
        <v>0.10052617977677654</v>
      </c>
      <c r="AC83" s="2">
        <f t="shared" si="10"/>
        <v>2.8158889838256704</v>
      </c>
      <c r="AD83" s="2">
        <f t="shared" si="10"/>
        <v>0.59681964921883535</v>
      </c>
      <c r="AE83" s="2">
        <f t="shared" si="10"/>
        <v>5.5163785849330242</v>
      </c>
      <c r="AF83" s="2">
        <f t="shared" si="10"/>
        <v>2.1335242432024563E-2</v>
      </c>
      <c r="AG83" s="2">
        <f t="shared" si="10"/>
        <v>2.830639392902742E-2</v>
      </c>
      <c r="AH83" s="2">
        <f t="shared" si="10"/>
        <v>19.836234281642032</v>
      </c>
      <c r="AI83" s="2">
        <f t="shared" si="10"/>
        <v>2.8407890154432716</v>
      </c>
      <c r="AJ83" s="2">
        <f t="shared" si="10"/>
        <v>7.6278656062314667</v>
      </c>
      <c r="AK83" s="2">
        <f t="shared" si="10"/>
        <v>5.6819716354953647</v>
      </c>
      <c r="AL83" s="2">
        <f t="shared" si="10"/>
        <v>7.3680346962718871E-2</v>
      </c>
    </row>
    <row r="85" spans="3:79" x14ac:dyDescent="0.3">
      <c r="C85" s="1"/>
      <c r="D85" s="1" t="s">
        <v>208</v>
      </c>
      <c r="F85" s="1"/>
      <c r="G85" s="1"/>
      <c r="I85" s="1"/>
      <c r="J85" s="1"/>
      <c r="K85" s="1"/>
      <c r="L85" s="1"/>
      <c r="M85" s="1"/>
      <c r="N85" s="1"/>
      <c r="O85" s="1"/>
      <c r="P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0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spans="3:79" x14ac:dyDescent="0.3">
      <c r="D86" s="2" t="s">
        <v>15</v>
      </c>
      <c r="I86" s="5">
        <v>3.2930000000000001</v>
      </c>
      <c r="J86" s="5">
        <v>1.7669999999999999</v>
      </c>
      <c r="K86" s="5">
        <v>0.19400000000000001</v>
      </c>
      <c r="L86" s="5">
        <v>9.2560000000000002</v>
      </c>
      <c r="M86" s="5">
        <v>7.1360000000000001</v>
      </c>
      <c r="N86" s="5">
        <v>5.0789999999999997</v>
      </c>
      <c r="O86" s="5">
        <v>2.6970000000000001</v>
      </c>
      <c r="P86" s="5">
        <v>5.8849999999999998</v>
      </c>
      <c r="Q86" s="5">
        <v>17.518999999999998</v>
      </c>
      <c r="R86" s="5">
        <v>3.266</v>
      </c>
      <c r="S86" s="5">
        <v>2.6280000000000001</v>
      </c>
      <c r="T86" s="5">
        <v>0.38400000000000001</v>
      </c>
      <c r="U86" s="5">
        <v>3.032</v>
      </c>
      <c r="V86" s="5">
        <v>0.98199999999999998</v>
      </c>
      <c r="W86" s="5">
        <v>2.9550000000000001</v>
      </c>
      <c r="X86" s="5">
        <v>3.1059999999999999</v>
      </c>
      <c r="Y86" s="5">
        <v>1.679</v>
      </c>
      <c r="Z86" s="5">
        <v>2.84</v>
      </c>
      <c r="AA86" s="5">
        <v>3.2810000000000001</v>
      </c>
      <c r="AB86" s="5">
        <v>0.1</v>
      </c>
      <c r="AC86" s="5">
        <v>1.927</v>
      </c>
      <c r="AD86" s="5"/>
      <c r="AE86" s="5">
        <v>3.2189999999999999</v>
      </c>
      <c r="AF86" s="5">
        <v>1.887</v>
      </c>
      <c r="AG86" s="5">
        <v>0.47299999999999998</v>
      </c>
      <c r="AH86" s="5">
        <v>0.57299999999999995</v>
      </c>
      <c r="AI86" s="5"/>
      <c r="AJ86" s="5">
        <v>0.45700000000000002</v>
      </c>
      <c r="AK86" s="5">
        <v>1.421</v>
      </c>
      <c r="AL86" s="5">
        <v>3.6909999999999998</v>
      </c>
      <c r="BE86" s="1"/>
    </row>
    <row r="87" spans="3:79" x14ac:dyDescent="0.3">
      <c r="D87" s="2" t="s">
        <v>209</v>
      </c>
      <c r="I87" s="4">
        <v>8.1000000000000003E-2</v>
      </c>
      <c r="J87" s="2">
        <v>0.188</v>
      </c>
      <c r="K87" s="2">
        <v>0.66100000000000003</v>
      </c>
      <c r="L87" s="7" t="s">
        <v>215</v>
      </c>
      <c r="M87" s="7" t="s">
        <v>32</v>
      </c>
      <c r="N87" s="7" t="s">
        <v>216</v>
      </c>
      <c r="O87" s="2">
        <v>0.111</v>
      </c>
      <c r="P87" s="7" t="s">
        <v>218</v>
      </c>
      <c r="Q87" s="7" t="s">
        <v>217</v>
      </c>
      <c r="R87" s="2">
        <v>0.08</v>
      </c>
      <c r="S87" s="2">
        <v>0.115</v>
      </c>
      <c r="T87" s="2">
        <v>0.53800000000000003</v>
      </c>
      <c r="U87" s="2">
        <v>9.0999999999999998E-2</v>
      </c>
      <c r="V87" s="2">
        <v>0.32900000000000001</v>
      </c>
      <c r="W87" s="2">
        <v>9.5000000000000001E-2</v>
      </c>
      <c r="X87" s="2">
        <v>9.4E-2</v>
      </c>
      <c r="Y87" s="2">
        <v>0.19900000000000001</v>
      </c>
      <c r="Z87" s="2">
        <v>0.10299999999999999</v>
      </c>
      <c r="AA87" s="2">
        <v>7.3999999999999996E-2</v>
      </c>
      <c r="AB87" s="2">
        <v>0.752</v>
      </c>
      <c r="AC87" s="2">
        <v>0.16900000000000001</v>
      </c>
      <c r="AE87" s="2">
        <v>8.2000000000000003E-2</v>
      </c>
      <c r="AF87" s="2">
        <v>0.17399999999999999</v>
      </c>
      <c r="AG87" s="2">
        <v>0.496</v>
      </c>
      <c r="AH87" s="2">
        <v>0.58599999999999997</v>
      </c>
      <c r="AJ87" s="2">
        <v>0.50700000000000001</v>
      </c>
      <c r="AK87" s="2">
        <v>0.24299999999999999</v>
      </c>
      <c r="AL87" s="2">
        <v>6.4000000000000001E-2</v>
      </c>
      <c r="BE87" s="1"/>
    </row>
    <row r="89" spans="3:79" x14ac:dyDescent="0.3">
      <c r="M89" s="8"/>
      <c r="AP89" s="9"/>
    </row>
    <row r="102" spans="29:35" x14ac:dyDescent="0.3">
      <c r="AC102" s="11"/>
    </row>
    <row r="103" spans="29:35" x14ac:dyDescent="0.3">
      <c r="AC103" s="11"/>
    </row>
    <row r="110" spans="29:35" x14ac:dyDescent="0.3">
      <c r="AI110" s="11"/>
    </row>
    <row r="111" spans="29:35" x14ac:dyDescent="0.3">
      <c r="AI111" s="11"/>
    </row>
    <row r="143" spans="19:19" x14ac:dyDescent="0.3">
      <c r="S143" s="8"/>
    </row>
    <row r="144" spans="19:19" x14ac:dyDescent="0.3">
      <c r="S144" s="8"/>
    </row>
    <row r="145" spans="19:19" x14ac:dyDescent="0.3">
      <c r="S145" s="8"/>
    </row>
    <row r="146" spans="19:19" x14ac:dyDescent="0.3">
      <c r="S146" s="8"/>
    </row>
    <row r="147" spans="19:19" x14ac:dyDescent="0.3">
      <c r="S147" s="8"/>
    </row>
    <row r="148" spans="19:19" x14ac:dyDescent="0.3">
      <c r="S148" s="8"/>
    </row>
    <row r="149" spans="19:19" x14ac:dyDescent="0.3">
      <c r="S149" s="8"/>
    </row>
    <row r="150" spans="19:19" x14ac:dyDescent="0.3">
      <c r="S150" s="8"/>
    </row>
    <row r="151" spans="19:19" x14ac:dyDescent="0.3">
      <c r="S151" s="8"/>
    </row>
    <row r="152" spans="19:19" x14ac:dyDescent="0.3">
      <c r="S152" s="8"/>
    </row>
    <row r="153" spans="19:19" x14ac:dyDescent="0.3">
      <c r="S153" s="8"/>
    </row>
    <row r="154" spans="19:19" x14ac:dyDescent="0.3">
      <c r="S154" s="8"/>
    </row>
    <row r="155" spans="19:19" x14ac:dyDescent="0.3">
      <c r="S155" s="8"/>
    </row>
    <row r="156" spans="19:19" x14ac:dyDescent="0.3">
      <c r="S156" s="8"/>
    </row>
    <row r="157" spans="19:19" x14ac:dyDescent="0.3">
      <c r="S157" s="8"/>
    </row>
    <row r="158" spans="19:19" x14ac:dyDescent="0.3">
      <c r="S158" s="8"/>
    </row>
    <row r="159" spans="19:19" x14ac:dyDescent="0.3">
      <c r="S159" s="8"/>
    </row>
    <row r="160" spans="19:19" x14ac:dyDescent="0.3">
      <c r="S160" s="8"/>
    </row>
    <row r="161" spans="19:19" x14ac:dyDescent="0.3">
      <c r="S161" s="8"/>
    </row>
    <row r="162" spans="19:19" x14ac:dyDescent="0.3">
      <c r="S162" s="8"/>
    </row>
    <row r="163" spans="19:19" x14ac:dyDescent="0.3">
      <c r="S163" s="8"/>
    </row>
    <row r="164" spans="19:19" x14ac:dyDescent="0.3">
      <c r="S164" s="8"/>
    </row>
    <row r="165" spans="19:19" x14ac:dyDescent="0.3">
      <c r="S165" s="8"/>
    </row>
    <row r="166" spans="19:19" x14ac:dyDescent="0.3">
      <c r="S166" s="8"/>
    </row>
    <row r="167" spans="19:19" x14ac:dyDescent="0.3">
      <c r="S167" s="8"/>
    </row>
    <row r="168" spans="19:19" x14ac:dyDescent="0.3">
      <c r="S168" s="8"/>
    </row>
    <row r="169" spans="19:19" x14ac:dyDescent="0.3">
      <c r="S169" s="8"/>
    </row>
    <row r="170" spans="19:19" x14ac:dyDescent="0.3">
      <c r="S170" s="8"/>
    </row>
    <row r="171" spans="19:19" x14ac:dyDescent="0.3">
      <c r="S171" s="8"/>
    </row>
    <row r="172" spans="19:19" x14ac:dyDescent="0.3">
      <c r="S172" s="8"/>
    </row>
    <row r="173" spans="19:19" x14ac:dyDescent="0.3">
      <c r="S173" s="8"/>
    </row>
    <row r="174" spans="19:19" x14ac:dyDescent="0.3">
      <c r="S174" s="8"/>
    </row>
    <row r="175" spans="19:19" x14ac:dyDescent="0.3">
      <c r="S175" s="8"/>
    </row>
    <row r="176" spans="19:19" x14ac:dyDescent="0.3">
      <c r="S176" s="8"/>
    </row>
    <row r="177" spans="19:19" x14ac:dyDescent="0.3">
      <c r="S177" s="8"/>
    </row>
    <row r="178" spans="19:19" x14ac:dyDescent="0.3">
      <c r="S178" s="8"/>
    </row>
    <row r="179" spans="19:19" x14ac:dyDescent="0.3">
      <c r="S179" s="8"/>
    </row>
    <row r="180" spans="19:19" x14ac:dyDescent="0.3">
      <c r="S180" s="8"/>
    </row>
    <row r="181" spans="19:19" x14ac:dyDescent="0.3">
      <c r="S181" s="8"/>
    </row>
    <row r="182" spans="19:19" x14ac:dyDescent="0.3">
      <c r="S182" s="8"/>
    </row>
    <row r="183" spans="19:19" x14ac:dyDescent="0.3">
      <c r="S183" s="8"/>
    </row>
    <row r="184" spans="19:19" x14ac:dyDescent="0.3">
      <c r="S184" s="8"/>
    </row>
    <row r="185" spans="19:19" x14ac:dyDescent="0.3">
      <c r="S185" s="8"/>
    </row>
    <row r="186" spans="19:19" x14ac:dyDescent="0.3">
      <c r="S186" s="8"/>
    </row>
    <row r="187" spans="19:19" x14ac:dyDescent="0.3">
      <c r="S187" s="8"/>
    </row>
    <row r="188" spans="19:19" x14ac:dyDescent="0.3">
      <c r="S188" s="8"/>
    </row>
    <row r="189" spans="19:19" x14ac:dyDescent="0.3">
      <c r="S189" s="8"/>
    </row>
    <row r="190" spans="19:19" x14ac:dyDescent="0.3">
      <c r="S190" s="8"/>
    </row>
    <row r="191" spans="19:19" x14ac:dyDescent="0.3">
      <c r="S191" s="8"/>
    </row>
    <row r="192" spans="19:19" x14ac:dyDescent="0.3">
      <c r="S192" s="8"/>
    </row>
    <row r="193" spans="19:19" x14ac:dyDescent="0.3">
      <c r="S193" s="8"/>
    </row>
    <row r="194" spans="19:19" x14ac:dyDescent="0.3">
      <c r="S194" s="8"/>
    </row>
    <row r="195" spans="19:19" x14ac:dyDescent="0.3">
      <c r="S195" s="8"/>
    </row>
    <row r="196" spans="19:19" x14ac:dyDescent="0.3">
      <c r="S196" s="8"/>
    </row>
    <row r="197" spans="19:19" x14ac:dyDescent="0.3">
      <c r="S197" s="8"/>
    </row>
    <row r="198" spans="19:19" x14ac:dyDescent="0.3">
      <c r="S198" s="8"/>
    </row>
    <row r="199" spans="19:19" x14ac:dyDescent="0.3">
      <c r="S199" s="8"/>
    </row>
    <row r="200" spans="19:19" x14ac:dyDescent="0.3">
      <c r="S200" s="8"/>
    </row>
    <row r="201" spans="19:19" x14ac:dyDescent="0.3">
      <c r="S201" s="8"/>
    </row>
    <row r="202" spans="19:19" x14ac:dyDescent="0.3">
      <c r="S202" s="8"/>
    </row>
  </sheetData>
  <phoneticPr fontId="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Memb. props. BC 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2025-07-12T12:13:26Z</dcterms:modified>
</cp:coreProperties>
</file>