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8_{8FDF488A-FB90-404E-8224-AD14DE0199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mb. props BC Sh. ctrl vs cHet" sheetId="1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45" i="13" l="1"/>
  <c r="AG46" i="13" s="1"/>
  <c r="AF45" i="13"/>
  <c r="AF46" i="13" s="1"/>
  <c r="AB45" i="13"/>
  <c r="AB46" i="13" s="1"/>
  <c r="AA45" i="13"/>
  <c r="AA46" i="13" s="1"/>
  <c r="Z45" i="13"/>
  <c r="Z46" i="13" s="1"/>
  <c r="Y45" i="13"/>
  <c r="Y46" i="13" s="1"/>
  <c r="X45" i="13"/>
  <c r="X46" i="13" s="1"/>
  <c r="U45" i="13"/>
  <c r="U46" i="13" s="1"/>
  <c r="T45" i="13"/>
  <c r="T46" i="13" s="1"/>
  <c r="S45" i="13"/>
  <c r="S46" i="13" s="1"/>
  <c r="R45" i="13"/>
  <c r="R46" i="13" s="1"/>
  <c r="Q45" i="13"/>
  <c r="Q46" i="13" s="1"/>
  <c r="P45" i="13"/>
  <c r="P46" i="13" s="1"/>
  <c r="O45" i="13"/>
  <c r="O46" i="13" s="1"/>
  <c r="N45" i="13"/>
  <c r="N46" i="13" s="1"/>
  <c r="M45" i="13"/>
  <c r="M46" i="13" s="1"/>
  <c r="L45" i="13"/>
  <c r="L46" i="13" s="1"/>
  <c r="K45" i="13"/>
  <c r="K46" i="13" s="1"/>
  <c r="J45" i="13"/>
  <c r="J46" i="13" s="1"/>
  <c r="I45" i="13"/>
  <c r="I46" i="13" s="1"/>
  <c r="AG44" i="13"/>
  <c r="AF44" i="13"/>
  <c r="AB44" i="13"/>
  <c r="AA44" i="13"/>
  <c r="Z44" i="13"/>
  <c r="Y44" i="13"/>
  <c r="X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AG40" i="13"/>
  <c r="AG41" i="13" s="1"/>
  <c r="AF40" i="13"/>
  <c r="AF41" i="13" s="1"/>
  <c r="AB40" i="13"/>
  <c r="AB41" i="13" s="1"/>
  <c r="AA40" i="13"/>
  <c r="AA41" i="13" s="1"/>
  <c r="Z40" i="13"/>
  <c r="Z41" i="13" s="1"/>
  <c r="Y40" i="13"/>
  <c r="Y41" i="13" s="1"/>
  <c r="X40" i="13"/>
  <c r="X41" i="13" s="1"/>
  <c r="U40" i="13"/>
  <c r="U41" i="13" s="1"/>
  <c r="T40" i="13"/>
  <c r="T41" i="13" s="1"/>
  <c r="S40" i="13"/>
  <c r="S41" i="13" s="1"/>
  <c r="R40" i="13"/>
  <c r="R41" i="13" s="1"/>
  <c r="Q40" i="13"/>
  <c r="Q41" i="13" s="1"/>
  <c r="P40" i="13"/>
  <c r="P41" i="13" s="1"/>
  <c r="O40" i="13"/>
  <c r="O41" i="13" s="1"/>
  <c r="N40" i="13"/>
  <c r="N41" i="13" s="1"/>
  <c r="M40" i="13"/>
  <c r="M41" i="13" s="1"/>
  <c r="L40" i="13"/>
  <c r="L41" i="13" s="1"/>
  <c r="K40" i="13"/>
  <c r="K41" i="13" s="1"/>
  <c r="J40" i="13"/>
  <c r="J41" i="13" s="1"/>
  <c r="I40" i="13"/>
  <c r="I41" i="13" s="1"/>
  <c r="AG39" i="13"/>
  <c r="AF39" i="13"/>
  <c r="AB39" i="13"/>
  <c r="AA39" i="13"/>
  <c r="Z39" i="13"/>
  <c r="Y39" i="13"/>
  <c r="X39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AI37" i="13"/>
  <c r="AH37" i="13"/>
  <c r="AE37" i="13"/>
  <c r="AD37" i="13"/>
  <c r="W37" i="13"/>
  <c r="V37" i="13"/>
  <c r="AI36" i="13"/>
  <c r="AH36" i="13"/>
  <c r="AE36" i="13"/>
  <c r="AD36" i="13"/>
  <c r="W36" i="13"/>
  <c r="V36" i="13"/>
  <c r="AI35" i="13"/>
  <c r="AH35" i="13"/>
  <c r="AE35" i="13"/>
  <c r="AD35" i="13"/>
  <c r="W35" i="13"/>
  <c r="V35" i="13"/>
  <c r="AI34" i="13"/>
  <c r="AH34" i="13"/>
  <c r="AE34" i="13"/>
  <c r="AD34" i="13"/>
  <c r="W34" i="13"/>
  <c r="V34" i="13"/>
  <c r="AI33" i="13"/>
  <c r="AH33" i="13"/>
  <c r="AE33" i="13"/>
  <c r="AD33" i="13"/>
  <c r="W33" i="13"/>
  <c r="V33" i="13"/>
  <c r="AI32" i="13"/>
  <c r="AH32" i="13"/>
  <c r="AE32" i="13"/>
  <c r="AD32" i="13"/>
  <c r="W32" i="13"/>
  <c r="V32" i="13"/>
  <c r="AI31" i="13"/>
  <c r="AH31" i="13"/>
  <c r="AE31" i="13"/>
  <c r="AD31" i="13"/>
  <c r="W31" i="13"/>
  <c r="V31" i="13"/>
  <c r="AI30" i="13"/>
  <c r="AH30" i="13"/>
  <c r="AE30" i="13"/>
  <c r="AD30" i="13"/>
  <c r="W30" i="13"/>
  <c r="V30" i="13"/>
  <c r="AI29" i="13"/>
  <c r="AH29" i="13"/>
  <c r="AE29" i="13"/>
  <c r="AD29" i="13"/>
  <c r="W29" i="13"/>
  <c r="V29" i="13"/>
  <c r="AI28" i="13"/>
  <c r="AH28" i="13"/>
  <c r="AE28" i="13"/>
  <c r="AD28" i="13"/>
  <c r="W28" i="13"/>
  <c r="V28" i="13"/>
  <c r="W27" i="13"/>
  <c r="W26" i="13"/>
  <c r="AI25" i="13"/>
  <c r="AH25" i="13"/>
  <c r="AE25" i="13"/>
  <c r="AD25" i="13"/>
  <c r="AC25" i="13"/>
  <c r="W25" i="13"/>
  <c r="V25" i="13"/>
  <c r="AI24" i="13"/>
  <c r="AH24" i="13"/>
  <c r="AE24" i="13"/>
  <c r="AD24" i="13"/>
  <c r="AC24" i="13"/>
  <c r="W24" i="13"/>
  <c r="V24" i="13"/>
  <c r="AI23" i="13"/>
  <c r="AH23" i="13"/>
  <c r="AE23" i="13"/>
  <c r="AD23" i="13"/>
  <c r="AC23" i="13"/>
  <c r="W23" i="13"/>
  <c r="V23" i="13"/>
  <c r="AI22" i="13"/>
  <c r="AH22" i="13"/>
  <c r="AE22" i="13"/>
  <c r="AD22" i="13"/>
  <c r="AC22" i="13"/>
  <c r="W22" i="13"/>
  <c r="V22" i="13"/>
  <c r="AI21" i="13"/>
  <c r="AH21" i="13"/>
  <c r="AE21" i="13"/>
  <c r="AD21" i="13"/>
  <c r="AC21" i="13"/>
  <c r="W21" i="13"/>
  <c r="V21" i="13"/>
  <c r="AI20" i="13"/>
  <c r="AH20" i="13"/>
  <c r="AE20" i="13"/>
  <c r="AD20" i="13"/>
  <c r="AC20" i="13"/>
  <c r="W20" i="13"/>
  <c r="V20" i="13"/>
  <c r="AI19" i="13"/>
  <c r="AH19" i="13"/>
  <c r="AE19" i="13"/>
  <c r="AD19" i="13"/>
  <c r="AC19" i="13"/>
  <c r="W19" i="13"/>
  <c r="V19" i="13"/>
  <c r="AI18" i="13"/>
  <c r="AH18" i="13"/>
  <c r="AE18" i="13"/>
  <c r="AD18" i="13"/>
  <c r="AC18" i="13"/>
  <c r="W18" i="13"/>
  <c r="V18" i="13"/>
  <c r="AI17" i="13"/>
  <c r="AH17" i="13"/>
  <c r="AE17" i="13"/>
  <c r="AD17" i="13"/>
  <c r="AC17" i="13"/>
  <c r="W17" i="13"/>
  <c r="V17" i="13"/>
  <c r="AI16" i="13"/>
  <c r="AH16" i="13"/>
  <c r="AE16" i="13"/>
  <c r="AD16" i="13"/>
  <c r="AC16" i="13"/>
  <c r="W16" i="13"/>
  <c r="V16" i="13"/>
  <c r="AI15" i="13"/>
  <c r="AH15" i="13"/>
  <c r="AE15" i="13"/>
  <c r="AD15" i="13"/>
  <c r="AC15" i="13"/>
  <c r="W15" i="13"/>
  <c r="V15" i="13"/>
  <c r="AI14" i="13"/>
  <c r="AH14" i="13"/>
  <c r="AE14" i="13"/>
  <c r="AD14" i="13"/>
  <c r="AC14" i="13"/>
  <c r="W14" i="13"/>
  <c r="V14" i="13"/>
  <c r="AI13" i="13"/>
  <c r="AH13" i="13"/>
  <c r="AE13" i="13"/>
  <c r="AD13" i="13"/>
  <c r="W13" i="13"/>
  <c r="V13" i="13"/>
  <c r="AI12" i="13"/>
  <c r="AH12" i="13"/>
  <c r="AE12" i="13"/>
  <c r="AD12" i="13"/>
  <c r="W12" i="13"/>
  <c r="V12" i="13"/>
  <c r="AI11" i="13"/>
  <c r="AH11" i="13"/>
  <c r="AE11" i="13"/>
  <c r="AD11" i="13"/>
  <c r="W11" i="13"/>
  <c r="V11" i="13"/>
  <c r="AI10" i="13"/>
  <c r="AH10" i="13"/>
  <c r="AE10" i="13"/>
  <c r="AD10" i="13"/>
  <c r="W10" i="13"/>
  <c r="V10" i="13"/>
  <c r="AI9" i="13"/>
  <c r="AH9" i="13"/>
  <c r="AE9" i="13"/>
  <c r="AD9" i="13"/>
  <c r="W9" i="13"/>
  <c r="V9" i="13"/>
  <c r="AE8" i="13"/>
  <c r="AD8" i="13"/>
  <c r="W8" i="13"/>
  <c r="V8" i="13"/>
  <c r="AI7" i="13"/>
  <c r="AH7" i="13"/>
  <c r="AE7" i="13"/>
  <c r="AD7" i="13"/>
  <c r="W7" i="13"/>
  <c r="V7" i="13"/>
  <c r="AI6" i="13"/>
  <c r="AH6" i="13"/>
  <c r="AE6" i="13"/>
  <c r="AD6" i="13"/>
  <c r="AC6" i="13"/>
  <c r="W6" i="13"/>
  <c r="V6" i="13"/>
  <c r="AI5" i="13"/>
  <c r="AH5" i="13"/>
  <c r="AE5" i="13"/>
  <c r="AD5" i="13"/>
  <c r="AC5" i="13"/>
  <c r="W5" i="13"/>
  <c r="V5" i="13"/>
  <c r="AI4" i="13"/>
  <c r="AH4" i="13"/>
  <c r="AE4" i="13"/>
  <c r="AD4" i="13"/>
  <c r="AC4" i="13"/>
  <c r="W4" i="13"/>
  <c r="V4" i="13"/>
  <c r="AI3" i="13"/>
  <c r="AH3" i="13"/>
  <c r="AE3" i="13"/>
  <c r="AD3" i="13"/>
  <c r="AC3" i="13"/>
  <c r="W3" i="13"/>
  <c r="V3" i="13"/>
  <c r="AI2" i="13"/>
  <c r="AH2" i="13"/>
  <c r="AE2" i="13"/>
  <c r="AD2" i="13"/>
  <c r="AC2" i="13"/>
  <c r="W2" i="13"/>
  <c r="V2" i="13"/>
  <c r="AJ32" i="13" l="1"/>
  <c r="AJ25" i="13"/>
  <c r="AJ31" i="13"/>
  <c r="AJ4" i="13"/>
  <c r="AJ33" i="13"/>
  <c r="AJ14" i="13"/>
  <c r="AJ15" i="13"/>
  <c r="AJ17" i="13"/>
  <c r="AJ18" i="13"/>
  <c r="AJ5" i="13"/>
  <c r="AJ6" i="13"/>
  <c r="AJ12" i="13"/>
  <c r="AJ7" i="13"/>
  <c r="AJ21" i="13"/>
  <c r="V44" i="13"/>
  <c r="AJ22" i="13"/>
  <c r="AC44" i="13"/>
  <c r="W40" i="13"/>
  <c r="W41" i="13" s="1"/>
  <c r="AJ10" i="13"/>
  <c r="AJ29" i="13"/>
  <c r="AJ37" i="13"/>
  <c r="AJ9" i="13"/>
  <c r="AJ11" i="13"/>
  <c r="W45" i="13"/>
  <c r="W46" i="13" s="1"/>
  <c r="W47" i="13" s="1"/>
  <c r="Z42" i="13"/>
  <c r="W44" i="13"/>
  <c r="V45" i="13"/>
  <c r="V46" i="13" s="1"/>
  <c r="AJ19" i="13"/>
  <c r="AJ20" i="13"/>
  <c r="V40" i="13"/>
  <c r="V41" i="13" s="1"/>
  <c r="AC40" i="13"/>
  <c r="AC41" i="13" s="1"/>
  <c r="AC45" i="13"/>
  <c r="AC46" i="13" s="1"/>
  <c r="AJ23" i="13"/>
  <c r="AJ24" i="13"/>
  <c r="AJ30" i="13"/>
  <c r="AD40" i="13"/>
  <c r="AD41" i="13" s="1"/>
  <c r="AD45" i="13"/>
  <c r="AD46" i="13" s="1"/>
  <c r="AE39" i="13"/>
  <c r="AE40" i="13"/>
  <c r="AE41" i="13" s="1"/>
  <c r="AE45" i="13"/>
  <c r="AE46" i="13" s="1"/>
  <c r="AJ28" i="13"/>
  <c r="AJ36" i="13"/>
  <c r="AH40" i="13"/>
  <c r="AH41" i="13" s="1"/>
  <c r="AJ3" i="13"/>
  <c r="AJ13" i="13"/>
  <c r="AH45" i="13"/>
  <c r="AH46" i="13" s="1"/>
  <c r="AJ35" i="13"/>
  <c r="AI40" i="13"/>
  <c r="AI41" i="13" s="1"/>
  <c r="AI44" i="13"/>
  <c r="AJ16" i="13"/>
  <c r="AJ34" i="13"/>
  <c r="AJ2" i="13"/>
  <c r="AH39" i="13"/>
  <c r="AD44" i="13"/>
  <c r="V39" i="13"/>
  <c r="AI39" i="13"/>
  <c r="AE44" i="13"/>
  <c r="AI45" i="13"/>
  <c r="AI46" i="13" s="1"/>
  <c r="W39" i="13"/>
  <c r="AC39" i="13"/>
  <c r="AD39" i="13"/>
  <c r="AH44" i="13"/>
  <c r="W42" i="13" l="1"/>
  <c r="AJ44" i="13"/>
  <c r="AJ45" i="13"/>
  <c r="AJ46" i="13" s="1"/>
  <c r="AJ40" i="13"/>
  <c r="AJ41" i="13" s="1"/>
  <c r="AJ39" i="13"/>
</calcChain>
</file>

<file path=xl/sharedStrings.xml><?xml version="1.0" encoding="utf-8"?>
<sst xmlns="http://schemas.openxmlformats.org/spreadsheetml/2006/main" count="442" uniqueCount="155">
  <si>
    <t>Cell</t>
  </si>
  <si>
    <t>Genotype</t>
  </si>
  <si>
    <t>Sex</t>
  </si>
  <si>
    <t>DOB</t>
  </si>
  <si>
    <t>Age</t>
  </si>
  <si>
    <t>Anatomy</t>
  </si>
  <si>
    <t>Layer</t>
  </si>
  <si>
    <t>Tag</t>
  </si>
  <si>
    <t>BC</t>
  </si>
  <si>
    <t>GFP</t>
  </si>
  <si>
    <t>Animal 15</t>
  </si>
  <si>
    <t>cHet</t>
  </si>
  <si>
    <t>SD</t>
  </si>
  <si>
    <t>SE</t>
  </si>
  <si>
    <t>F value</t>
  </si>
  <si>
    <t>control</t>
  </si>
  <si>
    <t>ID</t>
  </si>
  <si>
    <t>Cm</t>
  </si>
  <si>
    <t>Fmax</t>
  </si>
  <si>
    <t>30.05.22</t>
  </si>
  <si>
    <t>180822RF2</t>
  </si>
  <si>
    <t>06.06.22</t>
  </si>
  <si>
    <t>180822RF3</t>
  </si>
  <si>
    <t>190822RF4d</t>
  </si>
  <si>
    <t>280922RF2</t>
  </si>
  <si>
    <t>15.07.22</t>
  </si>
  <si>
    <t>01.07.22</t>
  </si>
  <si>
    <t>N571</t>
  </si>
  <si>
    <t>p Value</t>
  </si>
  <si>
    <t>M</t>
  </si>
  <si>
    <t>230822RF5</t>
  </si>
  <si>
    <t>080722RF2c</t>
  </si>
  <si>
    <t>28.04.22</t>
  </si>
  <si>
    <t>150722RF4</t>
  </si>
  <si>
    <t>03.05.22</t>
  </si>
  <si>
    <t>150722RF6</t>
  </si>
  <si>
    <t>250722RF4</t>
  </si>
  <si>
    <t>20.05.22</t>
  </si>
  <si>
    <t>AVG cHet</t>
  </si>
  <si>
    <t>Subject ID</t>
  </si>
  <si>
    <t>Mouse Line</t>
  </si>
  <si>
    <t>Vm</t>
  </si>
  <si>
    <t>Rm</t>
  </si>
  <si>
    <t>Rheobase, pA</t>
  </si>
  <si>
    <t>Latency ms</t>
  </si>
  <si>
    <t>AP ampl, mV</t>
  </si>
  <si>
    <t>AP dur, ms</t>
  </si>
  <si>
    <t>Area AP</t>
  </si>
  <si>
    <t>AP thresh, mV</t>
  </si>
  <si>
    <t>Rise time (10-90%)</t>
  </si>
  <si>
    <t>Decay time (10-90%)</t>
  </si>
  <si>
    <t>Max, rise slop (mv/ms)</t>
  </si>
  <si>
    <t>Max, decay slope (mv/ms)</t>
  </si>
  <si>
    <t>Ratio max ris/max decay</t>
  </si>
  <si>
    <t>fAHP time (ms)</t>
  </si>
  <si>
    <t>AHP amplit,,  mV</t>
  </si>
  <si>
    <t>Sag Ih</t>
  </si>
  <si>
    <t>Firing frequ, At rheobase</t>
  </si>
  <si>
    <t>File #</t>
  </si>
  <si>
    <t>Firing freq, (n spikes in 500 ms) Hz at 2x rheobase</t>
  </si>
  <si>
    <t>spike amplit, AP index At 2x rheobase</t>
  </si>
  <si>
    <t xml:space="preserve">spike freq, AP index at 2x rheobase </t>
  </si>
  <si>
    <t>Current for depol, Block (pA)</t>
  </si>
  <si>
    <t>Mv depolariz, Block</t>
  </si>
  <si>
    <t>Adaptation ratio (dimensionless)</t>
  </si>
  <si>
    <t>Firing</t>
  </si>
  <si>
    <t>Injected current</t>
  </si>
  <si>
    <t>animal 1</t>
  </si>
  <si>
    <t>140722RF1b</t>
  </si>
  <si>
    <t>Nkx2.1cre RCE Syngap1 flox</t>
  </si>
  <si>
    <t>fast spiking</t>
  </si>
  <si>
    <t>0 pA</t>
  </si>
  <si>
    <t>140722RF4</t>
  </si>
  <si>
    <t>60 pA</t>
  </si>
  <si>
    <t>animal 3</t>
  </si>
  <si>
    <t>not present</t>
  </si>
  <si>
    <t>animal 4</t>
  </si>
  <si>
    <t>50 pA</t>
  </si>
  <si>
    <t>animal 6</t>
  </si>
  <si>
    <t>210922RF1c</t>
  </si>
  <si>
    <t>N568</t>
  </si>
  <si>
    <t>10 pA</t>
  </si>
  <si>
    <t>animal 7</t>
  </si>
  <si>
    <t>220922RF1</t>
  </si>
  <si>
    <t>220922RF3</t>
  </si>
  <si>
    <t>animal 8</t>
  </si>
  <si>
    <t>260922RF4</t>
  </si>
  <si>
    <t>N569</t>
  </si>
  <si>
    <t>fast spiking with depol. Block</t>
  </si>
  <si>
    <t>30 pA</t>
  </si>
  <si>
    <t>animal 9</t>
  </si>
  <si>
    <t>270922RF1</t>
  </si>
  <si>
    <t>animal 10</t>
  </si>
  <si>
    <t>6 folder 280922secondone</t>
  </si>
  <si>
    <t>070623RF1d</t>
  </si>
  <si>
    <t>30.03.23</t>
  </si>
  <si>
    <t>Nkx2,1cre RCE Syngap1 flox</t>
  </si>
  <si>
    <t>regular no dep. Block</t>
  </si>
  <si>
    <t>animal 16</t>
  </si>
  <si>
    <t>080722RF1</t>
  </si>
  <si>
    <t>20 pA</t>
  </si>
  <si>
    <t>080722RF3</t>
  </si>
  <si>
    <t>40 pA</t>
  </si>
  <si>
    <t>animal 17</t>
  </si>
  <si>
    <t>not present at 600</t>
  </si>
  <si>
    <t>animal 18</t>
  </si>
  <si>
    <t>190722RF2</t>
  </si>
  <si>
    <t>190722RF3</t>
  </si>
  <si>
    <t>animal 19</t>
  </si>
  <si>
    <t xml:space="preserve">fast spiking </t>
  </si>
  <si>
    <t>60 Pa</t>
  </si>
  <si>
    <t>animal 20</t>
  </si>
  <si>
    <t>030822RF1</t>
  </si>
  <si>
    <t>animal 21</t>
  </si>
  <si>
    <t>animal 23</t>
  </si>
  <si>
    <t>270722RF3</t>
  </si>
  <si>
    <t>50 Pa</t>
  </si>
  <si>
    <t>270722RF6</t>
  </si>
  <si>
    <t>3 folder 260722</t>
  </si>
  <si>
    <t>0 Pa</t>
  </si>
  <si>
    <t>animal 24</t>
  </si>
  <si>
    <t>090223RF2a</t>
  </si>
  <si>
    <t>08.11.22</t>
  </si>
  <si>
    <t>regular with dep. Block</t>
  </si>
  <si>
    <t>plus 10 Pa</t>
  </si>
  <si>
    <t>Animal 28</t>
  </si>
  <si>
    <t>170523RF1</t>
  </si>
  <si>
    <t>03.03.23</t>
  </si>
  <si>
    <t>Animal 29</t>
  </si>
  <si>
    <t>010623RF1a</t>
  </si>
  <si>
    <t>27.03.23</t>
  </si>
  <si>
    <t>010623RF4</t>
  </si>
  <si>
    <t>Animal 30</t>
  </si>
  <si>
    <t>050623RF1a</t>
  </si>
  <si>
    <t>050623RF4</t>
  </si>
  <si>
    <t>fast spiking real</t>
  </si>
  <si>
    <t>050623RF5</t>
  </si>
  <si>
    <t>Animal 32</t>
  </si>
  <si>
    <t>080623RF2b</t>
  </si>
  <si>
    <t>Animal 33</t>
  </si>
  <si>
    <t>090623RF3a</t>
  </si>
  <si>
    <t>6 et 7</t>
  </si>
  <si>
    <t>090623RF3b</t>
  </si>
  <si>
    <t>8 et 9</t>
  </si>
  <si>
    <t>090623RF4</t>
  </si>
  <si>
    <t>090623RF6</t>
  </si>
  <si>
    <t xml:space="preserve">LMM Statistic </t>
  </si>
  <si>
    <t>Tau (Rm x Cm)/1000</t>
  </si>
  <si>
    <t>20 Pa</t>
  </si>
  <si>
    <t>AVG Control</t>
  </si>
  <si>
    <t>*0.015</t>
  </si>
  <si>
    <t>*0.025</t>
  </si>
  <si>
    <t>**0.002</t>
  </si>
  <si>
    <t>*0.011</t>
  </si>
  <si>
    <t>Fss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</si>
</sst>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.##0"/>
    <numFmt numFmtId="166" formatCode="0.000"/>
    <numFmt numFmtId="168" formatCode="0.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right"/>
    </xf>
    <xf numFmtId="166" fontId="0" fillId="0" borderId="0" xfId="0" applyNumberFormat="1" applyFont="1" applyFill="1"/>
    <xf numFmtId="0" fontId="0" fillId="2" borderId="0" xfId="0" applyFont="1" applyFill="1"/>
    <xf numFmtId="0" fontId="0" fillId="2" borderId="0" xfId="0" applyFont="1" applyFill="1" applyAlignment="1">
      <alignment horizontal="right"/>
    </xf>
    <xf numFmtId="0" fontId="2" fillId="0" borderId="0" xfId="0" applyFont="1" applyFill="1"/>
    <xf numFmtId="168" fontId="0" fillId="0" borderId="0" xfId="0" applyNumberFormat="1" applyFont="1" applyFill="1"/>
    <xf numFmtId="164" fontId="0" fillId="0" borderId="0" xfId="0" applyNumberFormat="1" applyFont="1" applyFill="1"/>
    <xf numFmtId="168" fontId="0" fillId="2" borderId="0" xfId="0" applyNumberFormat="1" applyFont="1" applyFill="1"/>
    <xf numFmtId="0" fontId="0" fillId="2" borderId="0" xfId="0" quotePrefix="1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00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w%20data/Database/MembSynPropsL4BC%20and%20MC%20011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Prop germline  P64-77"/>
      <sheetName val="Memb props BC germline P64-90"/>
      <sheetName val="Memb props BC germ short AP"/>
      <sheetName val="PCA germline adult BC"/>
      <sheetName val="Memb props BC germline P20 30"/>
      <sheetName val="PCA analysis BC germ p20 30"/>
      <sheetName val="Germline p20 30 sst "/>
      <sheetName val="Firing analysis p20 30 bc germl"/>
      <sheetName val="Firing analysis p20 30  SST Ger"/>
      <sheetName val="Foglio1"/>
      <sheetName val="PCA analysis germline"/>
      <sheetName val="Memb prop BC Germ P64 90 short"/>
      <sheetName val="Memb prop BC germ P64 90 broad"/>
      <sheetName val="firing analysis freq. germl"/>
      <sheetName val="fir analys freq. AP BC short"/>
      <sheetName val="fir analy freq. AP bc broad"/>
      <sheetName val="Memb props SST total 64-90 germ"/>
      <sheetName val="PCA germline ctrl P64 90"/>
      <sheetName val="Memb props SST GERML P64 90 "/>
      <sheetName val="Firing analysis SST P64 90 GERM"/>
      <sheetName val="Firing Analysis P64-77"/>
      <sheetName val="Memb props Cond P64 77 BC"/>
      <sheetName val="Finale tot cond p64 90 BC"/>
      <sheetName val="Memb props cutoff 0.73 ms ctrl"/>
      <sheetName val="Marker PV PCA het"/>
      <sheetName val="Finale Memb tot PCA new data"/>
      <sheetName val="Finale Memb tot SST BC new data"/>
      <sheetName val="Finale broad AP BC adult condit"/>
      <sheetName val="Finale Short AP BC 0.75 max"/>
      <sheetName val="Firing Finale short AP BC 0.73 "/>
      <sheetName val="Firing finale broad  BC"/>
      <sheetName val="Finale Broad spike BC"/>
      <sheetName val="Memb props 0.8 ms analysis"/>
      <sheetName val="PCA analysis 150323"/>
      <sheetName val="PCA analysis 150323 hET"/>
      <sheetName val="Cluster analysis 150323"/>
      <sheetName val="cluster analysis"/>
      <sheetName val="last PCA analysis 0.8 ms cutoff"/>
      <sheetName val="alpha dend experiments"/>
      <sheetName val="Delta for rheob and AP"/>
      <sheetName val="Fir analys al dend. BC P60 90 "/>
      <sheetName val="Delta for firing number"/>
      <sheetName val="0.7 ms cutoff Memb prop cond BC"/>
      <sheetName val="Memb props Con p64 77 SST tot"/>
      <sheetName val="Foglio12"/>
      <sheetName val="PCA analysis total bc ctrl het"/>
      <sheetName val="Foglio2"/>
      <sheetName val="PCA analysis CTRL pv and sst"/>
      <sheetName val="PCA analysis het pv and sst"/>
      <sheetName val="BC broad AP width"/>
      <sheetName val="Foglio3"/>
      <sheetName val="BC short AP width"/>
      <sheetName val="V C relationship AP short BC"/>
      <sheetName val="delay latency AP cur relation"/>
      <sheetName val="Tau membr potential relationshi"/>
      <sheetName val="AP threshold analysis BC"/>
      <sheetName val="AP threshold analysis Delta BC"/>
      <sheetName val="Firing Analysis BC AP number"/>
      <sheetName val="Firing Analysis BC ap freq"/>
      <sheetName val="table precise firing an. frequ"/>
      <sheetName val="table precise firing spik overs"/>
      <sheetName val="Finale tot bc firi spik overs "/>
      <sheetName val="short width bc fir spik overs"/>
      <sheetName val="broad width bc fir spik overs"/>
      <sheetName val="table mean instant freq. avg BC"/>
      <sheetName val="table inst. freq. 1st spike int"/>
      <sheetName val="same as previous sheet"/>
      <sheetName val="Firing Analysis BC Firing frequ"/>
      <sheetName val="Firing analysis BC AP width"/>
      <sheetName val="Instantenous frequency BC 40 AP"/>
      <sheetName val="mAHP voltage curr BC"/>
      <sheetName val="IV relationship steady state"/>
      <sheetName val="IV relat steady state BC"/>
      <sheetName val="IV relat stead stat BC"/>
      <sheetName val="Input resistance BC monitoring"/>
      <sheetName val="Sag ratio Current relationship"/>
      <sheetName val="Input resist current relationsh"/>
      <sheetName val="Memb prop Cond adult MC and sst"/>
      <sheetName val="Memb prop cond adult MC"/>
      <sheetName val="Memb prop cond adult sst"/>
      <sheetName val="Firing analysis sst mc AP freq"/>
      <sheetName val="sst total  firing analysis freq"/>
      <sheetName val="Firing analysis MC fir frequenc"/>
      <sheetName val="AP width firing analysis MC"/>
      <sheetName val="mAHP MC current volt relationsh"/>
      <sheetName val="Input resistance 300922RF2c"/>
      <sheetName val="Input resitance 260922RF3a"/>
      <sheetName val="Input resistance 260922RF2b"/>
      <sheetName val="Input resistance 260922RF2a"/>
      <sheetName val="Input resistance 260922RF1d"/>
      <sheetName val="Input resistance 260922RF1b"/>
      <sheetName val="Input resistance 260922RF1a"/>
      <sheetName val="Input resistance 180822RF4"/>
      <sheetName val="Input resistance 280922RF2"/>
      <sheetName val="Input resistance 280922RF1"/>
      <sheetName val="Input resistance 270922RF2"/>
      <sheetName val="Input resistance 270922RF1"/>
      <sheetName val="Input resistance 260922RF4"/>
      <sheetName val="Input resistance 260922RF3c"/>
      <sheetName val="Input resistance 260922RF2c"/>
      <sheetName val="Input resistance 220922RF3"/>
      <sheetName val="Input resistance 220922RF2"/>
      <sheetName val="Input resistance 220922RF1"/>
      <sheetName val="Input resistance 210922RF1d"/>
      <sheetName val="Input resistance 210922RF1c"/>
      <sheetName val="Input resistance 210922RF1a"/>
      <sheetName val="Input resistance 300822RF3"/>
      <sheetName val="Input resistance 300822RF2"/>
      <sheetName val="Input resistance 300822RF1"/>
      <sheetName val="Input resistance 250822RF4d"/>
      <sheetName val="Input resistance 250822RF3"/>
      <sheetName val="Input resistance 250822RF2"/>
      <sheetName val="Input resistance 250822RF1c"/>
      <sheetName val="Input resistance 230822RF4a"/>
      <sheetName val="Input resistance 230822RF2b"/>
      <sheetName val="Input resistance 220822RF4c"/>
      <sheetName val="Input resistance 220822RF3"/>
      <sheetName val="Input resistance 190822RF2b"/>
      <sheetName val="Input resistance 190822RF1"/>
      <sheetName val="Input resistance 290822RF6"/>
      <sheetName val="Input resistance 290822RF5"/>
      <sheetName val="Input resistance 140721RF1a"/>
      <sheetName val="Input resistance 140722RF1b"/>
      <sheetName val="Input resistance 140722RF4 "/>
      <sheetName val="Input resistance 150722RF4"/>
      <sheetName val="Input resistance 150722RF5b"/>
      <sheetName val="Input resistance 150722RF6"/>
      <sheetName val="Input resistance 190722RF2"/>
      <sheetName val="Input resistance 190722RF3"/>
      <sheetName val="Input resistance 140722RF2"/>
      <sheetName val="Input resistance 140722RF5"/>
      <sheetName val="Input resistance 150722RF1"/>
      <sheetName val="Input resistance 150722RF2"/>
      <sheetName val="Input resistance 150722RF3"/>
      <sheetName val="Input resistance 150722RF5a"/>
      <sheetName val="Input resistance 190722RF4"/>
      <sheetName val="Input resistance 250722RF2"/>
      <sheetName val="Input resistance 250722RF3b "/>
      <sheetName val="Input resistance 250722RF4 "/>
      <sheetName val="Input resistance 270722RF1"/>
      <sheetName val="Input resistance 270722RF3"/>
      <sheetName val="Input resistance 270722RF4b"/>
      <sheetName val="Input resistance 270722RF6"/>
      <sheetName val="Input resistance 250722RF1"/>
      <sheetName val="Input resistance 270722RF2"/>
      <sheetName val="Input resistance 270722RF5"/>
      <sheetName val="Input resistance 020822RF3"/>
      <sheetName val="Input resistance 020822RF1"/>
      <sheetName val="Input resistance 020822RF2 "/>
      <sheetName val="Input resistance 030822RF1"/>
      <sheetName val="Input resistance 030822RF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7">
          <cell r="P87">
            <v>0.52</v>
          </cell>
          <cell r="U87">
            <v>120</v>
          </cell>
          <cell r="V87">
            <v>-50</v>
          </cell>
        </row>
        <row r="88">
          <cell r="U88">
            <v>120</v>
          </cell>
          <cell r="V88">
            <v>-42.5</v>
          </cell>
        </row>
        <row r="89">
          <cell r="U89">
            <v>160</v>
          </cell>
          <cell r="V89">
            <v>-36</v>
          </cell>
        </row>
        <row r="90">
          <cell r="U90">
            <v>140</v>
          </cell>
          <cell r="V90">
            <v>-44</v>
          </cell>
        </row>
        <row r="91">
          <cell r="U91">
            <v>120</v>
          </cell>
          <cell r="V91">
            <v>-40.299999999999997</v>
          </cell>
        </row>
        <row r="92">
          <cell r="U92">
            <v>160</v>
          </cell>
          <cell r="V92">
            <v>-40.9</v>
          </cell>
        </row>
        <row r="93">
          <cell r="U93">
            <v>160</v>
          </cell>
          <cell r="V93">
            <v>-39</v>
          </cell>
        </row>
        <row r="94">
          <cell r="U94">
            <v>120</v>
          </cell>
          <cell r="V94">
            <v>-41.5</v>
          </cell>
        </row>
        <row r="95">
          <cell r="U95">
            <v>200</v>
          </cell>
          <cell r="V95">
            <v>-36.799999999999997</v>
          </cell>
        </row>
        <row r="96">
          <cell r="U96">
            <v>80</v>
          </cell>
          <cell r="V96">
            <v>-33.700000000000003</v>
          </cell>
        </row>
        <row r="97">
          <cell r="U97">
            <v>120</v>
          </cell>
          <cell r="V97">
            <v>-45.2</v>
          </cell>
        </row>
        <row r="98">
          <cell r="U98">
            <v>80</v>
          </cell>
          <cell r="V98">
            <v>-43.9</v>
          </cell>
        </row>
        <row r="99">
          <cell r="U99">
            <v>120</v>
          </cell>
          <cell r="V99">
            <v>-46.1</v>
          </cell>
        </row>
        <row r="100">
          <cell r="U100">
            <v>160</v>
          </cell>
          <cell r="V100">
            <v>-36.6</v>
          </cell>
        </row>
        <row r="101">
          <cell r="U101">
            <v>120</v>
          </cell>
          <cell r="V101">
            <v>-41.8</v>
          </cell>
        </row>
        <row r="102">
          <cell r="U102">
            <v>120</v>
          </cell>
          <cell r="V102">
            <v>-42.6</v>
          </cell>
        </row>
        <row r="103">
          <cell r="U103">
            <v>160</v>
          </cell>
          <cell r="V103">
            <v>-41</v>
          </cell>
        </row>
        <row r="104">
          <cell r="U104">
            <v>160</v>
          </cell>
          <cell r="V104">
            <v>-42.6</v>
          </cell>
        </row>
        <row r="105">
          <cell r="U105">
            <v>120</v>
          </cell>
          <cell r="V105">
            <v>-39.5</v>
          </cell>
        </row>
        <row r="106">
          <cell r="U106">
            <v>120</v>
          </cell>
          <cell r="V106">
            <v>-40.4</v>
          </cell>
        </row>
        <row r="107">
          <cell r="U107">
            <v>120</v>
          </cell>
          <cell r="V107">
            <v>-41.1</v>
          </cell>
        </row>
        <row r="108">
          <cell r="U108">
            <v>80</v>
          </cell>
          <cell r="V108">
            <v>-45.9</v>
          </cell>
        </row>
        <row r="109">
          <cell r="U109">
            <v>80</v>
          </cell>
          <cell r="V109">
            <v>-55.6</v>
          </cell>
        </row>
        <row r="110">
          <cell r="U110">
            <v>80</v>
          </cell>
          <cell r="V110">
            <v>-38.799999999999997</v>
          </cell>
        </row>
        <row r="111">
          <cell r="U111">
            <v>120</v>
          </cell>
          <cell r="V111">
            <v>-43.4</v>
          </cell>
        </row>
        <row r="112">
          <cell r="U112">
            <v>80</v>
          </cell>
          <cell r="V112">
            <v>-52.2</v>
          </cell>
        </row>
        <row r="113">
          <cell r="U113">
            <v>80</v>
          </cell>
          <cell r="V113">
            <v>-49.1</v>
          </cell>
        </row>
        <row r="114">
          <cell r="U114">
            <v>80</v>
          </cell>
          <cell r="V114">
            <v>-52.9</v>
          </cell>
        </row>
        <row r="115">
          <cell r="U115">
            <v>160</v>
          </cell>
          <cell r="V115">
            <v>-25.1</v>
          </cell>
        </row>
        <row r="116">
          <cell r="U116">
            <v>160</v>
          </cell>
          <cell r="V116">
            <v>-27.1</v>
          </cell>
        </row>
        <row r="117">
          <cell r="U117">
            <v>120</v>
          </cell>
          <cell r="V117">
            <v>-47.2</v>
          </cell>
        </row>
        <row r="118">
          <cell r="U118">
            <v>120</v>
          </cell>
          <cell r="V118">
            <v>-44.1</v>
          </cell>
        </row>
      </sheetData>
      <sheetData sheetId="23"/>
      <sheetData sheetId="24"/>
      <sheetData sheetId="25">
        <row r="58">
          <cell r="P58">
            <v>0.42307692307692307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DF8CD-8DDC-4897-8156-2CD0E9FC10FA}">
  <dimension ref="A1:AP51"/>
  <sheetViews>
    <sheetView tabSelected="1" topLeftCell="AD1" workbookViewId="0">
      <selection activeCell="AH6" sqref="AH6"/>
    </sheetView>
  </sheetViews>
  <sheetFormatPr defaultColWidth="9.109375" defaultRowHeight="14.4" x14ac:dyDescent="0.3"/>
  <cols>
    <col min="1" max="1" width="18.44140625" style="1" customWidth="1"/>
    <col min="2" max="2" width="11.88671875" style="1" customWidth="1"/>
    <col min="3" max="3" width="23.77734375" style="1" customWidth="1"/>
    <col min="4" max="4" width="10.5546875" style="1" customWidth="1"/>
    <col min="5" max="5" width="13.6640625" style="1" customWidth="1"/>
    <col min="6" max="7" width="10.109375" style="1" customWidth="1"/>
    <col min="8" max="8" width="13.6640625" style="1" customWidth="1"/>
    <col min="9" max="11" width="9.109375" style="1"/>
    <col min="12" max="12" width="21" style="1" customWidth="1"/>
    <col min="13" max="13" width="12.33203125" style="1" customWidth="1"/>
    <col min="14" max="14" width="14" style="1" customWidth="1"/>
    <col min="15" max="15" width="10.109375" style="1" bestFit="1" customWidth="1"/>
    <col min="16" max="16" width="10.109375" style="1" customWidth="1"/>
    <col min="17" max="17" width="16.21875" style="1" customWidth="1"/>
    <col min="18" max="18" width="16.33203125" style="1" customWidth="1"/>
    <col min="19" max="19" width="18.5546875" style="1" customWidth="1"/>
    <col min="20" max="20" width="20.33203125" style="1" customWidth="1"/>
    <col min="21" max="22" width="22.88671875" style="1" customWidth="1"/>
    <col min="23" max="24" width="18" style="1" customWidth="1"/>
    <col min="25" max="25" width="17.21875" style="1" customWidth="1"/>
    <col min="26" max="26" width="8.77734375" style="1" customWidth="1"/>
    <col min="27" max="27" width="22.44140625" style="1" customWidth="1"/>
    <col min="28" max="28" width="14" style="1" customWidth="1"/>
    <col min="29" max="29" width="41.5546875" style="1" customWidth="1"/>
    <col min="30" max="31" width="32.44140625" style="1" customWidth="1"/>
    <col min="32" max="32" width="25.77734375" style="1" customWidth="1"/>
    <col min="33" max="33" width="18.109375" style="1" customWidth="1"/>
    <col min="34" max="34" width="11.77734375" style="1" customWidth="1"/>
    <col min="35" max="35" width="17.5546875" style="1" customWidth="1"/>
    <col min="36" max="36" width="28.33203125" style="1" customWidth="1"/>
    <col min="37" max="37" width="25.6640625" style="1" customWidth="1"/>
    <col min="38" max="38" width="9.44140625" style="1" customWidth="1"/>
    <col min="39" max="40" width="9.109375" style="1"/>
    <col min="41" max="41" width="22.88671875" style="1" customWidth="1"/>
    <col min="42" max="42" width="15.77734375" style="1" customWidth="1"/>
    <col min="43" max="45" width="14.44140625" style="1" customWidth="1"/>
    <col min="46" max="46" width="9.88671875" style="1" customWidth="1"/>
    <col min="47" max="49" width="17" style="1" customWidth="1"/>
    <col min="50" max="50" width="9.109375" style="1"/>
    <col min="51" max="51" width="17" style="1" customWidth="1"/>
    <col min="52" max="52" width="10.44140625" style="1" customWidth="1"/>
    <col min="53" max="226" width="9.109375" style="1"/>
    <col min="227" max="227" width="18.44140625" style="1" customWidth="1"/>
    <col min="228" max="228" width="11.88671875" style="1" customWidth="1"/>
    <col min="229" max="230" width="10.109375" style="1" customWidth="1"/>
    <col min="231" max="232" width="13.6640625" style="1" customWidth="1"/>
    <col min="233" max="235" width="23.77734375" style="1" customWidth="1"/>
    <col min="236" max="238" width="9.109375" style="1"/>
    <col min="239" max="239" width="21" style="1" customWidth="1"/>
    <col min="240" max="240" width="12.33203125" style="1" customWidth="1"/>
    <col min="241" max="241" width="14" style="1" customWidth="1"/>
    <col min="242" max="242" width="10.109375" style="1" bestFit="1" customWidth="1"/>
    <col min="243" max="243" width="10.109375" style="1" customWidth="1"/>
    <col min="244" max="244" width="27.21875" style="1" customWidth="1"/>
    <col min="245" max="245" width="24.5546875" style="1" customWidth="1"/>
    <col min="246" max="246" width="16.21875" style="1" customWidth="1"/>
    <col min="247" max="247" width="16.33203125" style="1" customWidth="1"/>
    <col min="248" max="248" width="18.5546875" style="1" customWidth="1"/>
    <col min="249" max="249" width="20.33203125" style="1" customWidth="1"/>
    <col min="250" max="251" width="22.88671875" style="1" customWidth="1"/>
    <col min="252" max="255" width="18" style="1" customWidth="1"/>
    <col min="256" max="256" width="17.21875" style="1" customWidth="1"/>
    <col min="257" max="257" width="16.6640625" style="1" customWidth="1"/>
    <col min="258" max="258" width="17.44140625" style="1" customWidth="1"/>
    <col min="259" max="259" width="24.21875" style="1" customWidth="1"/>
    <col min="260" max="260" width="20.44140625" style="1" customWidth="1"/>
    <col min="261" max="261" width="41.5546875" style="1" customWidth="1"/>
    <col min="262" max="263" width="32.44140625" style="1" customWidth="1"/>
    <col min="264" max="268" width="41.5546875" style="1" customWidth="1"/>
    <col min="269" max="269" width="30.44140625" style="1" customWidth="1"/>
    <col min="270" max="270" width="22.33203125" style="1" customWidth="1"/>
    <col min="271" max="271" width="9.109375" style="1"/>
    <col min="272" max="272" width="22.88671875" style="1" customWidth="1"/>
    <col min="273" max="273" width="23.77734375" style="1" customWidth="1"/>
    <col min="274" max="274" width="74.44140625" style="1" customWidth="1"/>
    <col min="275" max="276" width="9.109375" style="1"/>
    <col min="277" max="277" width="14.109375" style="1" customWidth="1"/>
    <col min="278" max="278" width="12.44140625" style="1" customWidth="1"/>
    <col min="279" max="279" width="13.44140625" style="1" customWidth="1"/>
    <col min="280" max="280" width="11.109375" style="1" customWidth="1"/>
    <col min="281" max="284" width="17.33203125" style="1" customWidth="1"/>
    <col min="285" max="288" width="9.109375" style="1"/>
    <col min="289" max="290" width="22.33203125" style="1" customWidth="1"/>
    <col min="291" max="291" width="11.88671875" style="1" customWidth="1"/>
    <col min="292" max="292" width="10.109375" style="1" customWidth="1"/>
    <col min="293" max="294" width="9.109375" style="1"/>
    <col min="295" max="295" width="13.33203125" style="1" customWidth="1"/>
    <col min="296" max="296" width="11.44140625" style="1" customWidth="1"/>
    <col min="297" max="297" width="13.33203125" style="1" bestFit="1" customWidth="1"/>
    <col min="298" max="298" width="16.88671875" style="1" bestFit="1" customWidth="1"/>
    <col min="299" max="301" width="14.44140625" style="1" customWidth="1"/>
    <col min="302" max="302" width="9.88671875" style="1" customWidth="1"/>
    <col min="303" max="305" width="17" style="1" customWidth="1"/>
    <col min="306" max="306" width="9.109375" style="1"/>
    <col min="307" max="307" width="17" style="1" customWidth="1"/>
    <col min="308" max="308" width="10.44140625" style="1" customWidth="1"/>
    <col min="309" max="482" width="9.109375" style="1"/>
    <col min="483" max="483" width="18.44140625" style="1" customWidth="1"/>
    <col min="484" max="484" width="11.88671875" style="1" customWidth="1"/>
    <col min="485" max="486" width="10.109375" style="1" customWidth="1"/>
    <col min="487" max="488" width="13.6640625" style="1" customWidth="1"/>
    <col min="489" max="491" width="23.77734375" style="1" customWidth="1"/>
    <col min="492" max="494" width="9.109375" style="1"/>
    <col min="495" max="495" width="21" style="1" customWidth="1"/>
    <col min="496" max="496" width="12.33203125" style="1" customWidth="1"/>
    <col min="497" max="497" width="14" style="1" customWidth="1"/>
    <col min="498" max="498" width="10.109375" style="1" bestFit="1" customWidth="1"/>
    <col min="499" max="499" width="10.109375" style="1" customWidth="1"/>
    <col min="500" max="500" width="27.21875" style="1" customWidth="1"/>
    <col min="501" max="501" width="24.5546875" style="1" customWidth="1"/>
    <col min="502" max="502" width="16.21875" style="1" customWidth="1"/>
    <col min="503" max="503" width="16.33203125" style="1" customWidth="1"/>
    <col min="504" max="504" width="18.5546875" style="1" customWidth="1"/>
    <col min="505" max="505" width="20.33203125" style="1" customWidth="1"/>
    <col min="506" max="507" width="22.88671875" style="1" customWidth="1"/>
    <col min="508" max="511" width="18" style="1" customWidth="1"/>
    <col min="512" max="512" width="17.21875" style="1" customWidth="1"/>
    <col min="513" max="513" width="16.6640625" style="1" customWidth="1"/>
    <col min="514" max="514" width="17.44140625" style="1" customWidth="1"/>
    <col min="515" max="515" width="24.21875" style="1" customWidth="1"/>
    <col min="516" max="516" width="20.44140625" style="1" customWidth="1"/>
    <col min="517" max="517" width="41.5546875" style="1" customWidth="1"/>
    <col min="518" max="519" width="32.44140625" style="1" customWidth="1"/>
    <col min="520" max="524" width="41.5546875" style="1" customWidth="1"/>
    <col min="525" max="525" width="30.44140625" style="1" customWidth="1"/>
    <col min="526" max="526" width="22.33203125" style="1" customWidth="1"/>
    <col min="527" max="527" width="9.109375" style="1"/>
    <col min="528" max="528" width="22.88671875" style="1" customWidth="1"/>
    <col min="529" max="529" width="23.77734375" style="1" customWidth="1"/>
    <col min="530" max="530" width="74.44140625" style="1" customWidth="1"/>
    <col min="531" max="532" width="9.109375" style="1"/>
    <col min="533" max="533" width="14.109375" style="1" customWidth="1"/>
    <col min="534" max="534" width="12.44140625" style="1" customWidth="1"/>
    <col min="535" max="535" width="13.44140625" style="1" customWidth="1"/>
    <col min="536" max="536" width="11.109375" style="1" customWidth="1"/>
    <col min="537" max="540" width="17.33203125" style="1" customWidth="1"/>
    <col min="541" max="544" width="9.109375" style="1"/>
    <col min="545" max="546" width="22.33203125" style="1" customWidth="1"/>
    <col min="547" max="547" width="11.88671875" style="1" customWidth="1"/>
    <col min="548" max="548" width="10.109375" style="1" customWidth="1"/>
    <col min="549" max="550" width="9.109375" style="1"/>
    <col min="551" max="551" width="13.33203125" style="1" customWidth="1"/>
    <col min="552" max="552" width="11.44140625" style="1" customWidth="1"/>
    <col min="553" max="553" width="13.33203125" style="1" bestFit="1" customWidth="1"/>
    <col min="554" max="554" width="16.88671875" style="1" bestFit="1" customWidth="1"/>
    <col min="555" max="557" width="14.44140625" style="1" customWidth="1"/>
    <col min="558" max="558" width="9.88671875" style="1" customWidth="1"/>
    <col min="559" max="561" width="17" style="1" customWidth="1"/>
    <col min="562" max="562" width="9.109375" style="1"/>
    <col min="563" max="563" width="17" style="1" customWidth="1"/>
    <col min="564" max="564" width="10.44140625" style="1" customWidth="1"/>
    <col min="565" max="738" width="9.109375" style="1"/>
    <col min="739" max="739" width="18.44140625" style="1" customWidth="1"/>
    <col min="740" max="740" width="11.88671875" style="1" customWidth="1"/>
    <col min="741" max="742" width="10.109375" style="1" customWidth="1"/>
    <col min="743" max="744" width="13.6640625" style="1" customWidth="1"/>
    <col min="745" max="747" width="23.77734375" style="1" customWidth="1"/>
    <col min="748" max="750" width="9.109375" style="1"/>
    <col min="751" max="751" width="21" style="1" customWidth="1"/>
    <col min="752" max="752" width="12.33203125" style="1" customWidth="1"/>
    <col min="753" max="753" width="14" style="1" customWidth="1"/>
    <col min="754" max="754" width="10.109375" style="1" bestFit="1" customWidth="1"/>
    <col min="755" max="755" width="10.109375" style="1" customWidth="1"/>
    <col min="756" max="756" width="27.21875" style="1" customWidth="1"/>
    <col min="757" max="757" width="24.5546875" style="1" customWidth="1"/>
    <col min="758" max="758" width="16.21875" style="1" customWidth="1"/>
    <col min="759" max="759" width="16.33203125" style="1" customWidth="1"/>
    <col min="760" max="760" width="18.5546875" style="1" customWidth="1"/>
    <col min="761" max="761" width="20.33203125" style="1" customWidth="1"/>
    <col min="762" max="763" width="22.88671875" style="1" customWidth="1"/>
    <col min="764" max="767" width="18" style="1" customWidth="1"/>
    <col min="768" max="768" width="17.21875" style="1" customWidth="1"/>
    <col min="769" max="769" width="16.6640625" style="1" customWidth="1"/>
    <col min="770" max="770" width="17.44140625" style="1" customWidth="1"/>
    <col min="771" max="771" width="24.21875" style="1" customWidth="1"/>
    <col min="772" max="772" width="20.44140625" style="1" customWidth="1"/>
    <col min="773" max="773" width="41.5546875" style="1" customWidth="1"/>
    <col min="774" max="775" width="32.44140625" style="1" customWidth="1"/>
    <col min="776" max="780" width="41.5546875" style="1" customWidth="1"/>
    <col min="781" max="781" width="30.44140625" style="1" customWidth="1"/>
    <col min="782" max="782" width="22.33203125" style="1" customWidth="1"/>
    <col min="783" max="783" width="9.109375" style="1"/>
    <col min="784" max="784" width="22.88671875" style="1" customWidth="1"/>
    <col min="785" max="785" width="23.77734375" style="1" customWidth="1"/>
    <col min="786" max="786" width="74.44140625" style="1" customWidth="1"/>
    <col min="787" max="788" width="9.109375" style="1"/>
    <col min="789" max="789" width="14.109375" style="1" customWidth="1"/>
    <col min="790" max="790" width="12.44140625" style="1" customWidth="1"/>
    <col min="791" max="791" width="13.44140625" style="1" customWidth="1"/>
    <col min="792" max="792" width="11.109375" style="1" customWidth="1"/>
    <col min="793" max="796" width="17.33203125" style="1" customWidth="1"/>
    <col min="797" max="800" width="9.109375" style="1"/>
    <col min="801" max="802" width="22.33203125" style="1" customWidth="1"/>
    <col min="803" max="803" width="11.88671875" style="1" customWidth="1"/>
    <col min="804" max="804" width="10.109375" style="1" customWidth="1"/>
    <col min="805" max="806" width="9.109375" style="1"/>
    <col min="807" max="807" width="13.33203125" style="1" customWidth="1"/>
    <col min="808" max="808" width="11.44140625" style="1" customWidth="1"/>
    <col min="809" max="809" width="13.33203125" style="1" bestFit="1" customWidth="1"/>
    <col min="810" max="810" width="16.88671875" style="1" bestFit="1" customWidth="1"/>
    <col min="811" max="813" width="14.44140625" style="1" customWidth="1"/>
    <col min="814" max="814" width="9.88671875" style="1" customWidth="1"/>
    <col min="815" max="817" width="17" style="1" customWidth="1"/>
    <col min="818" max="818" width="9.109375" style="1"/>
    <col min="819" max="819" width="17" style="1" customWidth="1"/>
    <col min="820" max="820" width="10.44140625" style="1" customWidth="1"/>
    <col min="821" max="994" width="9.109375" style="1"/>
    <col min="995" max="995" width="18.44140625" style="1" customWidth="1"/>
    <col min="996" max="996" width="11.88671875" style="1" customWidth="1"/>
    <col min="997" max="998" width="10.109375" style="1" customWidth="1"/>
    <col min="999" max="1000" width="13.6640625" style="1" customWidth="1"/>
    <col min="1001" max="1003" width="23.77734375" style="1" customWidth="1"/>
    <col min="1004" max="1006" width="9.109375" style="1"/>
    <col min="1007" max="1007" width="21" style="1" customWidth="1"/>
    <col min="1008" max="1008" width="12.33203125" style="1" customWidth="1"/>
    <col min="1009" max="1009" width="14" style="1" customWidth="1"/>
    <col min="1010" max="1010" width="10.109375" style="1" bestFit="1" customWidth="1"/>
    <col min="1011" max="1011" width="10.109375" style="1" customWidth="1"/>
    <col min="1012" max="1012" width="27.21875" style="1" customWidth="1"/>
    <col min="1013" max="1013" width="24.5546875" style="1" customWidth="1"/>
    <col min="1014" max="1014" width="16.21875" style="1" customWidth="1"/>
    <col min="1015" max="1015" width="16.33203125" style="1" customWidth="1"/>
    <col min="1016" max="1016" width="18.5546875" style="1" customWidth="1"/>
    <col min="1017" max="1017" width="20.33203125" style="1" customWidth="1"/>
    <col min="1018" max="1019" width="22.88671875" style="1" customWidth="1"/>
    <col min="1020" max="1023" width="18" style="1" customWidth="1"/>
    <col min="1024" max="1024" width="17.21875" style="1" customWidth="1"/>
    <col min="1025" max="1025" width="16.6640625" style="1" customWidth="1"/>
    <col min="1026" max="1026" width="17.44140625" style="1" customWidth="1"/>
    <col min="1027" max="1027" width="24.21875" style="1" customWidth="1"/>
    <col min="1028" max="1028" width="20.44140625" style="1" customWidth="1"/>
    <col min="1029" max="1029" width="41.5546875" style="1" customWidth="1"/>
    <col min="1030" max="1031" width="32.44140625" style="1" customWidth="1"/>
    <col min="1032" max="1036" width="41.5546875" style="1" customWidth="1"/>
    <col min="1037" max="1037" width="30.44140625" style="1" customWidth="1"/>
    <col min="1038" max="1038" width="22.33203125" style="1" customWidth="1"/>
    <col min="1039" max="1039" width="9.109375" style="1"/>
    <col min="1040" max="1040" width="22.88671875" style="1" customWidth="1"/>
    <col min="1041" max="1041" width="23.77734375" style="1" customWidth="1"/>
    <col min="1042" max="1042" width="74.44140625" style="1" customWidth="1"/>
    <col min="1043" max="1044" width="9.109375" style="1"/>
    <col min="1045" max="1045" width="14.109375" style="1" customWidth="1"/>
    <col min="1046" max="1046" width="12.44140625" style="1" customWidth="1"/>
    <col min="1047" max="1047" width="13.44140625" style="1" customWidth="1"/>
    <col min="1048" max="1048" width="11.109375" style="1" customWidth="1"/>
    <col min="1049" max="1052" width="17.33203125" style="1" customWidth="1"/>
    <col min="1053" max="1056" width="9.109375" style="1"/>
    <col min="1057" max="1058" width="22.33203125" style="1" customWidth="1"/>
    <col min="1059" max="1059" width="11.88671875" style="1" customWidth="1"/>
    <col min="1060" max="1060" width="10.109375" style="1" customWidth="1"/>
    <col min="1061" max="1062" width="9.109375" style="1"/>
    <col min="1063" max="1063" width="13.33203125" style="1" customWidth="1"/>
    <col min="1064" max="1064" width="11.44140625" style="1" customWidth="1"/>
    <col min="1065" max="1065" width="13.33203125" style="1" bestFit="1" customWidth="1"/>
    <col min="1066" max="1066" width="16.88671875" style="1" bestFit="1" customWidth="1"/>
    <col min="1067" max="1069" width="14.44140625" style="1" customWidth="1"/>
    <col min="1070" max="1070" width="9.88671875" style="1" customWidth="1"/>
    <col min="1071" max="1073" width="17" style="1" customWidth="1"/>
    <col min="1074" max="1074" width="9.109375" style="1"/>
    <col min="1075" max="1075" width="17" style="1" customWidth="1"/>
    <col min="1076" max="1076" width="10.44140625" style="1" customWidth="1"/>
    <col min="1077" max="1250" width="9.109375" style="1"/>
    <col min="1251" max="1251" width="18.44140625" style="1" customWidth="1"/>
    <col min="1252" max="1252" width="11.88671875" style="1" customWidth="1"/>
    <col min="1253" max="1254" width="10.109375" style="1" customWidth="1"/>
    <col min="1255" max="1256" width="13.6640625" style="1" customWidth="1"/>
    <col min="1257" max="1259" width="23.77734375" style="1" customWidth="1"/>
    <col min="1260" max="1262" width="9.109375" style="1"/>
    <col min="1263" max="1263" width="21" style="1" customWidth="1"/>
    <col min="1264" max="1264" width="12.33203125" style="1" customWidth="1"/>
    <col min="1265" max="1265" width="14" style="1" customWidth="1"/>
    <col min="1266" max="1266" width="10.109375" style="1" bestFit="1" customWidth="1"/>
    <col min="1267" max="1267" width="10.109375" style="1" customWidth="1"/>
    <col min="1268" max="1268" width="27.21875" style="1" customWidth="1"/>
    <col min="1269" max="1269" width="24.5546875" style="1" customWidth="1"/>
    <col min="1270" max="1270" width="16.21875" style="1" customWidth="1"/>
    <col min="1271" max="1271" width="16.33203125" style="1" customWidth="1"/>
    <col min="1272" max="1272" width="18.5546875" style="1" customWidth="1"/>
    <col min="1273" max="1273" width="20.33203125" style="1" customWidth="1"/>
    <col min="1274" max="1275" width="22.88671875" style="1" customWidth="1"/>
    <col min="1276" max="1279" width="18" style="1" customWidth="1"/>
    <col min="1280" max="1280" width="17.21875" style="1" customWidth="1"/>
    <col min="1281" max="1281" width="16.6640625" style="1" customWidth="1"/>
    <col min="1282" max="1282" width="17.44140625" style="1" customWidth="1"/>
    <col min="1283" max="1283" width="24.21875" style="1" customWidth="1"/>
    <col min="1284" max="1284" width="20.44140625" style="1" customWidth="1"/>
    <col min="1285" max="1285" width="41.5546875" style="1" customWidth="1"/>
    <col min="1286" max="1287" width="32.44140625" style="1" customWidth="1"/>
    <col min="1288" max="1292" width="41.5546875" style="1" customWidth="1"/>
    <col min="1293" max="1293" width="30.44140625" style="1" customWidth="1"/>
    <col min="1294" max="1294" width="22.33203125" style="1" customWidth="1"/>
    <col min="1295" max="1295" width="9.109375" style="1"/>
    <col min="1296" max="1296" width="22.88671875" style="1" customWidth="1"/>
    <col min="1297" max="1297" width="23.77734375" style="1" customWidth="1"/>
    <col min="1298" max="1298" width="74.44140625" style="1" customWidth="1"/>
    <col min="1299" max="1300" width="9.109375" style="1"/>
    <col min="1301" max="1301" width="14.109375" style="1" customWidth="1"/>
    <col min="1302" max="1302" width="12.44140625" style="1" customWidth="1"/>
    <col min="1303" max="1303" width="13.44140625" style="1" customWidth="1"/>
    <col min="1304" max="1304" width="11.109375" style="1" customWidth="1"/>
    <col min="1305" max="1308" width="17.33203125" style="1" customWidth="1"/>
    <col min="1309" max="1312" width="9.109375" style="1"/>
    <col min="1313" max="1314" width="22.33203125" style="1" customWidth="1"/>
    <col min="1315" max="1315" width="11.88671875" style="1" customWidth="1"/>
    <col min="1316" max="1316" width="10.109375" style="1" customWidth="1"/>
    <col min="1317" max="1318" width="9.109375" style="1"/>
    <col min="1319" max="1319" width="13.33203125" style="1" customWidth="1"/>
    <col min="1320" max="1320" width="11.44140625" style="1" customWidth="1"/>
    <col min="1321" max="1321" width="13.33203125" style="1" bestFit="1" customWidth="1"/>
    <col min="1322" max="1322" width="16.88671875" style="1" bestFit="1" customWidth="1"/>
    <col min="1323" max="1325" width="14.44140625" style="1" customWidth="1"/>
    <col min="1326" max="1326" width="9.88671875" style="1" customWidth="1"/>
    <col min="1327" max="1329" width="17" style="1" customWidth="1"/>
    <col min="1330" max="1330" width="9.109375" style="1"/>
    <col min="1331" max="1331" width="17" style="1" customWidth="1"/>
    <col min="1332" max="1332" width="10.44140625" style="1" customWidth="1"/>
    <col min="1333" max="1506" width="9.109375" style="1"/>
    <col min="1507" max="1507" width="18.44140625" style="1" customWidth="1"/>
    <col min="1508" max="1508" width="11.88671875" style="1" customWidth="1"/>
    <col min="1509" max="1510" width="10.109375" style="1" customWidth="1"/>
    <col min="1511" max="1512" width="13.6640625" style="1" customWidth="1"/>
    <col min="1513" max="1515" width="23.77734375" style="1" customWidth="1"/>
    <col min="1516" max="1518" width="9.109375" style="1"/>
    <col min="1519" max="1519" width="21" style="1" customWidth="1"/>
    <col min="1520" max="1520" width="12.33203125" style="1" customWidth="1"/>
    <col min="1521" max="1521" width="14" style="1" customWidth="1"/>
    <col min="1522" max="1522" width="10.109375" style="1" bestFit="1" customWidth="1"/>
    <col min="1523" max="1523" width="10.109375" style="1" customWidth="1"/>
    <col min="1524" max="1524" width="27.21875" style="1" customWidth="1"/>
    <col min="1525" max="1525" width="24.5546875" style="1" customWidth="1"/>
    <col min="1526" max="1526" width="16.21875" style="1" customWidth="1"/>
    <col min="1527" max="1527" width="16.33203125" style="1" customWidth="1"/>
    <col min="1528" max="1528" width="18.5546875" style="1" customWidth="1"/>
    <col min="1529" max="1529" width="20.33203125" style="1" customWidth="1"/>
    <col min="1530" max="1531" width="22.88671875" style="1" customWidth="1"/>
    <col min="1532" max="1535" width="18" style="1" customWidth="1"/>
    <col min="1536" max="1536" width="17.21875" style="1" customWidth="1"/>
    <col min="1537" max="1537" width="16.6640625" style="1" customWidth="1"/>
    <col min="1538" max="1538" width="17.44140625" style="1" customWidth="1"/>
    <col min="1539" max="1539" width="24.21875" style="1" customWidth="1"/>
    <col min="1540" max="1540" width="20.44140625" style="1" customWidth="1"/>
    <col min="1541" max="1541" width="41.5546875" style="1" customWidth="1"/>
    <col min="1542" max="1543" width="32.44140625" style="1" customWidth="1"/>
    <col min="1544" max="1548" width="41.5546875" style="1" customWidth="1"/>
    <col min="1549" max="1549" width="30.44140625" style="1" customWidth="1"/>
    <col min="1550" max="1550" width="22.33203125" style="1" customWidth="1"/>
    <col min="1551" max="1551" width="9.109375" style="1"/>
    <col min="1552" max="1552" width="22.88671875" style="1" customWidth="1"/>
    <col min="1553" max="1553" width="23.77734375" style="1" customWidth="1"/>
    <col min="1554" max="1554" width="74.44140625" style="1" customWidth="1"/>
    <col min="1555" max="1556" width="9.109375" style="1"/>
    <col min="1557" max="1557" width="14.109375" style="1" customWidth="1"/>
    <col min="1558" max="1558" width="12.44140625" style="1" customWidth="1"/>
    <col min="1559" max="1559" width="13.44140625" style="1" customWidth="1"/>
    <col min="1560" max="1560" width="11.109375" style="1" customWidth="1"/>
    <col min="1561" max="1564" width="17.33203125" style="1" customWidth="1"/>
    <col min="1565" max="1568" width="9.109375" style="1"/>
    <col min="1569" max="1570" width="22.33203125" style="1" customWidth="1"/>
    <col min="1571" max="1571" width="11.88671875" style="1" customWidth="1"/>
    <col min="1572" max="1572" width="10.109375" style="1" customWidth="1"/>
    <col min="1573" max="1574" width="9.109375" style="1"/>
    <col min="1575" max="1575" width="13.33203125" style="1" customWidth="1"/>
    <col min="1576" max="1576" width="11.44140625" style="1" customWidth="1"/>
    <col min="1577" max="1577" width="13.33203125" style="1" bestFit="1" customWidth="1"/>
    <col min="1578" max="1578" width="16.88671875" style="1" bestFit="1" customWidth="1"/>
    <col min="1579" max="1581" width="14.44140625" style="1" customWidth="1"/>
    <col min="1582" max="1582" width="9.88671875" style="1" customWidth="1"/>
    <col min="1583" max="1585" width="17" style="1" customWidth="1"/>
    <col min="1586" max="1586" width="9.109375" style="1"/>
    <col min="1587" max="1587" width="17" style="1" customWidth="1"/>
    <col min="1588" max="1588" width="10.44140625" style="1" customWidth="1"/>
    <col min="1589" max="1762" width="9.109375" style="1"/>
    <col min="1763" max="1763" width="18.44140625" style="1" customWidth="1"/>
    <col min="1764" max="1764" width="11.88671875" style="1" customWidth="1"/>
    <col min="1765" max="1766" width="10.109375" style="1" customWidth="1"/>
    <col min="1767" max="1768" width="13.6640625" style="1" customWidth="1"/>
    <col min="1769" max="1771" width="23.77734375" style="1" customWidth="1"/>
    <col min="1772" max="1774" width="9.109375" style="1"/>
    <col min="1775" max="1775" width="21" style="1" customWidth="1"/>
    <col min="1776" max="1776" width="12.33203125" style="1" customWidth="1"/>
    <col min="1777" max="1777" width="14" style="1" customWidth="1"/>
    <col min="1778" max="1778" width="10.109375" style="1" bestFit="1" customWidth="1"/>
    <col min="1779" max="1779" width="10.109375" style="1" customWidth="1"/>
    <col min="1780" max="1780" width="27.21875" style="1" customWidth="1"/>
    <col min="1781" max="1781" width="24.5546875" style="1" customWidth="1"/>
    <col min="1782" max="1782" width="16.21875" style="1" customWidth="1"/>
    <col min="1783" max="1783" width="16.33203125" style="1" customWidth="1"/>
    <col min="1784" max="1784" width="18.5546875" style="1" customWidth="1"/>
    <col min="1785" max="1785" width="20.33203125" style="1" customWidth="1"/>
    <col min="1786" max="1787" width="22.88671875" style="1" customWidth="1"/>
    <col min="1788" max="1791" width="18" style="1" customWidth="1"/>
    <col min="1792" max="1792" width="17.21875" style="1" customWidth="1"/>
    <col min="1793" max="1793" width="16.6640625" style="1" customWidth="1"/>
    <col min="1794" max="1794" width="17.44140625" style="1" customWidth="1"/>
    <col min="1795" max="1795" width="24.21875" style="1" customWidth="1"/>
    <col min="1796" max="1796" width="20.44140625" style="1" customWidth="1"/>
    <col min="1797" max="1797" width="41.5546875" style="1" customWidth="1"/>
    <col min="1798" max="1799" width="32.44140625" style="1" customWidth="1"/>
    <col min="1800" max="1804" width="41.5546875" style="1" customWidth="1"/>
    <col min="1805" max="1805" width="30.44140625" style="1" customWidth="1"/>
    <col min="1806" max="1806" width="22.33203125" style="1" customWidth="1"/>
    <col min="1807" max="1807" width="9.109375" style="1"/>
    <col min="1808" max="1808" width="22.88671875" style="1" customWidth="1"/>
    <col min="1809" max="1809" width="23.77734375" style="1" customWidth="1"/>
    <col min="1810" max="1810" width="74.44140625" style="1" customWidth="1"/>
    <col min="1811" max="1812" width="9.109375" style="1"/>
    <col min="1813" max="1813" width="14.109375" style="1" customWidth="1"/>
    <col min="1814" max="1814" width="12.44140625" style="1" customWidth="1"/>
    <col min="1815" max="1815" width="13.44140625" style="1" customWidth="1"/>
    <col min="1816" max="1816" width="11.109375" style="1" customWidth="1"/>
    <col min="1817" max="1820" width="17.33203125" style="1" customWidth="1"/>
    <col min="1821" max="1824" width="9.109375" style="1"/>
    <col min="1825" max="1826" width="22.33203125" style="1" customWidth="1"/>
    <col min="1827" max="1827" width="11.88671875" style="1" customWidth="1"/>
    <col min="1828" max="1828" width="10.109375" style="1" customWidth="1"/>
    <col min="1829" max="1830" width="9.109375" style="1"/>
    <col min="1831" max="1831" width="13.33203125" style="1" customWidth="1"/>
    <col min="1832" max="1832" width="11.44140625" style="1" customWidth="1"/>
    <col min="1833" max="1833" width="13.33203125" style="1" bestFit="1" customWidth="1"/>
    <col min="1834" max="1834" width="16.88671875" style="1" bestFit="1" customWidth="1"/>
    <col min="1835" max="1837" width="14.44140625" style="1" customWidth="1"/>
    <col min="1838" max="1838" width="9.88671875" style="1" customWidth="1"/>
    <col min="1839" max="1841" width="17" style="1" customWidth="1"/>
    <col min="1842" max="1842" width="9.109375" style="1"/>
    <col min="1843" max="1843" width="17" style="1" customWidth="1"/>
    <col min="1844" max="1844" width="10.44140625" style="1" customWidth="1"/>
    <col min="1845" max="2018" width="9.109375" style="1"/>
    <col min="2019" max="2019" width="18.44140625" style="1" customWidth="1"/>
    <col min="2020" max="2020" width="11.88671875" style="1" customWidth="1"/>
    <col min="2021" max="2022" width="10.109375" style="1" customWidth="1"/>
    <col min="2023" max="2024" width="13.6640625" style="1" customWidth="1"/>
    <col min="2025" max="2027" width="23.77734375" style="1" customWidth="1"/>
    <col min="2028" max="2030" width="9.109375" style="1"/>
    <col min="2031" max="2031" width="21" style="1" customWidth="1"/>
    <col min="2032" max="2032" width="12.33203125" style="1" customWidth="1"/>
    <col min="2033" max="2033" width="14" style="1" customWidth="1"/>
    <col min="2034" max="2034" width="10.109375" style="1" bestFit="1" customWidth="1"/>
    <col min="2035" max="2035" width="10.109375" style="1" customWidth="1"/>
    <col min="2036" max="2036" width="27.21875" style="1" customWidth="1"/>
    <col min="2037" max="2037" width="24.5546875" style="1" customWidth="1"/>
    <col min="2038" max="2038" width="16.21875" style="1" customWidth="1"/>
    <col min="2039" max="2039" width="16.33203125" style="1" customWidth="1"/>
    <col min="2040" max="2040" width="18.5546875" style="1" customWidth="1"/>
    <col min="2041" max="2041" width="20.33203125" style="1" customWidth="1"/>
    <col min="2042" max="2043" width="22.88671875" style="1" customWidth="1"/>
    <col min="2044" max="2047" width="18" style="1" customWidth="1"/>
    <col min="2048" max="2048" width="17.21875" style="1" customWidth="1"/>
    <col min="2049" max="2049" width="16.6640625" style="1" customWidth="1"/>
    <col min="2050" max="2050" width="17.44140625" style="1" customWidth="1"/>
    <col min="2051" max="2051" width="24.21875" style="1" customWidth="1"/>
    <col min="2052" max="2052" width="20.44140625" style="1" customWidth="1"/>
    <col min="2053" max="2053" width="41.5546875" style="1" customWidth="1"/>
    <col min="2054" max="2055" width="32.44140625" style="1" customWidth="1"/>
    <col min="2056" max="2060" width="41.5546875" style="1" customWidth="1"/>
    <col min="2061" max="2061" width="30.44140625" style="1" customWidth="1"/>
    <col min="2062" max="2062" width="22.33203125" style="1" customWidth="1"/>
    <col min="2063" max="2063" width="9.109375" style="1"/>
    <col min="2064" max="2064" width="22.88671875" style="1" customWidth="1"/>
    <col min="2065" max="2065" width="23.77734375" style="1" customWidth="1"/>
    <col min="2066" max="2066" width="74.44140625" style="1" customWidth="1"/>
    <col min="2067" max="2068" width="9.109375" style="1"/>
    <col min="2069" max="2069" width="14.109375" style="1" customWidth="1"/>
    <col min="2070" max="2070" width="12.44140625" style="1" customWidth="1"/>
    <col min="2071" max="2071" width="13.44140625" style="1" customWidth="1"/>
    <col min="2072" max="2072" width="11.109375" style="1" customWidth="1"/>
    <col min="2073" max="2076" width="17.33203125" style="1" customWidth="1"/>
    <col min="2077" max="2080" width="9.109375" style="1"/>
    <col min="2081" max="2082" width="22.33203125" style="1" customWidth="1"/>
    <col min="2083" max="2083" width="11.88671875" style="1" customWidth="1"/>
    <col min="2084" max="2084" width="10.109375" style="1" customWidth="1"/>
    <col min="2085" max="2086" width="9.109375" style="1"/>
    <col min="2087" max="2087" width="13.33203125" style="1" customWidth="1"/>
    <col min="2088" max="2088" width="11.44140625" style="1" customWidth="1"/>
    <col min="2089" max="2089" width="13.33203125" style="1" bestFit="1" customWidth="1"/>
    <col min="2090" max="2090" width="16.88671875" style="1" bestFit="1" customWidth="1"/>
    <col min="2091" max="2093" width="14.44140625" style="1" customWidth="1"/>
    <col min="2094" max="2094" width="9.88671875" style="1" customWidth="1"/>
    <col min="2095" max="2097" width="17" style="1" customWidth="1"/>
    <col min="2098" max="2098" width="9.109375" style="1"/>
    <col min="2099" max="2099" width="17" style="1" customWidth="1"/>
    <col min="2100" max="2100" width="10.44140625" style="1" customWidth="1"/>
    <col min="2101" max="2274" width="9.109375" style="1"/>
    <col min="2275" max="2275" width="18.44140625" style="1" customWidth="1"/>
    <col min="2276" max="2276" width="11.88671875" style="1" customWidth="1"/>
    <col min="2277" max="2278" width="10.109375" style="1" customWidth="1"/>
    <col min="2279" max="2280" width="13.6640625" style="1" customWidth="1"/>
    <col min="2281" max="2283" width="23.77734375" style="1" customWidth="1"/>
    <col min="2284" max="2286" width="9.109375" style="1"/>
    <col min="2287" max="2287" width="21" style="1" customWidth="1"/>
    <col min="2288" max="2288" width="12.33203125" style="1" customWidth="1"/>
    <col min="2289" max="2289" width="14" style="1" customWidth="1"/>
    <col min="2290" max="2290" width="10.109375" style="1" bestFit="1" customWidth="1"/>
    <col min="2291" max="2291" width="10.109375" style="1" customWidth="1"/>
    <col min="2292" max="2292" width="27.21875" style="1" customWidth="1"/>
    <col min="2293" max="2293" width="24.5546875" style="1" customWidth="1"/>
    <col min="2294" max="2294" width="16.21875" style="1" customWidth="1"/>
    <col min="2295" max="2295" width="16.33203125" style="1" customWidth="1"/>
    <col min="2296" max="2296" width="18.5546875" style="1" customWidth="1"/>
    <col min="2297" max="2297" width="20.33203125" style="1" customWidth="1"/>
    <col min="2298" max="2299" width="22.88671875" style="1" customWidth="1"/>
    <col min="2300" max="2303" width="18" style="1" customWidth="1"/>
    <col min="2304" max="2304" width="17.21875" style="1" customWidth="1"/>
    <col min="2305" max="2305" width="16.6640625" style="1" customWidth="1"/>
    <col min="2306" max="2306" width="17.44140625" style="1" customWidth="1"/>
    <col min="2307" max="2307" width="24.21875" style="1" customWidth="1"/>
    <col min="2308" max="2308" width="20.44140625" style="1" customWidth="1"/>
    <col min="2309" max="2309" width="41.5546875" style="1" customWidth="1"/>
    <col min="2310" max="2311" width="32.44140625" style="1" customWidth="1"/>
    <col min="2312" max="2316" width="41.5546875" style="1" customWidth="1"/>
    <col min="2317" max="2317" width="30.44140625" style="1" customWidth="1"/>
    <col min="2318" max="2318" width="22.33203125" style="1" customWidth="1"/>
    <col min="2319" max="2319" width="9.109375" style="1"/>
    <col min="2320" max="2320" width="22.88671875" style="1" customWidth="1"/>
    <col min="2321" max="2321" width="23.77734375" style="1" customWidth="1"/>
    <col min="2322" max="2322" width="74.44140625" style="1" customWidth="1"/>
    <col min="2323" max="2324" width="9.109375" style="1"/>
    <col min="2325" max="2325" width="14.109375" style="1" customWidth="1"/>
    <col min="2326" max="2326" width="12.44140625" style="1" customWidth="1"/>
    <col min="2327" max="2327" width="13.44140625" style="1" customWidth="1"/>
    <col min="2328" max="2328" width="11.109375" style="1" customWidth="1"/>
    <col min="2329" max="2332" width="17.33203125" style="1" customWidth="1"/>
    <col min="2333" max="2336" width="9.109375" style="1"/>
    <col min="2337" max="2338" width="22.33203125" style="1" customWidth="1"/>
    <col min="2339" max="2339" width="11.88671875" style="1" customWidth="1"/>
    <col min="2340" max="2340" width="10.109375" style="1" customWidth="1"/>
    <col min="2341" max="2342" width="9.109375" style="1"/>
    <col min="2343" max="2343" width="13.33203125" style="1" customWidth="1"/>
    <col min="2344" max="2344" width="11.44140625" style="1" customWidth="1"/>
    <col min="2345" max="2345" width="13.33203125" style="1" bestFit="1" customWidth="1"/>
    <col min="2346" max="2346" width="16.88671875" style="1" bestFit="1" customWidth="1"/>
    <col min="2347" max="2349" width="14.44140625" style="1" customWidth="1"/>
    <col min="2350" max="2350" width="9.88671875" style="1" customWidth="1"/>
    <col min="2351" max="2353" width="17" style="1" customWidth="1"/>
    <col min="2354" max="2354" width="9.109375" style="1"/>
    <col min="2355" max="2355" width="17" style="1" customWidth="1"/>
    <col min="2356" max="2356" width="10.44140625" style="1" customWidth="1"/>
    <col min="2357" max="2530" width="9.109375" style="1"/>
    <col min="2531" max="2531" width="18.44140625" style="1" customWidth="1"/>
    <col min="2532" max="2532" width="11.88671875" style="1" customWidth="1"/>
    <col min="2533" max="2534" width="10.109375" style="1" customWidth="1"/>
    <col min="2535" max="2536" width="13.6640625" style="1" customWidth="1"/>
    <col min="2537" max="2539" width="23.77734375" style="1" customWidth="1"/>
    <col min="2540" max="2542" width="9.109375" style="1"/>
    <col min="2543" max="2543" width="21" style="1" customWidth="1"/>
    <col min="2544" max="2544" width="12.33203125" style="1" customWidth="1"/>
    <col min="2545" max="2545" width="14" style="1" customWidth="1"/>
    <col min="2546" max="2546" width="10.109375" style="1" bestFit="1" customWidth="1"/>
    <col min="2547" max="2547" width="10.109375" style="1" customWidth="1"/>
    <col min="2548" max="2548" width="27.21875" style="1" customWidth="1"/>
    <col min="2549" max="2549" width="24.5546875" style="1" customWidth="1"/>
    <col min="2550" max="2550" width="16.21875" style="1" customWidth="1"/>
    <col min="2551" max="2551" width="16.33203125" style="1" customWidth="1"/>
    <col min="2552" max="2552" width="18.5546875" style="1" customWidth="1"/>
    <col min="2553" max="2553" width="20.33203125" style="1" customWidth="1"/>
    <col min="2554" max="2555" width="22.88671875" style="1" customWidth="1"/>
    <col min="2556" max="2559" width="18" style="1" customWidth="1"/>
    <col min="2560" max="2560" width="17.21875" style="1" customWidth="1"/>
    <col min="2561" max="2561" width="16.6640625" style="1" customWidth="1"/>
    <col min="2562" max="2562" width="17.44140625" style="1" customWidth="1"/>
    <col min="2563" max="2563" width="24.21875" style="1" customWidth="1"/>
    <col min="2564" max="2564" width="20.44140625" style="1" customWidth="1"/>
    <col min="2565" max="2565" width="41.5546875" style="1" customWidth="1"/>
    <col min="2566" max="2567" width="32.44140625" style="1" customWidth="1"/>
    <col min="2568" max="2572" width="41.5546875" style="1" customWidth="1"/>
    <col min="2573" max="2573" width="30.44140625" style="1" customWidth="1"/>
    <col min="2574" max="2574" width="22.33203125" style="1" customWidth="1"/>
    <col min="2575" max="2575" width="9.109375" style="1"/>
    <col min="2576" max="2576" width="22.88671875" style="1" customWidth="1"/>
    <col min="2577" max="2577" width="23.77734375" style="1" customWidth="1"/>
    <col min="2578" max="2578" width="74.44140625" style="1" customWidth="1"/>
    <col min="2579" max="2580" width="9.109375" style="1"/>
    <col min="2581" max="2581" width="14.109375" style="1" customWidth="1"/>
    <col min="2582" max="2582" width="12.44140625" style="1" customWidth="1"/>
    <col min="2583" max="2583" width="13.44140625" style="1" customWidth="1"/>
    <col min="2584" max="2584" width="11.109375" style="1" customWidth="1"/>
    <col min="2585" max="2588" width="17.33203125" style="1" customWidth="1"/>
    <col min="2589" max="2592" width="9.109375" style="1"/>
    <col min="2593" max="2594" width="22.33203125" style="1" customWidth="1"/>
    <col min="2595" max="2595" width="11.88671875" style="1" customWidth="1"/>
    <col min="2596" max="2596" width="10.109375" style="1" customWidth="1"/>
    <col min="2597" max="2598" width="9.109375" style="1"/>
    <col min="2599" max="2599" width="13.33203125" style="1" customWidth="1"/>
    <col min="2600" max="2600" width="11.44140625" style="1" customWidth="1"/>
    <col min="2601" max="2601" width="13.33203125" style="1" bestFit="1" customWidth="1"/>
    <col min="2602" max="2602" width="16.88671875" style="1" bestFit="1" customWidth="1"/>
    <col min="2603" max="2605" width="14.44140625" style="1" customWidth="1"/>
    <col min="2606" max="2606" width="9.88671875" style="1" customWidth="1"/>
    <col min="2607" max="2609" width="17" style="1" customWidth="1"/>
    <col min="2610" max="2610" width="9.109375" style="1"/>
    <col min="2611" max="2611" width="17" style="1" customWidth="1"/>
    <col min="2612" max="2612" width="10.44140625" style="1" customWidth="1"/>
    <col min="2613" max="2786" width="9.109375" style="1"/>
    <col min="2787" max="2787" width="18.44140625" style="1" customWidth="1"/>
    <col min="2788" max="2788" width="11.88671875" style="1" customWidth="1"/>
    <col min="2789" max="2790" width="10.109375" style="1" customWidth="1"/>
    <col min="2791" max="2792" width="13.6640625" style="1" customWidth="1"/>
    <col min="2793" max="2795" width="23.77734375" style="1" customWidth="1"/>
    <col min="2796" max="2798" width="9.109375" style="1"/>
    <col min="2799" max="2799" width="21" style="1" customWidth="1"/>
    <col min="2800" max="2800" width="12.33203125" style="1" customWidth="1"/>
    <col min="2801" max="2801" width="14" style="1" customWidth="1"/>
    <col min="2802" max="2802" width="10.109375" style="1" bestFit="1" customWidth="1"/>
    <col min="2803" max="2803" width="10.109375" style="1" customWidth="1"/>
    <col min="2804" max="2804" width="27.21875" style="1" customWidth="1"/>
    <col min="2805" max="2805" width="24.5546875" style="1" customWidth="1"/>
    <col min="2806" max="2806" width="16.21875" style="1" customWidth="1"/>
    <col min="2807" max="2807" width="16.33203125" style="1" customWidth="1"/>
    <col min="2808" max="2808" width="18.5546875" style="1" customWidth="1"/>
    <col min="2809" max="2809" width="20.33203125" style="1" customWidth="1"/>
    <col min="2810" max="2811" width="22.88671875" style="1" customWidth="1"/>
    <col min="2812" max="2815" width="18" style="1" customWidth="1"/>
    <col min="2816" max="2816" width="17.21875" style="1" customWidth="1"/>
    <col min="2817" max="2817" width="16.6640625" style="1" customWidth="1"/>
    <col min="2818" max="2818" width="17.44140625" style="1" customWidth="1"/>
    <col min="2819" max="2819" width="24.21875" style="1" customWidth="1"/>
    <col min="2820" max="2820" width="20.44140625" style="1" customWidth="1"/>
    <col min="2821" max="2821" width="41.5546875" style="1" customWidth="1"/>
    <col min="2822" max="2823" width="32.44140625" style="1" customWidth="1"/>
    <col min="2824" max="2828" width="41.5546875" style="1" customWidth="1"/>
    <col min="2829" max="2829" width="30.44140625" style="1" customWidth="1"/>
    <col min="2830" max="2830" width="22.33203125" style="1" customWidth="1"/>
    <col min="2831" max="2831" width="9.109375" style="1"/>
    <col min="2832" max="2832" width="22.88671875" style="1" customWidth="1"/>
    <col min="2833" max="2833" width="23.77734375" style="1" customWidth="1"/>
    <col min="2834" max="2834" width="74.44140625" style="1" customWidth="1"/>
    <col min="2835" max="2836" width="9.109375" style="1"/>
    <col min="2837" max="2837" width="14.109375" style="1" customWidth="1"/>
    <col min="2838" max="2838" width="12.44140625" style="1" customWidth="1"/>
    <col min="2839" max="2839" width="13.44140625" style="1" customWidth="1"/>
    <col min="2840" max="2840" width="11.109375" style="1" customWidth="1"/>
    <col min="2841" max="2844" width="17.33203125" style="1" customWidth="1"/>
    <col min="2845" max="2848" width="9.109375" style="1"/>
    <col min="2849" max="2850" width="22.33203125" style="1" customWidth="1"/>
    <col min="2851" max="2851" width="11.88671875" style="1" customWidth="1"/>
    <col min="2852" max="2852" width="10.109375" style="1" customWidth="1"/>
    <col min="2853" max="2854" width="9.109375" style="1"/>
    <col min="2855" max="2855" width="13.33203125" style="1" customWidth="1"/>
    <col min="2856" max="2856" width="11.44140625" style="1" customWidth="1"/>
    <col min="2857" max="2857" width="13.33203125" style="1" bestFit="1" customWidth="1"/>
    <col min="2858" max="2858" width="16.88671875" style="1" bestFit="1" customWidth="1"/>
    <col min="2859" max="2861" width="14.44140625" style="1" customWidth="1"/>
    <col min="2862" max="2862" width="9.88671875" style="1" customWidth="1"/>
    <col min="2863" max="2865" width="17" style="1" customWidth="1"/>
    <col min="2866" max="2866" width="9.109375" style="1"/>
    <col min="2867" max="2867" width="17" style="1" customWidth="1"/>
    <col min="2868" max="2868" width="10.44140625" style="1" customWidth="1"/>
    <col min="2869" max="3042" width="9.109375" style="1"/>
    <col min="3043" max="3043" width="18.44140625" style="1" customWidth="1"/>
    <col min="3044" max="3044" width="11.88671875" style="1" customWidth="1"/>
    <col min="3045" max="3046" width="10.109375" style="1" customWidth="1"/>
    <col min="3047" max="3048" width="13.6640625" style="1" customWidth="1"/>
    <col min="3049" max="3051" width="23.77734375" style="1" customWidth="1"/>
    <col min="3052" max="3054" width="9.109375" style="1"/>
    <col min="3055" max="3055" width="21" style="1" customWidth="1"/>
    <col min="3056" max="3056" width="12.33203125" style="1" customWidth="1"/>
    <col min="3057" max="3057" width="14" style="1" customWidth="1"/>
    <col min="3058" max="3058" width="10.109375" style="1" bestFit="1" customWidth="1"/>
    <col min="3059" max="3059" width="10.109375" style="1" customWidth="1"/>
    <col min="3060" max="3060" width="27.21875" style="1" customWidth="1"/>
    <col min="3061" max="3061" width="24.5546875" style="1" customWidth="1"/>
    <col min="3062" max="3062" width="16.21875" style="1" customWidth="1"/>
    <col min="3063" max="3063" width="16.33203125" style="1" customWidth="1"/>
    <col min="3064" max="3064" width="18.5546875" style="1" customWidth="1"/>
    <col min="3065" max="3065" width="20.33203125" style="1" customWidth="1"/>
    <col min="3066" max="3067" width="22.88671875" style="1" customWidth="1"/>
    <col min="3068" max="3071" width="18" style="1" customWidth="1"/>
    <col min="3072" max="3072" width="17.21875" style="1" customWidth="1"/>
    <col min="3073" max="3073" width="16.6640625" style="1" customWidth="1"/>
    <col min="3074" max="3074" width="17.44140625" style="1" customWidth="1"/>
    <col min="3075" max="3075" width="24.21875" style="1" customWidth="1"/>
    <col min="3076" max="3076" width="20.44140625" style="1" customWidth="1"/>
    <col min="3077" max="3077" width="41.5546875" style="1" customWidth="1"/>
    <col min="3078" max="3079" width="32.44140625" style="1" customWidth="1"/>
    <col min="3080" max="3084" width="41.5546875" style="1" customWidth="1"/>
    <col min="3085" max="3085" width="30.44140625" style="1" customWidth="1"/>
    <col min="3086" max="3086" width="22.33203125" style="1" customWidth="1"/>
    <col min="3087" max="3087" width="9.109375" style="1"/>
    <col min="3088" max="3088" width="22.88671875" style="1" customWidth="1"/>
    <col min="3089" max="3089" width="23.77734375" style="1" customWidth="1"/>
    <col min="3090" max="3090" width="74.44140625" style="1" customWidth="1"/>
    <col min="3091" max="3092" width="9.109375" style="1"/>
    <col min="3093" max="3093" width="14.109375" style="1" customWidth="1"/>
    <col min="3094" max="3094" width="12.44140625" style="1" customWidth="1"/>
    <col min="3095" max="3095" width="13.44140625" style="1" customWidth="1"/>
    <col min="3096" max="3096" width="11.109375" style="1" customWidth="1"/>
    <col min="3097" max="3100" width="17.33203125" style="1" customWidth="1"/>
    <col min="3101" max="3104" width="9.109375" style="1"/>
    <col min="3105" max="3106" width="22.33203125" style="1" customWidth="1"/>
    <col min="3107" max="3107" width="11.88671875" style="1" customWidth="1"/>
    <col min="3108" max="3108" width="10.109375" style="1" customWidth="1"/>
    <col min="3109" max="3110" width="9.109375" style="1"/>
    <col min="3111" max="3111" width="13.33203125" style="1" customWidth="1"/>
    <col min="3112" max="3112" width="11.44140625" style="1" customWidth="1"/>
    <col min="3113" max="3113" width="13.33203125" style="1" bestFit="1" customWidth="1"/>
    <col min="3114" max="3114" width="16.88671875" style="1" bestFit="1" customWidth="1"/>
    <col min="3115" max="3117" width="14.44140625" style="1" customWidth="1"/>
    <col min="3118" max="3118" width="9.88671875" style="1" customWidth="1"/>
    <col min="3119" max="3121" width="17" style="1" customWidth="1"/>
    <col min="3122" max="3122" width="9.109375" style="1"/>
    <col min="3123" max="3123" width="17" style="1" customWidth="1"/>
    <col min="3124" max="3124" width="10.44140625" style="1" customWidth="1"/>
    <col min="3125" max="3298" width="9.109375" style="1"/>
    <col min="3299" max="3299" width="18.44140625" style="1" customWidth="1"/>
    <col min="3300" max="3300" width="11.88671875" style="1" customWidth="1"/>
    <col min="3301" max="3302" width="10.109375" style="1" customWidth="1"/>
    <col min="3303" max="3304" width="13.6640625" style="1" customWidth="1"/>
    <col min="3305" max="3307" width="23.77734375" style="1" customWidth="1"/>
    <col min="3308" max="3310" width="9.109375" style="1"/>
    <col min="3311" max="3311" width="21" style="1" customWidth="1"/>
    <col min="3312" max="3312" width="12.33203125" style="1" customWidth="1"/>
    <col min="3313" max="3313" width="14" style="1" customWidth="1"/>
    <col min="3314" max="3314" width="10.109375" style="1" bestFit="1" customWidth="1"/>
    <col min="3315" max="3315" width="10.109375" style="1" customWidth="1"/>
    <col min="3316" max="3316" width="27.21875" style="1" customWidth="1"/>
    <col min="3317" max="3317" width="24.5546875" style="1" customWidth="1"/>
    <col min="3318" max="3318" width="16.21875" style="1" customWidth="1"/>
    <col min="3319" max="3319" width="16.33203125" style="1" customWidth="1"/>
    <col min="3320" max="3320" width="18.5546875" style="1" customWidth="1"/>
    <col min="3321" max="3321" width="20.33203125" style="1" customWidth="1"/>
    <col min="3322" max="3323" width="22.88671875" style="1" customWidth="1"/>
    <col min="3324" max="3327" width="18" style="1" customWidth="1"/>
    <col min="3328" max="3328" width="17.21875" style="1" customWidth="1"/>
    <col min="3329" max="3329" width="16.6640625" style="1" customWidth="1"/>
    <col min="3330" max="3330" width="17.44140625" style="1" customWidth="1"/>
    <col min="3331" max="3331" width="24.21875" style="1" customWidth="1"/>
    <col min="3332" max="3332" width="20.44140625" style="1" customWidth="1"/>
    <col min="3333" max="3333" width="41.5546875" style="1" customWidth="1"/>
    <col min="3334" max="3335" width="32.44140625" style="1" customWidth="1"/>
    <col min="3336" max="3340" width="41.5546875" style="1" customWidth="1"/>
    <col min="3341" max="3341" width="30.44140625" style="1" customWidth="1"/>
    <col min="3342" max="3342" width="22.33203125" style="1" customWidth="1"/>
    <col min="3343" max="3343" width="9.109375" style="1"/>
    <col min="3344" max="3344" width="22.88671875" style="1" customWidth="1"/>
    <col min="3345" max="3345" width="23.77734375" style="1" customWidth="1"/>
    <col min="3346" max="3346" width="74.44140625" style="1" customWidth="1"/>
    <col min="3347" max="3348" width="9.109375" style="1"/>
    <col min="3349" max="3349" width="14.109375" style="1" customWidth="1"/>
    <col min="3350" max="3350" width="12.44140625" style="1" customWidth="1"/>
    <col min="3351" max="3351" width="13.44140625" style="1" customWidth="1"/>
    <col min="3352" max="3352" width="11.109375" style="1" customWidth="1"/>
    <col min="3353" max="3356" width="17.33203125" style="1" customWidth="1"/>
    <col min="3357" max="3360" width="9.109375" style="1"/>
    <col min="3361" max="3362" width="22.33203125" style="1" customWidth="1"/>
    <col min="3363" max="3363" width="11.88671875" style="1" customWidth="1"/>
    <col min="3364" max="3364" width="10.109375" style="1" customWidth="1"/>
    <col min="3365" max="3366" width="9.109375" style="1"/>
    <col min="3367" max="3367" width="13.33203125" style="1" customWidth="1"/>
    <col min="3368" max="3368" width="11.44140625" style="1" customWidth="1"/>
    <col min="3369" max="3369" width="13.33203125" style="1" bestFit="1" customWidth="1"/>
    <col min="3370" max="3370" width="16.88671875" style="1" bestFit="1" customWidth="1"/>
    <col min="3371" max="3373" width="14.44140625" style="1" customWidth="1"/>
    <col min="3374" max="3374" width="9.88671875" style="1" customWidth="1"/>
    <col min="3375" max="3377" width="17" style="1" customWidth="1"/>
    <col min="3378" max="3378" width="9.109375" style="1"/>
    <col min="3379" max="3379" width="17" style="1" customWidth="1"/>
    <col min="3380" max="3380" width="10.44140625" style="1" customWidth="1"/>
    <col min="3381" max="3554" width="9.109375" style="1"/>
    <col min="3555" max="3555" width="18.44140625" style="1" customWidth="1"/>
    <col min="3556" max="3556" width="11.88671875" style="1" customWidth="1"/>
    <col min="3557" max="3558" width="10.109375" style="1" customWidth="1"/>
    <col min="3559" max="3560" width="13.6640625" style="1" customWidth="1"/>
    <col min="3561" max="3563" width="23.77734375" style="1" customWidth="1"/>
    <col min="3564" max="3566" width="9.109375" style="1"/>
    <col min="3567" max="3567" width="21" style="1" customWidth="1"/>
    <col min="3568" max="3568" width="12.33203125" style="1" customWidth="1"/>
    <col min="3569" max="3569" width="14" style="1" customWidth="1"/>
    <col min="3570" max="3570" width="10.109375" style="1" bestFit="1" customWidth="1"/>
    <col min="3571" max="3571" width="10.109375" style="1" customWidth="1"/>
    <col min="3572" max="3572" width="27.21875" style="1" customWidth="1"/>
    <col min="3573" max="3573" width="24.5546875" style="1" customWidth="1"/>
    <col min="3574" max="3574" width="16.21875" style="1" customWidth="1"/>
    <col min="3575" max="3575" width="16.33203125" style="1" customWidth="1"/>
    <col min="3576" max="3576" width="18.5546875" style="1" customWidth="1"/>
    <col min="3577" max="3577" width="20.33203125" style="1" customWidth="1"/>
    <col min="3578" max="3579" width="22.88671875" style="1" customWidth="1"/>
    <col min="3580" max="3583" width="18" style="1" customWidth="1"/>
    <col min="3584" max="3584" width="17.21875" style="1" customWidth="1"/>
    <col min="3585" max="3585" width="16.6640625" style="1" customWidth="1"/>
    <col min="3586" max="3586" width="17.44140625" style="1" customWidth="1"/>
    <col min="3587" max="3587" width="24.21875" style="1" customWidth="1"/>
    <col min="3588" max="3588" width="20.44140625" style="1" customWidth="1"/>
    <col min="3589" max="3589" width="41.5546875" style="1" customWidth="1"/>
    <col min="3590" max="3591" width="32.44140625" style="1" customWidth="1"/>
    <col min="3592" max="3596" width="41.5546875" style="1" customWidth="1"/>
    <col min="3597" max="3597" width="30.44140625" style="1" customWidth="1"/>
    <col min="3598" max="3598" width="22.33203125" style="1" customWidth="1"/>
    <col min="3599" max="3599" width="9.109375" style="1"/>
    <col min="3600" max="3600" width="22.88671875" style="1" customWidth="1"/>
    <col min="3601" max="3601" width="23.77734375" style="1" customWidth="1"/>
    <col min="3602" max="3602" width="74.44140625" style="1" customWidth="1"/>
    <col min="3603" max="3604" width="9.109375" style="1"/>
    <col min="3605" max="3605" width="14.109375" style="1" customWidth="1"/>
    <col min="3606" max="3606" width="12.44140625" style="1" customWidth="1"/>
    <col min="3607" max="3607" width="13.44140625" style="1" customWidth="1"/>
    <col min="3608" max="3608" width="11.109375" style="1" customWidth="1"/>
    <col min="3609" max="3612" width="17.33203125" style="1" customWidth="1"/>
    <col min="3613" max="3616" width="9.109375" style="1"/>
    <col min="3617" max="3618" width="22.33203125" style="1" customWidth="1"/>
    <col min="3619" max="3619" width="11.88671875" style="1" customWidth="1"/>
    <col min="3620" max="3620" width="10.109375" style="1" customWidth="1"/>
    <col min="3621" max="3622" width="9.109375" style="1"/>
    <col min="3623" max="3623" width="13.33203125" style="1" customWidth="1"/>
    <col min="3624" max="3624" width="11.44140625" style="1" customWidth="1"/>
    <col min="3625" max="3625" width="13.33203125" style="1" bestFit="1" customWidth="1"/>
    <col min="3626" max="3626" width="16.88671875" style="1" bestFit="1" customWidth="1"/>
    <col min="3627" max="3629" width="14.44140625" style="1" customWidth="1"/>
    <col min="3630" max="3630" width="9.88671875" style="1" customWidth="1"/>
    <col min="3631" max="3633" width="17" style="1" customWidth="1"/>
    <col min="3634" max="3634" width="9.109375" style="1"/>
    <col min="3635" max="3635" width="17" style="1" customWidth="1"/>
    <col min="3636" max="3636" width="10.44140625" style="1" customWidth="1"/>
    <col min="3637" max="3810" width="9.109375" style="1"/>
    <col min="3811" max="3811" width="18.44140625" style="1" customWidth="1"/>
    <col min="3812" max="3812" width="11.88671875" style="1" customWidth="1"/>
    <col min="3813" max="3814" width="10.109375" style="1" customWidth="1"/>
    <col min="3815" max="3816" width="13.6640625" style="1" customWidth="1"/>
    <col min="3817" max="3819" width="23.77734375" style="1" customWidth="1"/>
    <col min="3820" max="3822" width="9.109375" style="1"/>
    <col min="3823" max="3823" width="21" style="1" customWidth="1"/>
    <col min="3824" max="3824" width="12.33203125" style="1" customWidth="1"/>
    <col min="3825" max="3825" width="14" style="1" customWidth="1"/>
    <col min="3826" max="3826" width="10.109375" style="1" bestFit="1" customWidth="1"/>
    <col min="3827" max="3827" width="10.109375" style="1" customWidth="1"/>
    <col min="3828" max="3828" width="27.21875" style="1" customWidth="1"/>
    <col min="3829" max="3829" width="24.5546875" style="1" customWidth="1"/>
    <col min="3830" max="3830" width="16.21875" style="1" customWidth="1"/>
    <col min="3831" max="3831" width="16.33203125" style="1" customWidth="1"/>
    <col min="3832" max="3832" width="18.5546875" style="1" customWidth="1"/>
    <col min="3833" max="3833" width="20.33203125" style="1" customWidth="1"/>
    <col min="3834" max="3835" width="22.88671875" style="1" customWidth="1"/>
    <col min="3836" max="3839" width="18" style="1" customWidth="1"/>
    <col min="3840" max="3840" width="17.21875" style="1" customWidth="1"/>
    <col min="3841" max="3841" width="16.6640625" style="1" customWidth="1"/>
    <col min="3842" max="3842" width="17.44140625" style="1" customWidth="1"/>
    <col min="3843" max="3843" width="24.21875" style="1" customWidth="1"/>
    <col min="3844" max="3844" width="20.44140625" style="1" customWidth="1"/>
    <col min="3845" max="3845" width="41.5546875" style="1" customWidth="1"/>
    <col min="3846" max="3847" width="32.44140625" style="1" customWidth="1"/>
    <col min="3848" max="3852" width="41.5546875" style="1" customWidth="1"/>
    <col min="3853" max="3853" width="30.44140625" style="1" customWidth="1"/>
    <col min="3854" max="3854" width="22.33203125" style="1" customWidth="1"/>
    <col min="3855" max="3855" width="9.109375" style="1"/>
    <col min="3856" max="3856" width="22.88671875" style="1" customWidth="1"/>
    <col min="3857" max="3857" width="23.77734375" style="1" customWidth="1"/>
    <col min="3858" max="3858" width="74.44140625" style="1" customWidth="1"/>
    <col min="3859" max="3860" width="9.109375" style="1"/>
    <col min="3861" max="3861" width="14.109375" style="1" customWidth="1"/>
    <col min="3862" max="3862" width="12.44140625" style="1" customWidth="1"/>
    <col min="3863" max="3863" width="13.44140625" style="1" customWidth="1"/>
    <col min="3864" max="3864" width="11.109375" style="1" customWidth="1"/>
    <col min="3865" max="3868" width="17.33203125" style="1" customWidth="1"/>
    <col min="3869" max="3872" width="9.109375" style="1"/>
    <col min="3873" max="3874" width="22.33203125" style="1" customWidth="1"/>
    <col min="3875" max="3875" width="11.88671875" style="1" customWidth="1"/>
    <col min="3876" max="3876" width="10.109375" style="1" customWidth="1"/>
    <col min="3877" max="3878" width="9.109375" style="1"/>
    <col min="3879" max="3879" width="13.33203125" style="1" customWidth="1"/>
    <col min="3880" max="3880" width="11.44140625" style="1" customWidth="1"/>
    <col min="3881" max="3881" width="13.33203125" style="1" bestFit="1" customWidth="1"/>
    <col min="3882" max="3882" width="16.88671875" style="1" bestFit="1" customWidth="1"/>
    <col min="3883" max="3885" width="14.44140625" style="1" customWidth="1"/>
    <col min="3886" max="3886" width="9.88671875" style="1" customWidth="1"/>
    <col min="3887" max="3889" width="17" style="1" customWidth="1"/>
    <col min="3890" max="3890" width="9.109375" style="1"/>
    <col min="3891" max="3891" width="17" style="1" customWidth="1"/>
    <col min="3892" max="3892" width="10.44140625" style="1" customWidth="1"/>
    <col min="3893" max="4066" width="9.109375" style="1"/>
    <col min="4067" max="4067" width="18.44140625" style="1" customWidth="1"/>
    <col min="4068" max="4068" width="11.88671875" style="1" customWidth="1"/>
    <col min="4069" max="4070" width="10.109375" style="1" customWidth="1"/>
    <col min="4071" max="4072" width="13.6640625" style="1" customWidth="1"/>
    <col min="4073" max="4075" width="23.77734375" style="1" customWidth="1"/>
    <col min="4076" max="4078" width="9.109375" style="1"/>
    <col min="4079" max="4079" width="21" style="1" customWidth="1"/>
    <col min="4080" max="4080" width="12.33203125" style="1" customWidth="1"/>
    <col min="4081" max="4081" width="14" style="1" customWidth="1"/>
    <col min="4082" max="4082" width="10.109375" style="1" bestFit="1" customWidth="1"/>
    <col min="4083" max="4083" width="10.109375" style="1" customWidth="1"/>
    <col min="4084" max="4084" width="27.21875" style="1" customWidth="1"/>
    <col min="4085" max="4085" width="24.5546875" style="1" customWidth="1"/>
    <col min="4086" max="4086" width="16.21875" style="1" customWidth="1"/>
    <col min="4087" max="4087" width="16.33203125" style="1" customWidth="1"/>
    <col min="4088" max="4088" width="18.5546875" style="1" customWidth="1"/>
    <col min="4089" max="4089" width="20.33203125" style="1" customWidth="1"/>
    <col min="4090" max="4091" width="22.88671875" style="1" customWidth="1"/>
    <col min="4092" max="4095" width="18" style="1" customWidth="1"/>
    <col min="4096" max="4096" width="17.21875" style="1" customWidth="1"/>
    <col min="4097" max="4097" width="16.6640625" style="1" customWidth="1"/>
    <col min="4098" max="4098" width="17.44140625" style="1" customWidth="1"/>
    <col min="4099" max="4099" width="24.21875" style="1" customWidth="1"/>
    <col min="4100" max="4100" width="20.44140625" style="1" customWidth="1"/>
    <col min="4101" max="4101" width="41.5546875" style="1" customWidth="1"/>
    <col min="4102" max="4103" width="32.44140625" style="1" customWidth="1"/>
    <col min="4104" max="4108" width="41.5546875" style="1" customWidth="1"/>
    <col min="4109" max="4109" width="30.44140625" style="1" customWidth="1"/>
    <col min="4110" max="4110" width="22.33203125" style="1" customWidth="1"/>
    <col min="4111" max="4111" width="9.109375" style="1"/>
    <col min="4112" max="4112" width="22.88671875" style="1" customWidth="1"/>
    <col min="4113" max="4113" width="23.77734375" style="1" customWidth="1"/>
    <col min="4114" max="4114" width="74.44140625" style="1" customWidth="1"/>
    <col min="4115" max="4116" width="9.109375" style="1"/>
    <col min="4117" max="4117" width="14.109375" style="1" customWidth="1"/>
    <col min="4118" max="4118" width="12.44140625" style="1" customWidth="1"/>
    <col min="4119" max="4119" width="13.44140625" style="1" customWidth="1"/>
    <col min="4120" max="4120" width="11.109375" style="1" customWidth="1"/>
    <col min="4121" max="4124" width="17.33203125" style="1" customWidth="1"/>
    <col min="4125" max="4128" width="9.109375" style="1"/>
    <col min="4129" max="4130" width="22.33203125" style="1" customWidth="1"/>
    <col min="4131" max="4131" width="11.88671875" style="1" customWidth="1"/>
    <col min="4132" max="4132" width="10.109375" style="1" customWidth="1"/>
    <col min="4133" max="4134" width="9.109375" style="1"/>
    <col min="4135" max="4135" width="13.33203125" style="1" customWidth="1"/>
    <col min="4136" max="4136" width="11.44140625" style="1" customWidth="1"/>
    <col min="4137" max="4137" width="13.33203125" style="1" bestFit="1" customWidth="1"/>
    <col min="4138" max="4138" width="16.88671875" style="1" bestFit="1" customWidth="1"/>
    <col min="4139" max="4141" width="14.44140625" style="1" customWidth="1"/>
    <col min="4142" max="4142" width="9.88671875" style="1" customWidth="1"/>
    <col min="4143" max="4145" width="17" style="1" customWidth="1"/>
    <col min="4146" max="4146" width="9.109375" style="1"/>
    <col min="4147" max="4147" width="17" style="1" customWidth="1"/>
    <col min="4148" max="4148" width="10.44140625" style="1" customWidth="1"/>
    <col min="4149" max="4322" width="9.109375" style="1"/>
    <col min="4323" max="4323" width="18.44140625" style="1" customWidth="1"/>
    <col min="4324" max="4324" width="11.88671875" style="1" customWidth="1"/>
    <col min="4325" max="4326" width="10.109375" style="1" customWidth="1"/>
    <col min="4327" max="4328" width="13.6640625" style="1" customWidth="1"/>
    <col min="4329" max="4331" width="23.77734375" style="1" customWidth="1"/>
    <col min="4332" max="4334" width="9.109375" style="1"/>
    <col min="4335" max="4335" width="21" style="1" customWidth="1"/>
    <col min="4336" max="4336" width="12.33203125" style="1" customWidth="1"/>
    <col min="4337" max="4337" width="14" style="1" customWidth="1"/>
    <col min="4338" max="4338" width="10.109375" style="1" bestFit="1" customWidth="1"/>
    <col min="4339" max="4339" width="10.109375" style="1" customWidth="1"/>
    <col min="4340" max="4340" width="27.21875" style="1" customWidth="1"/>
    <col min="4341" max="4341" width="24.5546875" style="1" customWidth="1"/>
    <col min="4342" max="4342" width="16.21875" style="1" customWidth="1"/>
    <col min="4343" max="4343" width="16.33203125" style="1" customWidth="1"/>
    <col min="4344" max="4344" width="18.5546875" style="1" customWidth="1"/>
    <col min="4345" max="4345" width="20.33203125" style="1" customWidth="1"/>
    <col min="4346" max="4347" width="22.88671875" style="1" customWidth="1"/>
    <col min="4348" max="4351" width="18" style="1" customWidth="1"/>
    <col min="4352" max="4352" width="17.21875" style="1" customWidth="1"/>
    <col min="4353" max="4353" width="16.6640625" style="1" customWidth="1"/>
    <col min="4354" max="4354" width="17.44140625" style="1" customWidth="1"/>
    <col min="4355" max="4355" width="24.21875" style="1" customWidth="1"/>
    <col min="4356" max="4356" width="20.44140625" style="1" customWidth="1"/>
    <col min="4357" max="4357" width="41.5546875" style="1" customWidth="1"/>
    <col min="4358" max="4359" width="32.44140625" style="1" customWidth="1"/>
    <col min="4360" max="4364" width="41.5546875" style="1" customWidth="1"/>
    <col min="4365" max="4365" width="30.44140625" style="1" customWidth="1"/>
    <col min="4366" max="4366" width="22.33203125" style="1" customWidth="1"/>
    <col min="4367" max="4367" width="9.109375" style="1"/>
    <col min="4368" max="4368" width="22.88671875" style="1" customWidth="1"/>
    <col min="4369" max="4369" width="23.77734375" style="1" customWidth="1"/>
    <col min="4370" max="4370" width="74.44140625" style="1" customWidth="1"/>
    <col min="4371" max="4372" width="9.109375" style="1"/>
    <col min="4373" max="4373" width="14.109375" style="1" customWidth="1"/>
    <col min="4374" max="4374" width="12.44140625" style="1" customWidth="1"/>
    <col min="4375" max="4375" width="13.44140625" style="1" customWidth="1"/>
    <col min="4376" max="4376" width="11.109375" style="1" customWidth="1"/>
    <col min="4377" max="4380" width="17.33203125" style="1" customWidth="1"/>
    <col min="4381" max="4384" width="9.109375" style="1"/>
    <col min="4385" max="4386" width="22.33203125" style="1" customWidth="1"/>
    <col min="4387" max="4387" width="11.88671875" style="1" customWidth="1"/>
    <col min="4388" max="4388" width="10.109375" style="1" customWidth="1"/>
    <col min="4389" max="4390" width="9.109375" style="1"/>
    <col min="4391" max="4391" width="13.33203125" style="1" customWidth="1"/>
    <col min="4392" max="4392" width="11.44140625" style="1" customWidth="1"/>
    <col min="4393" max="4393" width="13.33203125" style="1" bestFit="1" customWidth="1"/>
    <col min="4394" max="4394" width="16.88671875" style="1" bestFit="1" customWidth="1"/>
    <col min="4395" max="4397" width="14.44140625" style="1" customWidth="1"/>
    <col min="4398" max="4398" width="9.88671875" style="1" customWidth="1"/>
    <col min="4399" max="4401" width="17" style="1" customWidth="1"/>
    <col min="4402" max="4402" width="9.109375" style="1"/>
    <col min="4403" max="4403" width="17" style="1" customWidth="1"/>
    <col min="4404" max="4404" width="10.44140625" style="1" customWidth="1"/>
    <col min="4405" max="4578" width="9.109375" style="1"/>
    <col min="4579" max="4579" width="18.44140625" style="1" customWidth="1"/>
    <col min="4580" max="4580" width="11.88671875" style="1" customWidth="1"/>
    <col min="4581" max="4582" width="10.109375" style="1" customWidth="1"/>
    <col min="4583" max="4584" width="13.6640625" style="1" customWidth="1"/>
    <col min="4585" max="4587" width="23.77734375" style="1" customWidth="1"/>
    <col min="4588" max="4590" width="9.109375" style="1"/>
    <col min="4591" max="4591" width="21" style="1" customWidth="1"/>
    <col min="4592" max="4592" width="12.33203125" style="1" customWidth="1"/>
    <col min="4593" max="4593" width="14" style="1" customWidth="1"/>
    <col min="4594" max="4594" width="10.109375" style="1" bestFit="1" customWidth="1"/>
    <col min="4595" max="4595" width="10.109375" style="1" customWidth="1"/>
    <col min="4596" max="4596" width="27.21875" style="1" customWidth="1"/>
    <col min="4597" max="4597" width="24.5546875" style="1" customWidth="1"/>
    <col min="4598" max="4598" width="16.21875" style="1" customWidth="1"/>
    <col min="4599" max="4599" width="16.33203125" style="1" customWidth="1"/>
    <col min="4600" max="4600" width="18.5546875" style="1" customWidth="1"/>
    <col min="4601" max="4601" width="20.33203125" style="1" customWidth="1"/>
    <col min="4602" max="4603" width="22.88671875" style="1" customWidth="1"/>
    <col min="4604" max="4607" width="18" style="1" customWidth="1"/>
    <col min="4608" max="4608" width="17.21875" style="1" customWidth="1"/>
    <col min="4609" max="4609" width="16.6640625" style="1" customWidth="1"/>
    <col min="4610" max="4610" width="17.44140625" style="1" customWidth="1"/>
    <col min="4611" max="4611" width="24.21875" style="1" customWidth="1"/>
    <col min="4612" max="4612" width="20.44140625" style="1" customWidth="1"/>
    <col min="4613" max="4613" width="41.5546875" style="1" customWidth="1"/>
    <col min="4614" max="4615" width="32.44140625" style="1" customWidth="1"/>
    <col min="4616" max="4620" width="41.5546875" style="1" customWidth="1"/>
    <col min="4621" max="4621" width="30.44140625" style="1" customWidth="1"/>
    <col min="4622" max="4622" width="22.33203125" style="1" customWidth="1"/>
    <col min="4623" max="4623" width="9.109375" style="1"/>
    <col min="4624" max="4624" width="22.88671875" style="1" customWidth="1"/>
    <col min="4625" max="4625" width="23.77734375" style="1" customWidth="1"/>
    <col min="4626" max="4626" width="74.44140625" style="1" customWidth="1"/>
    <col min="4627" max="4628" width="9.109375" style="1"/>
    <col min="4629" max="4629" width="14.109375" style="1" customWidth="1"/>
    <col min="4630" max="4630" width="12.44140625" style="1" customWidth="1"/>
    <col min="4631" max="4631" width="13.44140625" style="1" customWidth="1"/>
    <col min="4632" max="4632" width="11.109375" style="1" customWidth="1"/>
    <col min="4633" max="4636" width="17.33203125" style="1" customWidth="1"/>
    <col min="4637" max="4640" width="9.109375" style="1"/>
    <col min="4641" max="4642" width="22.33203125" style="1" customWidth="1"/>
    <col min="4643" max="4643" width="11.88671875" style="1" customWidth="1"/>
    <col min="4644" max="4644" width="10.109375" style="1" customWidth="1"/>
    <col min="4645" max="4646" width="9.109375" style="1"/>
    <col min="4647" max="4647" width="13.33203125" style="1" customWidth="1"/>
    <col min="4648" max="4648" width="11.44140625" style="1" customWidth="1"/>
    <col min="4649" max="4649" width="13.33203125" style="1" bestFit="1" customWidth="1"/>
    <col min="4650" max="4650" width="16.88671875" style="1" bestFit="1" customWidth="1"/>
    <col min="4651" max="4653" width="14.44140625" style="1" customWidth="1"/>
    <col min="4654" max="4654" width="9.88671875" style="1" customWidth="1"/>
    <col min="4655" max="4657" width="17" style="1" customWidth="1"/>
    <col min="4658" max="4658" width="9.109375" style="1"/>
    <col min="4659" max="4659" width="17" style="1" customWidth="1"/>
    <col min="4660" max="4660" width="10.44140625" style="1" customWidth="1"/>
    <col min="4661" max="4834" width="9.109375" style="1"/>
    <col min="4835" max="4835" width="18.44140625" style="1" customWidth="1"/>
    <col min="4836" max="4836" width="11.88671875" style="1" customWidth="1"/>
    <col min="4837" max="4838" width="10.109375" style="1" customWidth="1"/>
    <col min="4839" max="4840" width="13.6640625" style="1" customWidth="1"/>
    <col min="4841" max="4843" width="23.77734375" style="1" customWidth="1"/>
    <col min="4844" max="4846" width="9.109375" style="1"/>
    <col min="4847" max="4847" width="21" style="1" customWidth="1"/>
    <col min="4848" max="4848" width="12.33203125" style="1" customWidth="1"/>
    <col min="4849" max="4849" width="14" style="1" customWidth="1"/>
    <col min="4850" max="4850" width="10.109375" style="1" bestFit="1" customWidth="1"/>
    <col min="4851" max="4851" width="10.109375" style="1" customWidth="1"/>
    <col min="4852" max="4852" width="27.21875" style="1" customWidth="1"/>
    <col min="4853" max="4853" width="24.5546875" style="1" customWidth="1"/>
    <col min="4854" max="4854" width="16.21875" style="1" customWidth="1"/>
    <col min="4855" max="4855" width="16.33203125" style="1" customWidth="1"/>
    <col min="4856" max="4856" width="18.5546875" style="1" customWidth="1"/>
    <col min="4857" max="4857" width="20.33203125" style="1" customWidth="1"/>
    <col min="4858" max="4859" width="22.88671875" style="1" customWidth="1"/>
    <col min="4860" max="4863" width="18" style="1" customWidth="1"/>
    <col min="4864" max="4864" width="17.21875" style="1" customWidth="1"/>
    <col min="4865" max="4865" width="16.6640625" style="1" customWidth="1"/>
    <col min="4866" max="4866" width="17.44140625" style="1" customWidth="1"/>
    <col min="4867" max="4867" width="24.21875" style="1" customWidth="1"/>
    <col min="4868" max="4868" width="20.44140625" style="1" customWidth="1"/>
    <col min="4869" max="4869" width="41.5546875" style="1" customWidth="1"/>
    <col min="4870" max="4871" width="32.44140625" style="1" customWidth="1"/>
    <col min="4872" max="4876" width="41.5546875" style="1" customWidth="1"/>
    <col min="4877" max="4877" width="30.44140625" style="1" customWidth="1"/>
    <col min="4878" max="4878" width="22.33203125" style="1" customWidth="1"/>
    <col min="4879" max="4879" width="9.109375" style="1"/>
    <col min="4880" max="4880" width="22.88671875" style="1" customWidth="1"/>
    <col min="4881" max="4881" width="23.77734375" style="1" customWidth="1"/>
    <col min="4882" max="4882" width="74.44140625" style="1" customWidth="1"/>
    <col min="4883" max="4884" width="9.109375" style="1"/>
    <col min="4885" max="4885" width="14.109375" style="1" customWidth="1"/>
    <col min="4886" max="4886" width="12.44140625" style="1" customWidth="1"/>
    <col min="4887" max="4887" width="13.44140625" style="1" customWidth="1"/>
    <col min="4888" max="4888" width="11.109375" style="1" customWidth="1"/>
    <col min="4889" max="4892" width="17.33203125" style="1" customWidth="1"/>
    <col min="4893" max="4896" width="9.109375" style="1"/>
    <col min="4897" max="4898" width="22.33203125" style="1" customWidth="1"/>
    <col min="4899" max="4899" width="11.88671875" style="1" customWidth="1"/>
    <col min="4900" max="4900" width="10.109375" style="1" customWidth="1"/>
    <col min="4901" max="4902" width="9.109375" style="1"/>
    <col min="4903" max="4903" width="13.33203125" style="1" customWidth="1"/>
    <col min="4904" max="4904" width="11.44140625" style="1" customWidth="1"/>
    <col min="4905" max="4905" width="13.33203125" style="1" bestFit="1" customWidth="1"/>
    <col min="4906" max="4906" width="16.88671875" style="1" bestFit="1" customWidth="1"/>
    <col min="4907" max="4909" width="14.44140625" style="1" customWidth="1"/>
    <col min="4910" max="4910" width="9.88671875" style="1" customWidth="1"/>
    <col min="4911" max="4913" width="17" style="1" customWidth="1"/>
    <col min="4914" max="4914" width="9.109375" style="1"/>
    <col min="4915" max="4915" width="17" style="1" customWidth="1"/>
    <col min="4916" max="4916" width="10.44140625" style="1" customWidth="1"/>
    <col min="4917" max="5090" width="9.109375" style="1"/>
    <col min="5091" max="5091" width="18.44140625" style="1" customWidth="1"/>
    <col min="5092" max="5092" width="11.88671875" style="1" customWidth="1"/>
    <col min="5093" max="5094" width="10.109375" style="1" customWidth="1"/>
    <col min="5095" max="5096" width="13.6640625" style="1" customWidth="1"/>
    <col min="5097" max="5099" width="23.77734375" style="1" customWidth="1"/>
    <col min="5100" max="5102" width="9.109375" style="1"/>
    <col min="5103" max="5103" width="21" style="1" customWidth="1"/>
    <col min="5104" max="5104" width="12.33203125" style="1" customWidth="1"/>
    <col min="5105" max="5105" width="14" style="1" customWidth="1"/>
    <col min="5106" max="5106" width="10.109375" style="1" bestFit="1" customWidth="1"/>
    <col min="5107" max="5107" width="10.109375" style="1" customWidth="1"/>
    <col min="5108" max="5108" width="27.21875" style="1" customWidth="1"/>
    <col min="5109" max="5109" width="24.5546875" style="1" customWidth="1"/>
    <col min="5110" max="5110" width="16.21875" style="1" customWidth="1"/>
    <col min="5111" max="5111" width="16.33203125" style="1" customWidth="1"/>
    <col min="5112" max="5112" width="18.5546875" style="1" customWidth="1"/>
    <col min="5113" max="5113" width="20.33203125" style="1" customWidth="1"/>
    <col min="5114" max="5115" width="22.88671875" style="1" customWidth="1"/>
    <col min="5116" max="5119" width="18" style="1" customWidth="1"/>
    <col min="5120" max="5120" width="17.21875" style="1" customWidth="1"/>
    <col min="5121" max="5121" width="16.6640625" style="1" customWidth="1"/>
    <col min="5122" max="5122" width="17.44140625" style="1" customWidth="1"/>
    <col min="5123" max="5123" width="24.21875" style="1" customWidth="1"/>
    <col min="5124" max="5124" width="20.44140625" style="1" customWidth="1"/>
    <col min="5125" max="5125" width="41.5546875" style="1" customWidth="1"/>
    <col min="5126" max="5127" width="32.44140625" style="1" customWidth="1"/>
    <col min="5128" max="5132" width="41.5546875" style="1" customWidth="1"/>
    <col min="5133" max="5133" width="30.44140625" style="1" customWidth="1"/>
    <col min="5134" max="5134" width="22.33203125" style="1" customWidth="1"/>
    <col min="5135" max="5135" width="9.109375" style="1"/>
    <col min="5136" max="5136" width="22.88671875" style="1" customWidth="1"/>
    <col min="5137" max="5137" width="23.77734375" style="1" customWidth="1"/>
    <col min="5138" max="5138" width="74.44140625" style="1" customWidth="1"/>
    <col min="5139" max="5140" width="9.109375" style="1"/>
    <col min="5141" max="5141" width="14.109375" style="1" customWidth="1"/>
    <col min="5142" max="5142" width="12.44140625" style="1" customWidth="1"/>
    <col min="5143" max="5143" width="13.44140625" style="1" customWidth="1"/>
    <col min="5144" max="5144" width="11.109375" style="1" customWidth="1"/>
    <col min="5145" max="5148" width="17.33203125" style="1" customWidth="1"/>
    <col min="5149" max="5152" width="9.109375" style="1"/>
    <col min="5153" max="5154" width="22.33203125" style="1" customWidth="1"/>
    <col min="5155" max="5155" width="11.88671875" style="1" customWidth="1"/>
    <col min="5156" max="5156" width="10.109375" style="1" customWidth="1"/>
    <col min="5157" max="5158" width="9.109375" style="1"/>
    <col min="5159" max="5159" width="13.33203125" style="1" customWidth="1"/>
    <col min="5160" max="5160" width="11.44140625" style="1" customWidth="1"/>
    <col min="5161" max="5161" width="13.33203125" style="1" bestFit="1" customWidth="1"/>
    <col min="5162" max="5162" width="16.88671875" style="1" bestFit="1" customWidth="1"/>
    <col min="5163" max="5165" width="14.44140625" style="1" customWidth="1"/>
    <col min="5166" max="5166" width="9.88671875" style="1" customWidth="1"/>
    <col min="5167" max="5169" width="17" style="1" customWidth="1"/>
    <col min="5170" max="5170" width="9.109375" style="1"/>
    <col min="5171" max="5171" width="17" style="1" customWidth="1"/>
    <col min="5172" max="5172" width="10.44140625" style="1" customWidth="1"/>
    <col min="5173" max="5346" width="9.109375" style="1"/>
    <col min="5347" max="5347" width="18.44140625" style="1" customWidth="1"/>
    <col min="5348" max="5348" width="11.88671875" style="1" customWidth="1"/>
    <col min="5349" max="5350" width="10.109375" style="1" customWidth="1"/>
    <col min="5351" max="5352" width="13.6640625" style="1" customWidth="1"/>
    <col min="5353" max="5355" width="23.77734375" style="1" customWidth="1"/>
    <col min="5356" max="5358" width="9.109375" style="1"/>
    <col min="5359" max="5359" width="21" style="1" customWidth="1"/>
    <col min="5360" max="5360" width="12.33203125" style="1" customWidth="1"/>
    <col min="5361" max="5361" width="14" style="1" customWidth="1"/>
    <col min="5362" max="5362" width="10.109375" style="1" bestFit="1" customWidth="1"/>
    <col min="5363" max="5363" width="10.109375" style="1" customWidth="1"/>
    <col min="5364" max="5364" width="27.21875" style="1" customWidth="1"/>
    <col min="5365" max="5365" width="24.5546875" style="1" customWidth="1"/>
    <col min="5366" max="5366" width="16.21875" style="1" customWidth="1"/>
    <col min="5367" max="5367" width="16.33203125" style="1" customWidth="1"/>
    <col min="5368" max="5368" width="18.5546875" style="1" customWidth="1"/>
    <col min="5369" max="5369" width="20.33203125" style="1" customWidth="1"/>
    <col min="5370" max="5371" width="22.88671875" style="1" customWidth="1"/>
    <col min="5372" max="5375" width="18" style="1" customWidth="1"/>
    <col min="5376" max="5376" width="17.21875" style="1" customWidth="1"/>
    <col min="5377" max="5377" width="16.6640625" style="1" customWidth="1"/>
    <col min="5378" max="5378" width="17.44140625" style="1" customWidth="1"/>
    <col min="5379" max="5379" width="24.21875" style="1" customWidth="1"/>
    <col min="5380" max="5380" width="20.44140625" style="1" customWidth="1"/>
    <col min="5381" max="5381" width="41.5546875" style="1" customWidth="1"/>
    <col min="5382" max="5383" width="32.44140625" style="1" customWidth="1"/>
    <col min="5384" max="5388" width="41.5546875" style="1" customWidth="1"/>
    <col min="5389" max="5389" width="30.44140625" style="1" customWidth="1"/>
    <col min="5390" max="5390" width="22.33203125" style="1" customWidth="1"/>
    <col min="5391" max="5391" width="9.109375" style="1"/>
    <col min="5392" max="5392" width="22.88671875" style="1" customWidth="1"/>
    <col min="5393" max="5393" width="23.77734375" style="1" customWidth="1"/>
    <col min="5394" max="5394" width="74.44140625" style="1" customWidth="1"/>
    <col min="5395" max="5396" width="9.109375" style="1"/>
    <col min="5397" max="5397" width="14.109375" style="1" customWidth="1"/>
    <col min="5398" max="5398" width="12.44140625" style="1" customWidth="1"/>
    <col min="5399" max="5399" width="13.44140625" style="1" customWidth="1"/>
    <col min="5400" max="5400" width="11.109375" style="1" customWidth="1"/>
    <col min="5401" max="5404" width="17.33203125" style="1" customWidth="1"/>
    <col min="5405" max="5408" width="9.109375" style="1"/>
    <col min="5409" max="5410" width="22.33203125" style="1" customWidth="1"/>
    <col min="5411" max="5411" width="11.88671875" style="1" customWidth="1"/>
    <col min="5412" max="5412" width="10.109375" style="1" customWidth="1"/>
    <col min="5413" max="5414" width="9.109375" style="1"/>
    <col min="5415" max="5415" width="13.33203125" style="1" customWidth="1"/>
    <col min="5416" max="5416" width="11.44140625" style="1" customWidth="1"/>
    <col min="5417" max="5417" width="13.33203125" style="1" bestFit="1" customWidth="1"/>
    <col min="5418" max="5418" width="16.88671875" style="1" bestFit="1" customWidth="1"/>
    <col min="5419" max="5421" width="14.44140625" style="1" customWidth="1"/>
    <col min="5422" max="5422" width="9.88671875" style="1" customWidth="1"/>
    <col min="5423" max="5425" width="17" style="1" customWidth="1"/>
    <col min="5426" max="5426" width="9.109375" style="1"/>
    <col min="5427" max="5427" width="17" style="1" customWidth="1"/>
    <col min="5428" max="5428" width="10.44140625" style="1" customWidth="1"/>
    <col min="5429" max="5602" width="9.109375" style="1"/>
    <col min="5603" max="5603" width="18.44140625" style="1" customWidth="1"/>
    <col min="5604" max="5604" width="11.88671875" style="1" customWidth="1"/>
    <col min="5605" max="5606" width="10.109375" style="1" customWidth="1"/>
    <col min="5607" max="5608" width="13.6640625" style="1" customWidth="1"/>
    <col min="5609" max="5611" width="23.77734375" style="1" customWidth="1"/>
    <col min="5612" max="5614" width="9.109375" style="1"/>
    <col min="5615" max="5615" width="21" style="1" customWidth="1"/>
    <col min="5616" max="5616" width="12.33203125" style="1" customWidth="1"/>
    <col min="5617" max="5617" width="14" style="1" customWidth="1"/>
    <col min="5618" max="5618" width="10.109375" style="1" bestFit="1" customWidth="1"/>
    <col min="5619" max="5619" width="10.109375" style="1" customWidth="1"/>
    <col min="5620" max="5620" width="27.21875" style="1" customWidth="1"/>
    <col min="5621" max="5621" width="24.5546875" style="1" customWidth="1"/>
    <col min="5622" max="5622" width="16.21875" style="1" customWidth="1"/>
    <col min="5623" max="5623" width="16.33203125" style="1" customWidth="1"/>
    <col min="5624" max="5624" width="18.5546875" style="1" customWidth="1"/>
    <col min="5625" max="5625" width="20.33203125" style="1" customWidth="1"/>
    <col min="5626" max="5627" width="22.88671875" style="1" customWidth="1"/>
    <col min="5628" max="5631" width="18" style="1" customWidth="1"/>
    <col min="5632" max="5632" width="17.21875" style="1" customWidth="1"/>
    <col min="5633" max="5633" width="16.6640625" style="1" customWidth="1"/>
    <col min="5634" max="5634" width="17.44140625" style="1" customWidth="1"/>
    <col min="5635" max="5635" width="24.21875" style="1" customWidth="1"/>
    <col min="5636" max="5636" width="20.44140625" style="1" customWidth="1"/>
    <col min="5637" max="5637" width="41.5546875" style="1" customWidth="1"/>
    <col min="5638" max="5639" width="32.44140625" style="1" customWidth="1"/>
    <col min="5640" max="5644" width="41.5546875" style="1" customWidth="1"/>
    <col min="5645" max="5645" width="30.44140625" style="1" customWidth="1"/>
    <col min="5646" max="5646" width="22.33203125" style="1" customWidth="1"/>
    <col min="5647" max="5647" width="9.109375" style="1"/>
    <col min="5648" max="5648" width="22.88671875" style="1" customWidth="1"/>
    <col min="5649" max="5649" width="23.77734375" style="1" customWidth="1"/>
    <col min="5650" max="5650" width="74.44140625" style="1" customWidth="1"/>
    <col min="5651" max="5652" width="9.109375" style="1"/>
    <col min="5653" max="5653" width="14.109375" style="1" customWidth="1"/>
    <col min="5654" max="5654" width="12.44140625" style="1" customWidth="1"/>
    <col min="5655" max="5655" width="13.44140625" style="1" customWidth="1"/>
    <col min="5656" max="5656" width="11.109375" style="1" customWidth="1"/>
    <col min="5657" max="5660" width="17.33203125" style="1" customWidth="1"/>
    <col min="5661" max="5664" width="9.109375" style="1"/>
    <col min="5665" max="5666" width="22.33203125" style="1" customWidth="1"/>
    <col min="5667" max="5667" width="11.88671875" style="1" customWidth="1"/>
    <col min="5668" max="5668" width="10.109375" style="1" customWidth="1"/>
    <col min="5669" max="5670" width="9.109375" style="1"/>
    <col min="5671" max="5671" width="13.33203125" style="1" customWidth="1"/>
    <col min="5672" max="5672" width="11.44140625" style="1" customWidth="1"/>
    <col min="5673" max="5673" width="13.33203125" style="1" bestFit="1" customWidth="1"/>
    <col min="5674" max="5674" width="16.88671875" style="1" bestFit="1" customWidth="1"/>
    <col min="5675" max="5677" width="14.44140625" style="1" customWidth="1"/>
    <col min="5678" max="5678" width="9.88671875" style="1" customWidth="1"/>
    <col min="5679" max="5681" width="17" style="1" customWidth="1"/>
    <col min="5682" max="5682" width="9.109375" style="1"/>
    <col min="5683" max="5683" width="17" style="1" customWidth="1"/>
    <col min="5684" max="5684" width="10.44140625" style="1" customWidth="1"/>
    <col min="5685" max="5858" width="9.109375" style="1"/>
    <col min="5859" max="5859" width="18.44140625" style="1" customWidth="1"/>
    <col min="5860" max="5860" width="11.88671875" style="1" customWidth="1"/>
    <col min="5861" max="5862" width="10.109375" style="1" customWidth="1"/>
    <col min="5863" max="5864" width="13.6640625" style="1" customWidth="1"/>
    <col min="5865" max="5867" width="23.77734375" style="1" customWidth="1"/>
    <col min="5868" max="5870" width="9.109375" style="1"/>
    <col min="5871" max="5871" width="21" style="1" customWidth="1"/>
    <col min="5872" max="5872" width="12.33203125" style="1" customWidth="1"/>
    <col min="5873" max="5873" width="14" style="1" customWidth="1"/>
    <col min="5874" max="5874" width="10.109375" style="1" bestFit="1" customWidth="1"/>
    <col min="5875" max="5875" width="10.109375" style="1" customWidth="1"/>
    <col min="5876" max="5876" width="27.21875" style="1" customWidth="1"/>
    <col min="5877" max="5877" width="24.5546875" style="1" customWidth="1"/>
    <col min="5878" max="5878" width="16.21875" style="1" customWidth="1"/>
    <col min="5879" max="5879" width="16.33203125" style="1" customWidth="1"/>
    <col min="5880" max="5880" width="18.5546875" style="1" customWidth="1"/>
    <col min="5881" max="5881" width="20.33203125" style="1" customWidth="1"/>
    <col min="5882" max="5883" width="22.88671875" style="1" customWidth="1"/>
    <col min="5884" max="5887" width="18" style="1" customWidth="1"/>
    <col min="5888" max="5888" width="17.21875" style="1" customWidth="1"/>
    <col min="5889" max="5889" width="16.6640625" style="1" customWidth="1"/>
    <col min="5890" max="5890" width="17.44140625" style="1" customWidth="1"/>
    <col min="5891" max="5891" width="24.21875" style="1" customWidth="1"/>
    <col min="5892" max="5892" width="20.44140625" style="1" customWidth="1"/>
    <col min="5893" max="5893" width="41.5546875" style="1" customWidth="1"/>
    <col min="5894" max="5895" width="32.44140625" style="1" customWidth="1"/>
    <col min="5896" max="5900" width="41.5546875" style="1" customWidth="1"/>
    <col min="5901" max="5901" width="30.44140625" style="1" customWidth="1"/>
    <col min="5902" max="5902" width="22.33203125" style="1" customWidth="1"/>
    <col min="5903" max="5903" width="9.109375" style="1"/>
    <col min="5904" max="5904" width="22.88671875" style="1" customWidth="1"/>
    <col min="5905" max="5905" width="23.77734375" style="1" customWidth="1"/>
    <col min="5906" max="5906" width="74.44140625" style="1" customWidth="1"/>
    <col min="5907" max="5908" width="9.109375" style="1"/>
    <col min="5909" max="5909" width="14.109375" style="1" customWidth="1"/>
    <col min="5910" max="5910" width="12.44140625" style="1" customWidth="1"/>
    <col min="5911" max="5911" width="13.44140625" style="1" customWidth="1"/>
    <col min="5912" max="5912" width="11.109375" style="1" customWidth="1"/>
    <col min="5913" max="5916" width="17.33203125" style="1" customWidth="1"/>
    <col min="5917" max="5920" width="9.109375" style="1"/>
    <col min="5921" max="5922" width="22.33203125" style="1" customWidth="1"/>
    <col min="5923" max="5923" width="11.88671875" style="1" customWidth="1"/>
    <col min="5924" max="5924" width="10.109375" style="1" customWidth="1"/>
    <col min="5925" max="5926" width="9.109375" style="1"/>
    <col min="5927" max="5927" width="13.33203125" style="1" customWidth="1"/>
    <col min="5928" max="5928" width="11.44140625" style="1" customWidth="1"/>
    <col min="5929" max="5929" width="13.33203125" style="1" bestFit="1" customWidth="1"/>
    <col min="5930" max="5930" width="16.88671875" style="1" bestFit="1" customWidth="1"/>
    <col min="5931" max="5933" width="14.44140625" style="1" customWidth="1"/>
    <col min="5934" max="5934" width="9.88671875" style="1" customWidth="1"/>
    <col min="5935" max="5937" width="17" style="1" customWidth="1"/>
    <col min="5938" max="5938" width="9.109375" style="1"/>
    <col min="5939" max="5939" width="17" style="1" customWidth="1"/>
    <col min="5940" max="5940" width="10.44140625" style="1" customWidth="1"/>
    <col min="5941" max="6114" width="9.109375" style="1"/>
    <col min="6115" max="6115" width="18.44140625" style="1" customWidth="1"/>
    <col min="6116" max="6116" width="11.88671875" style="1" customWidth="1"/>
    <col min="6117" max="6118" width="10.109375" style="1" customWidth="1"/>
    <col min="6119" max="6120" width="13.6640625" style="1" customWidth="1"/>
    <col min="6121" max="6123" width="23.77734375" style="1" customWidth="1"/>
    <col min="6124" max="6126" width="9.109375" style="1"/>
    <col min="6127" max="6127" width="21" style="1" customWidth="1"/>
    <col min="6128" max="6128" width="12.33203125" style="1" customWidth="1"/>
    <col min="6129" max="6129" width="14" style="1" customWidth="1"/>
    <col min="6130" max="6130" width="10.109375" style="1" bestFit="1" customWidth="1"/>
    <col min="6131" max="6131" width="10.109375" style="1" customWidth="1"/>
    <col min="6132" max="6132" width="27.21875" style="1" customWidth="1"/>
    <col min="6133" max="6133" width="24.5546875" style="1" customWidth="1"/>
    <col min="6134" max="6134" width="16.21875" style="1" customWidth="1"/>
    <col min="6135" max="6135" width="16.33203125" style="1" customWidth="1"/>
    <col min="6136" max="6136" width="18.5546875" style="1" customWidth="1"/>
    <col min="6137" max="6137" width="20.33203125" style="1" customWidth="1"/>
    <col min="6138" max="6139" width="22.88671875" style="1" customWidth="1"/>
    <col min="6140" max="6143" width="18" style="1" customWidth="1"/>
    <col min="6144" max="6144" width="17.21875" style="1" customWidth="1"/>
    <col min="6145" max="6145" width="16.6640625" style="1" customWidth="1"/>
    <col min="6146" max="6146" width="17.44140625" style="1" customWidth="1"/>
    <col min="6147" max="6147" width="24.21875" style="1" customWidth="1"/>
    <col min="6148" max="6148" width="20.44140625" style="1" customWidth="1"/>
    <col min="6149" max="6149" width="41.5546875" style="1" customWidth="1"/>
    <col min="6150" max="6151" width="32.44140625" style="1" customWidth="1"/>
    <col min="6152" max="6156" width="41.5546875" style="1" customWidth="1"/>
    <col min="6157" max="6157" width="30.44140625" style="1" customWidth="1"/>
    <col min="6158" max="6158" width="22.33203125" style="1" customWidth="1"/>
    <col min="6159" max="6159" width="9.109375" style="1"/>
    <col min="6160" max="6160" width="22.88671875" style="1" customWidth="1"/>
    <col min="6161" max="6161" width="23.77734375" style="1" customWidth="1"/>
    <col min="6162" max="6162" width="74.44140625" style="1" customWidth="1"/>
    <col min="6163" max="6164" width="9.109375" style="1"/>
    <col min="6165" max="6165" width="14.109375" style="1" customWidth="1"/>
    <col min="6166" max="6166" width="12.44140625" style="1" customWidth="1"/>
    <col min="6167" max="6167" width="13.44140625" style="1" customWidth="1"/>
    <col min="6168" max="6168" width="11.109375" style="1" customWidth="1"/>
    <col min="6169" max="6172" width="17.33203125" style="1" customWidth="1"/>
    <col min="6173" max="6176" width="9.109375" style="1"/>
    <col min="6177" max="6178" width="22.33203125" style="1" customWidth="1"/>
    <col min="6179" max="6179" width="11.88671875" style="1" customWidth="1"/>
    <col min="6180" max="6180" width="10.109375" style="1" customWidth="1"/>
    <col min="6181" max="6182" width="9.109375" style="1"/>
    <col min="6183" max="6183" width="13.33203125" style="1" customWidth="1"/>
    <col min="6184" max="6184" width="11.44140625" style="1" customWidth="1"/>
    <col min="6185" max="6185" width="13.33203125" style="1" bestFit="1" customWidth="1"/>
    <col min="6186" max="6186" width="16.88671875" style="1" bestFit="1" customWidth="1"/>
    <col min="6187" max="6189" width="14.44140625" style="1" customWidth="1"/>
    <col min="6190" max="6190" width="9.88671875" style="1" customWidth="1"/>
    <col min="6191" max="6193" width="17" style="1" customWidth="1"/>
    <col min="6194" max="6194" width="9.109375" style="1"/>
    <col min="6195" max="6195" width="17" style="1" customWidth="1"/>
    <col min="6196" max="6196" width="10.44140625" style="1" customWidth="1"/>
    <col min="6197" max="6370" width="9.109375" style="1"/>
    <col min="6371" max="6371" width="18.44140625" style="1" customWidth="1"/>
    <col min="6372" max="6372" width="11.88671875" style="1" customWidth="1"/>
    <col min="6373" max="6374" width="10.109375" style="1" customWidth="1"/>
    <col min="6375" max="6376" width="13.6640625" style="1" customWidth="1"/>
    <col min="6377" max="6379" width="23.77734375" style="1" customWidth="1"/>
    <col min="6380" max="6382" width="9.109375" style="1"/>
    <col min="6383" max="6383" width="21" style="1" customWidth="1"/>
    <col min="6384" max="6384" width="12.33203125" style="1" customWidth="1"/>
    <col min="6385" max="6385" width="14" style="1" customWidth="1"/>
    <col min="6386" max="6386" width="10.109375" style="1" bestFit="1" customWidth="1"/>
    <col min="6387" max="6387" width="10.109375" style="1" customWidth="1"/>
    <col min="6388" max="6388" width="27.21875" style="1" customWidth="1"/>
    <col min="6389" max="6389" width="24.5546875" style="1" customWidth="1"/>
    <col min="6390" max="6390" width="16.21875" style="1" customWidth="1"/>
    <col min="6391" max="6391" width="16.33203125" style="1" customWidth="1"/>
    <col min="6392" max="6392" width="18.5546875" style="1" customWidth="1"/>
    <col min="6393" max="6393" width="20.33203125" style="1" customWidth="1"/>
    <col min="6394" max="6395" width="22.88671875" style="1" customWidth="1"/>
    <col min="6396" max="6399" width="18" style="1" customWidth="1"/>
    <col min="6400" max="6400" width="17.21875" style="1" customWidth="1"/>
    <col min="6401" max="6401" width="16.6640625" style="1" customWidth="1"/>
    <col min="6402" max="6402" width="17.44140625" style="1" customWidth="1"/>
    <col min="6403" max="6403" width="24.21875" style="1" customWidth="1"/>
    <col min="6404" max="6404" width="20.44140625" style="1" customWidth="1"/>
    <col min="6405" max="6405" width="41.5546875" style="1" customWidth="1"/>
    <col min="6406" max="6407" width="32.44140625" style="1" customWidth="1"/>
    <col min="6408" max="6412" width="41.5546875" style="1" customWidth="1"/>
    <col min="6413" max="6413" width="30.44140625" style="1" customWidth="1"/>
    <col min="6414" max="6414" width="22.33203125" style="1" customWidth="1"/>
    <col min="6415" max="6415" width="9.109375" style="1"/>
    <col min="6416" max="6416" width="22.88671875" style="1" customWidth="1"/>
    <col min="6417" max="6417" width="23.77734375" style="1" customWidth="1"/>
    <col min="6418" max="6418" width="74.44140625" style="1" customWidth="1"/>
    <col min="6419" max="6420" width="9.109375" style="1"/>
    <col min="6421" max="6421" width="14.109375" style="1" customWidth="1"/>
    <col min="6422" max="6422" width="12.44140625" style="1" customWidth="1"/>
    <col min="6423" max="6423" width="13.44140625" style="1" customWidth="1"/>
    <col min="6424" max="6424" width="11.109375" style="1" customWidth="1"/>
    <col min="6425" max="6428" width="17.33203125" style="1" customWidth="1"/>
    <col min="6429" max="6432" width="9.109375" style="1"/>
    <col min="6433" max="6434" width="22.33203125" style="1" customWidth="1"/>
    <col min="6435" max="6435" width="11.88671875" style="1" customWidth="1"/>
    <col min="6436" max="6436" width="10.109375" style="1" customWidth="1"/>
    <col min="6437" max="6438" width="9.109375" style="1"/>
    <col min="6439" max="6439" width="13.33203125" style="1" customWidth="1"/>
    <col min="6440" max="6440" width="11.44140625" style="1" customWidth="1"/>
    <col min="6441" max="6441" width="13.33203125" style="1" bestFit="1" customWidth="1"/>
    <col min="6442" max="6442" width="16.88671875" style="1" bestFit="1" customWidth="1"/>
    <col min="6443" max="6445" width="14.44140625" style="1" customWidth="1"/>
    <col min="6446" max="6446" width="9.88671875" style="1" customWidth="1"/>
    <col min="6447" max="6449" width="17" style="1" customWidth="1"/>
    <col min="6450" max="6450" width="9.109375" style="1"/>
    <col min="6451" max="6451" width="17" style="1" customWidth="1"/>
    <col min="6452" max="6452" width="10.44140625" style="1" customWidth="1"/>
    <col min="6453" max="6626" width="9.109375" style="1"/>
    <col min="6627" max="6627" width="18.44140625" style="1" customWidth="1"/>
    <col min="6628" max="6628" width="11.88671875" style="1" customWidth="1"/>
    <col min="6629" max="6630" width="10.109375" style="1" customWidth="1"/>
    <col min="6631" max="6632" width="13.6640625" style="1" customWidth="1"/>
    <col min="6633" max="6635" width="23.77734375" style="1" customWidth="1"/>
    <col min="6636" max="6638" width="9.109375" style="1"/>
    <col min="6639" max="6639" width="21" style="1" customWidth="1"/>
    <col min="6640" max="6640" width="12.33203125" style="1" customWidth="1"/>
    <col min="6641" max="6641" width="14" style="1" customWidth="1"/>
    <col min="6642" max="6642" width="10.109375" style="1" bestFit="1" customWidth="1"/>
    <col min="6643" max="6643" width="10.109375" style="1" customWidth="1"/>
    <col min="6644" max="6644" width="27.21875" style="1" customWidth="1"/>
    <col min="6645" max="6645" width="24.5546875" style="1" customWidth="1"/>
    <col min="6646" max="6646" width="16.21875" style="1" customWidth="1"/>
    <col min="6647" max="6647" width="16.33203125" style="1" customWidth="1"/>
    <col min="6648" max="6648" width="18.5546875" style="1" customWidth="1"/>
    <col min="6649" max="6649" width="20.33203125" style="1" customWidth="1"/>
    <col min="6650" max="6651" width="22.88671875" style="1" customWidth="1"/>
    <col min="6652" max="6655" width="18" style="1" customWidth="1"/>
    <col min="6656" max="6656" width="17.21875" style="1" customWidth="1"/>
    <col min="6657" max="6657" width="16.6640625" style="1" customWidth="1"/>
    <col min="6658" max="6658" width="17.44140625" style="1" customWidth="1"/>
    <col min="6659" max="6659" width="24.21875" style="1" customWidth="1"/>
    <col min="6660" max="6660" width="20.44140625" style="1" customWidth="1"/>
    <col min="6661" max="6661" width="41.5546875" style="1" customWidth="1"/>
    <col min="6662" max="6663" width="32.44140625" style="1" customWidth="1"/>
    <col min="6664" max="6668" width="41.5546875" style="1" customWidth="1"/>
    <col min="6669" max="6669" width="30.44140625" style="1" customWidth="1"/>
    <col min="6670" max="6670" width="22.33203125" style="1" customWidth="1"/>
    <col min="6671" max="6671" width="9.109375" style="1"/>
    <col min="6672" max="6672" width="22.88671875" style="1" customWidth="1"/>
    <col min="6673" max="6673" width="23.77734375" style="1" customWidth="1"/>
    <col min="6674" max="6674" width="74.44140625" style="1" customWidth="1"/>
    <col min="6675" max="6676" width="9.109375" style="1"/>
    <col min="6677" max="6677" width="14.109375" style="1" customWidth="1"/>
    <col min="6678" max="6678" width="12.44140625" style="1" customWidth="1"/>
    <col min="6679" max="6679" width="13.44140625" style="1" customWidth="1"/>
    <col min="6680" max="6680" width="11.109375" style="1" customWidth="1"/>
    <col min="6681" max="6684" width="17.33203125" style="1" customWidth="1"/>
    <col min="6685" max="6688" width="9.109375" style="1"/>
    <col min="6689" max="6690" width="22.33203125" style="1" customWidth="1"/>
    <col min="6691" max="6691" width="11.88671875" style="1" customWidth="1"/>
    <col min="6692" max="6692" width="10.109375" style="1" customWidth="1"/>
    <col min="6693" max="6694" width="9.109375" style="1"/>
    <col min="6695" max="6695" width="13.33203125" style="1" customWidth="1"/>
    <col min="6696" max="6696" width="11.44140625" style="1" customWidth="1"/>
    <col min="6697" max="6697" width="13.33203125" style="1" bestFit="1" customWidth="1"/>
    <col min="6698" max="6698" width="16.88671875" style="1" bestFit="1" customWidth="1"/>
    <col min="6699" max="6701" width="14.44140625" style="1" customWidth="1"/>
    <col min="6702" max="6702" width="9.88671875" style="1" customWidth="1"/>
    <col min="6703" max="6705" width="17" style="1" customWidth="1"/>
    <col min="6706" max="6706" width="9.109375" style="1"/>
    <col min="6707" max="6707" width="17" style="1" customWidth="1"/>
    <col min="6708" max="6708" width="10.44140625" style="1" customWidth="1"/>
    <col min="6709" max="6882" width="9.109375" style="1"/>
    <col min="6883" max="6883" width="18.44140625" style="1" customWidth="1"/>
    <col min="6884" max="6884" width="11.88671875" style="1" customWidth="1"/>
    <col min="6885" max="6886" width="10.109375" style="1" customWidth="1"/>
    <col min="6887" max="6888" width="13.6640625" style="1" customWidth="1"/>
    <col min="6889" max="6891" width="23.77734375" style="1" customWidth="1"/>
    <col min="6892" max="6894" width="9.109375" style="1"/>
    <col min="6895" max="6895" width="21" style="1" customWidth="1"/>
    <col min="6896" max="6896" width="12.33203125" style="1" customWidth="1"/>
    <col min="6897" max="6897" width="14" style="1" customWidth="1"/>
    <col min="6898" max="6898" width="10.109375" style="1" bestFit="1" customWidth="1"/>
    <col min="6899" max="6899" width="10.109375" style="1" customWidth="1"/>
    <col min="6900" max="6900" width="27.21875" style="1" customWidth="1"/>
    <col min="6901" max="6901" width="24.5546875" style="1" customWidth="1"/>
    <col min="6902" max="6902" width="16.21875" style="1" customWidth="1"/>
    <col min="6903" max="6903" width="16.33203125" style="1" customWidth="1"/>
    <col min="6904" max="6904" width="18.5546875" style="1" customWidth="1"/>
    <col min="6905" max="6905" width="20.33203125" style="1" customWidth="1"/>
    <col min="6906" max="6907" width="22.88671875" style="1" customWidth="1"/>
    <col min="6908" max="6911" width="18" style="1" customWidth="1"/>
    <col min="6912" max="6912" width="17.21875" style="1" customWidth="1"/>
    <col min="6913" max="6913" width="16.6640625" style="1" customWidth="1"/>
    <col min="6914" max="6914" width="17.44140625" style="1" customWidth="1"/>
    <col min="6915" max="6915" width="24.21875" style="1" customWidth="1"/>
    <col min="6916" max="6916" width="20.44140625" style="1" customWidth="1"/>
    <col min="6917" max="6917" width="41.5546875" style="1" customWidth="1"/>
    <col min="6918" max="6919" width="32.44140625" style="1" customWidth="1"/>
    <col min="6920" max="6924" width="41.5546875" style="1" customWidth="1"/>
    <col min="6925" max="6925" width="30.44140625" style="1" customWidth="1"/>
    <col min="6926" max="6926" width="22.33203125" style="1" customWidth="1"/>
    <col min="6927" max="6927" width="9.109375" style="1"/>
    <col min="6928" max="6928" width="22.88671875" style="1" customWidth="1"/>
    <col min="6929" max="6929" width="23.77734375" style="1" customWidth="1"/>
    <col min="6930" max="6930" width="74.44140625" style="1" customWidth="1"/>
    <col min="6931" max="6932" width="9.109375" style="1"/>
    <col min="6933" max="6933" width="14.109375" style="1" customWidth="1"/>
    <col min="6934" max="6934" width="12.44140625" style="1" customWidth="1"/>
    <col min="6935" max="6935" width="13.44140625" style="1" customWidth="1"/>
    <col min="6936" max="6936" width="11.109375" style="1" customWidth="1"/>
    <col min="6937" max="6940" width="17.33203125" style="1" customWidth="1"/>
    <col min="6941" max="6944" width="9.109375" style="1"/>
    <col min="6945" max="6946" width="22.33203125" style="1" customWidth="1"/>
    <col min="6947" max="6947" width="11.88671875" style="1" customWidth="1"/>
    <col min="6948" max="6948" width="10.109375" style="1" customWidth="1"/>
    <col min="6949" max="6950" width="9.109375" style="1"/>
    <col min="6951" max="6951" width="13.33203125" style="1" customWidth="1"/>
    <col min="6952" max="6952" width="11.44140625" style="1" customWidth="1"/>
    <col min="6953" max="6953" width="13.33203125" style="1" bestFit="1" customWidth="1"/>
    <col min="6954" max="6954" width="16.88671875" style="1" bestFit="1" customWidth="1"/>
    <col min="6955" max="6957" width="14.44140625" style="1" customWidth="1"/>
    <col min="6958" max="6958" width="9.88671875" style="1" customWidth="1"/>
    <col min="6959" max="6961" width="17" style="1" customWidth="1"/>
    <col min="6962" max="6962" width="9.109375" style="1"/>
    <col min="6963" max="6963" width="17" style="1" customWidth="1"/>
    <col min="6964" max="6964" width="10.44140625" style="1" customWidth="1"/>
    <col min="6965" max="7138" width="9.109375" style="1"/>
    <col min="7139" max="7139" width="18.44140625" style="1" customWidth="1"/>
    <col min="7140" max="7140" width="11.88671875" style="1" customWidth="1"/>
    <col min="7141" max="7142" width="10.109375" style="1" customWidth="1"/>
    <col min="7143" max="7144" width="13.6640625" style="1" customWidth="1"/>
    <col min="7145" max="7147" width="23.77734375" style="1" customWidth="1"/>
    <col min="7148" max="7150" width="9.109375" style="1"/>
    <col min="7151" max="7151" width="21" style="1" customWidth="1"/>
    <col min="7152" max="7152" width="12.33203125" style="1" customWidth="1"/>
    <col min="7153" max="7153" width="14" style="1" customWidth="1"/>
    <col min="7154" max="7154" width="10.109375" style="1" bestFit="1" customWidth="1"/>
    <col min="7155" max="7155" width="10.109375" style="1" customWidth="1"/>
    <col min="7156" max="7156" width="27.21875" style="1" customWidth="1"/>
    <col min="7157" max="7157" width="24.5546875" style="1" customWidth="1"/>
    <col min="7158" max="7158" width="16.21875" style="1" customWidth="1"/>
    <col min="7159" max="7159" width="16.33203125" style="1" customWidth="1"/>
    <col min="7160" max="7160" width="18.5546875" style="1" customWidth="1"/>
    <col min="7161" max="7161" width="20.33203125" style="1" customWidth="1"/>
    <col min="7162" max="7163" width="22.88671875" style="1" customWidth="1"/>
    <col min="7164" max="7167" width="18" style="1" customWidth="1"/>
    <col min="7168" max="7168" width="17.21875" style="1" customWidth="1"/>
    <col min="7169" max="7169" width="16.6640625" style="1" customWidth="1"/>
    <col min="7170" max="7170" width="17.44140625" style="1" customWidth="1"/>
    <col min="7171" max="7171" width="24.21875" style="1" customWidth="1"/>
    <col min="7172" max="7172" width="20.44140625" style="1" customWidth="1"/>
    <col min="7173" max="7173" width="41.5546875" style="1" customWidth="1"/>
    <col min="7174" max="7175" width="32.44140625" style="1" customWidth="1"/>
    <col min="7176" max="7180" width="41.5546875" style="1" customWidth="1"/>
    <col min="7181" max="7181" width="30.44140625" style="1" customWidth="1"/>
    <col min="7182" max="7182" width="22.33203125" style="1" customWidth="1"/>
    <col min="7183" max="7183" width="9.109375" style="1"/>
    <col min="7184" max="7184" width="22.88671875" style="1" customWidth="1"/>
    <col min="7185" max="7185" width="23.77734375" style="1" customWidth="1"/>
    <col min="7186" max="7186" width="74.44140625" style="1" customWidth="1"/>
    <col min="7187" max="7188" width="9.109375" style="1"/>
    <col min="7189" max="7189" width="14.109375" style="1" customWidth="1"/>
    <col min="7190" max="7190" width="12.44140625" style="1" customWidth="1"/>
    <col min="7191" max="7191" width="13.44140625" style="1" customWidth="1"/>
    <col min="7192" max="7192" width="11.109375" style="1" customWidth="1"/>
    <col min="7193" max="7196" width="17.33203125" style="1" customWidth="1"/>
    <col min="7197" max="7200" width="9.109375" style="1"/>
    <col min="7201" max="7202" width="22.33203125" style="1" customWidth="1"/>
    <col min="7203" max="7203" width="11.88671875" style="1" customWidth="1"/>
    <col min="7204" max="7204" width="10.109375" style="1" customWidth="1"/>
    <col min="7205" max="7206" width="9.109375" style="1"/>
    <col min="7207" max="7207" width="13.33203125" style="1" customWidth="1"/>
    <col min="7208" max="7208" width="11.44140625" style="1" customWidth="1"/>
    <col min="7209" max="7209" width="13.33203125" style="1" bestFit="1" customWidth="1"/>
    <col min="7210" max="7210" width="16.88671875" style="1" bestFit="1" customWidth="1"/>
    <col min="7211" max="7213" width="14.44140625" style="1" customWidth="1"/>
    <col min="7214" max="7214" width="9.88671875" style="1" customWidth="1"/>
    <col min="7215" max="7217" width="17" style="1" customWidth="1"/>
    <col min="7218" max="7218" width="9.109375" style="1"/>
    <col min="7219" max="7219" width="17" style="1" customWidth="1"/>
    <col min="7220" max="7220" width="10.44140625" style="1" customWidth="1"/>
    <col min="7221" max="7394" width="9.109375" style="1"/>
    <col min="7395" max="7395" width="18.44140625" style="1" customWidth="1"/>
    <col min="7396" max="7396" width="11.88671875" style="1" customWidth="1"/>
    <col min="7397" max="7398" width="10.109375" style="1" customWidth="1"/>
    <col min="7399" max="7400" width="13.6640625" style="1" customWidth="1"/>
    <col min="7401" max="7403" width="23.77734375" style="1" customWidth="1"/>
    <col min="7404" max="7406" width="9.109375" style="1"/>
    <col min="7407" max="7407" width="21" style="1" customWidth="1"/>
    <col min="7408" max="7408" width="12.33203125" style="1" customWidth="1"/>
    <col min="7409" max="7409" width="14" style="1" customWidth="1"/>
    <col min="7410" max="7410" width="10.109375" style="1" bestFit="1" customWidth="1"/>
    <col min="7411" max="7411" width="10.109375" style="1" customWidth="1"/>
    <col min="7412" max="7412" width="27.21875" style="1" customWidth="1"/>
    <col min="7413" max="7413" width="24.5546875" style="1" customWidth="1"/>
    <col min="7414" max="7414" width="16.21875" style="1" customWidth="1"/>
    <col min="7415" max="7415" width="16.33203125" style="1" customWidth="1"/>
    <col min="7416" max="7416" width="18.5546875" style="1" customWidth="1"/>
    <col min="7417" max="7417" width="20.33203125" style="1" customWidth="1"/>
    <col min="7418" max="7419" width="22.88671875" style="1" customWidth="1"/>
    <col min="7420" max="7423" width="18" style="1" customWidth="1"/>
    <col min="7424" max="7424" width="17.21875" style="1" customWidth="1"/>
    <col min="7425" max="7425" width="16.6640625" style="1" customWidth="1"/>
    <col min="7426" max="7426" width="17.44140625" style="1" customWidth="1"/>
    <col min="7427" max="7427" width="24.21875" style="1" customWidth="1"/>
    <col min="7428" max="7428" width="20.44140625" style="1" customWidth="1"/>
    <col min="7429" max="7429" width="41.5546875" style="1" customWidth="1"/>
    <col min="7430" max="7431" width="32.44140625" style="1" customWidth="1"/>
    <col min="7432" max="7436" width="41.5546875" style="1" customWidth="1"/>
    <col min="7437" max="7437" width="30.44140625" style="1" customWidth="1"/>
    <col min="7438" max="7438" width="22.33203125" style="1" customWidth="1"/>
    <col min="7439" max="7439" width="9.109375" style="1"/>
    <col min="7440" max="7440" width="22.88671875" style="1" customWidth="1"/>
    <col min="7441" max="7441" width="23.77734375" style="1" customWidth="1"/>
    <col min="7442" max="7442" width="74.44140625" style="1" customWidth="1"/>
    <col min="7443" max="7444" width="9.109375" style="1"/>
    <col min="7445" max="7445" width="14.109375" style="1" customWidth="1"/>
    <col min="7446" max="7446" width="12.44140625" style="1" customWidth="1"/>
    <col min="7447" max="7447" width="13.44140625" style="1" customWidth="1"/>
    <col min="7448" max="7448" width="11.109375" style="1" customWidth="1"/>
    <col min="7449" max="7452" width="17.33203125" style="1" customWidth="1"/>
    <col min="7453" max="7456" width="9.109375" style="1"/>
    <col min="7457" max="7458" width="22.33203125" style="1" customWidth="1"/>
    <col min="7459" max="7459" width="11.88671875" style="1" customWidth="1"/>
    <col min="7460" max="7460" width="10.109375" style="1" customWidth="1"/>
    <col min="7461" max="7462" width="9.109375" style="1"/>
    <col min="7463" max="7463" width="13.33203125" style="1" customWidth="1"/>
    <col min="7464" max="7464" width="11.44140625" style="1" customWidth="1"/>
    <col min="7465" max="7465" width="13.33203125" style="1" bestFit="1" customWidth="1"/>
    <col min="7466" max="7466" width="16.88671875" style="1" bestFit="1" customWidth="1"/>
    <col min="7467" max="7469" width="14.44140625" style="1" customWidth="1"/>
    <col min="7470" max="7470" width="9.88671875" style="1" customWidth="1"/>
    <col min="7471" max="7473" width="17" style="1" customWidth="1"/>
    <col min="7474" max="7474" width="9.109375" style="1"/>
    <col min="7475" max="7475" width="17" style="1" customWidth="1"/>
    <col min="7476" max="7476" width="10.44140625" style="1" customWidth="1"/>
    <col min="7477" max="7650" width="9.109375" style="1"/>
    <col min="7651" max="7651" width="18.44140625" style="1" customWidth="1"/>
    <col min="7652" max="7652" width="11.88671875" style="1" customWidth="1"/>
    <col min="7653" max="7654" width="10.109375" style="1" customWidth="1"/>
    <col min="7655" max="7656" width="13.6640625" style="1" customWidth="1"/>
    <col min="7657" max="7659" width="23.77734375" style="1" customWidth="1"/>
    <col min="7660" max="7662" width="9.109375" style="1"/>
    <col min="7663" max="7663" width="21" style="1" customWidth="1"/>
    <col min="7664" max="7664" width="12.33203125" style="1" customWidth="1"/>
    <col min="7665" max="7665" width="14" style="1" customWidth="1"/>
    <col min="7666" max="7666" width="10.109375" style="1" bestFit="1" customWidth="1"/>
    <col min="7667" max="7667" width="10.109375" style="1" customWidth="1"/>
    <col min="7668" max="7668" width="27.21875" style="1" customWidth="1"/>
    <col min="7669" max="7669" width="24.5546875" style="1" customWidth="1"/>
    <col min="7670" max="7670" width="16.21875" style="1" customWidth="1"/>
    <col min="7671" max="7671" width="16.33203125" style="1" customWidth="1"/>
    <col min="7672" max="7672" width="18.5546875" style="1" customWidth="1"/>
    <col min="7673" max="7673" width="20.33203125" style="1" customWidth="1"/>
    <col min="7674" max="7675" width="22.88671875" style="1" customWidth="1"/>
    <col min="7676" max="7679" width="18" style="1" customWidth="1"/>
    <col min="7680" max="7680" width="17.21875" style="1" customWidth="1"/>
    <col min="7681" max="7681" width="16.6640625" style="1" customWidth="1"/>
    <col min="7682" max="7682" width="17.44140625" style="1" customWidth="1"/>
    <col min="7683" max="7683" width="24.21875" style="1" customWidth="1"/>
    <col min="7684" max="7684" width="20.44140625" style="1" customWidth="1"/>
    <col min="7685" max="7685" width="41.5546875" style="1" customWidth="1"/>
    <col min="7686" max="7687" width="32.44140625" style="1" customWidth="1"/>
    <col min="7688" max="7692" width="41.5546875" style="1" customWidth="1"/>
    <col min="7693" max="7693" width="30.44140625" style="1" customWidth="1"/>
    <col min="7694" max="7694" width="22.33203125" style="1" customWidth="1"/>
    <col min="7695" max="7695" width="9.109375" style="1"/>
    <col min="7696" max="7696" width="22.88671875" style="1" customWidth="1"/>
    <col min="7697" max="7697" width="23.77734375" style="1" customWidth="1"/>
    <col min="7698" max="7698" width="74.44140625" style="1" customWidth="1"/>
    <col min="7699" max="7700" width="9.109375" style="1"/>
    <col min="7701" max="7701" width="14.109375" style="1" customWidth="1"/>
    <col min="7702" max="7702" width="12.44140625" style="1" customWidth="1"/>
    <col min="7703" max="7703" width="13.44140625" style="1" customWidth="1"/>
    <col min="7704" max="7704" width="11.109375" style="1" customWidth="1"/>
    <col min="7705" max="7708" width="17.33203125" style="1" customWidth="1"/>
    <col min="7709" max="7712" width="9.109375" style="1"/>
    <col min="7713" max="7714" width="22.33203125" style="1" customWidth="1"/>
    <col min="7715" max="7715" width="11.88671875" style="1" customWidth="1"/>
    <col min="7716" max="7716" width="10.109375" style="1" customWidth="1"/>
    <col min="7717" max="7718" width="9.109375" style="1"/>
    <col min="7719" max="7719" width="13.33203125" style="1" customWidth="1"/>
    <col min="7720" max="7720" width="11.44140625" style="1" customWidth="1"/>
    <col min="7721" max="7721" width="13.33203125" style="1" bestFit="1" customWidth="1"/>
    <col min="7722" max="7722" width="16.88671875" style="1" bestFit="1" customWidth="1"/>
    <col min="7723" max="7725" width="14.44140625" style="1" customWidth="1"/>
    <col min="7726" max="7726" width="9.88671875" style="1" customWidth="1"/>
    <col min="7727" max="7729" width="17" style="1" customWidth="1"/>
    <col min="7730" max="7730" width="9.109375" style="1"/>
    <col min="7731" max="7731" width="17" style="1" customWidth="1"/>
    <col min="7732" max="7732" width="10.44140625" style="1" customWidth="1"/>
    <col min="7733" max="7906" width="9.109375" style="1"/>
    <col min="7907" max="7907" width="18.44140625" style="1" customWidth="1"/>
    <col min="7908" max="7908" width="11.88671875" style="1" customWidth="1"/>
    <col min="7909" max="7910" width="10.109375" style="1" customWidth="1"/>
    <col min="7911" max="7912" width="13.6640625" style="1" customWidth="1"/>
    <col min="7913" max="7915" width="23.77734375" style="1" customWidth="1"/>
    <col min="7916" max="7918" width="9.109375" style="1"/>
    <col min="7919" max="7919" width="21" style="1" customWidth="1"/>
    <col min="7920" max="7920" width="12.33203125" style="1" customWidth="1"/>
    <col min="7921" max="7921" width="14" style="1" customWidth="1"/>
    <col min="7922" max="7922" width="10.109375" style="1" bestFit="1" customWidth="1"/>
    <col min="7923" max="7923" width="10.109375" style="1" customWidth="1"/>
    <col min="7924" max="7924" width="27.21875" style="1" customWidth="1"/>
    <col min="7925" max="7925" width="24.5546875" style="1" customWidth="1"/>
    <col min="7926" max="7926" width="16.21875" style="1" customWidth="1"/>
    <col min="7927" max="7927" width="16.33203125" style="1" customWidth="1"/>
    <col min="7928" max="7928" width="18.5546875" style="1" customWidth="1"/>
    <col min="7929" max="7929" width="20.33203125" style="1" customWidth="1"/>
    <col min="7930" max="7931" width="22.88671875" style="1" customWidth="1"/>
    <col min="7932" max="7935" width="18" style="1" customWidth="1"/>
    <col min="7936" max="7936" width="17.21875" style="1" customWidth="1"/>
    <col min="7937" max="7937" width="16.6640625" style="1" customWidth="1"/>
    <col min="7938" max="7938" width="17.44140625" style="1" customWidth="1"/>
    <col min="7939" max="7939" width="24.21875" style="1" customWidth="1"/>
    <col min="7940" max="7940" width="20.44140625" style="1" customWidth="1"/>
    <col min="7941" max="7941" width="41.5546875" style="1" customWidth="1"/>
    <col min="7942" max="7943" width="32.44140625" style="1" customWidth="1"/>
    <col min="7944" max="7948" width="41.5546875" style="1" customWidth="1"/>
    <col min="7949" max="7949" width="30.44140625" style="1" customWidth="1"/>
    <col min="7950" max="7950" width="22.33203125" style="1" customWidth="1"/>
    <col min="7951" max="7951" width="9.109375" style="1"/>
    <col min="7952" max="7952" width="22.88671875" style="1" customWidth="1"/>
    <col min="7953" max="7953" width="23.77734375" style="1" customWidth="1"/>
    <col min="7954" max="7954" width="74.44140625" style="1" customWidth="1"/>
    <col min="7955" max="7956" width="9.109375" style="1"/>
    <col min="7957" max="7957" width="14.109375" style="1" customWidth="1"/>
    <col min="7958" max="7958" width="12.44140625" style="1" customWidth="1"/>
    <col min="7959" max="7959" width="13.44140625" style="1" customWidth="1"/>
    <col min="7960" max="7960" width="11.109375" style="1" customWidth="1"/>
    <col min="7961" max="7964" width="17.33203125" style="1" customWidth="1"/>
    <col min="7965" max="7968" width="9.109375" style="1"/>
    <col min="7969" max="7970" width="22.33203125" style="1" customWidth="1"/>
    <col min="7971" max="7971" width="11.88671875" style="1" customWidth="1"/>
    <col min="7972" max="7972" width="10.109375" style="1" customWidth="1"/>
    <col min="7973" max="7974" width="9.109375" style="1"/>
    <col min="7975" max="7975" width="13.33203125" style="1" customWidth="1"/>
    <col min="7976" max="7976" width="11.44140625" style="1" customWidth="1"/>
    <col min="7977" max="7977" width="13.33203125" style="1" bestFit="1" customWidth="1"/>
    <col min="7978" max="7978" width="16.88671875" style="1" bestFit="1" customWidth="1"/>
    <col min="7979" max="7981" width="14.44140625" style="1" customWidth="1"/>
    <col min="7982" max="7982" width="9.88671875" style="1" customWidth="1"/>
    <col min="7983" max="7985" width="17" style="1" customWidth="1"/>
    <col min="7986" max="7986" width="9.109375" style="1"/>
    <col min="7987" max="7987" width="17" style="1" customWidth="1"/>
    <col min="7988" max="7988" width="10.44140625" style="1" customWidth="1"/>
    <col min="7989" max="8162" width="9.109375" style="1"/>
    <col min="8163" max="8163" width="18.44140625" style="1" customWidth="1"/>
    <col min="8164" max="8164" width="11.88671875" style="1" customWidth="1"/>
    <col min="8165" max="8166" width="10.109375" style="1" customWidth="1"/>
    <col min="8167" max="8168" width="13.6640625" style="1" customWidth="1"/>
    <col min="8169" max="8171" width="23.77734375" style="1" customWidth="1"/>
    <col min="8172" max="8174" width="9.109375" style="1"/>
    <col min="8175" max="8175" width="21" style="1" customWidth="1"/>
    <col min="8176" max="8176" width="12.33203125" style="1" customWidth="1"/>
    <col min="8177" max="8177" width="14" style="1" customWidth="1"/>
    <col min="8178" max="8178" width="10.109375" style="1" bestFit="1" customWidth="1"/>
    <col min="8179" max="8179" width="10.109375" style="1" customWidth="1"/>
    <col min="8180" max="8180" width="27.21875" style="1" customWidth="1"/>
    <col min="8181" max="8181" width="24.5546875" style="1" customWidth="1"/>
    <col min="8182" max="8182" width="16.21875" style="1" customWidth="1"/>
    <col min="8183" max="8183" width="16.33203125" style="1" customWidth="1"/>
    <col min="8184" max="8184" width="18.5546875" style="1" customWidth="1"/>
    <col min="8185" max="8185" width="20.33203125" style="1" customWidth="1"/>
    <col min="8186" max="8187" width="22.88671875" style="1" customWidth="1"/>
    <col min="8188" max="8191" width="18" style="1" customWidth="1"/>
    <col min="8192" max="8192" width="17.21875" style="1" customWidth="1"/>
    <col min="8193" max="8193" width="16.6640625" style="1" customWidth="1"/>
    <col min="8194" max="8194" width="17.44140625" style="1" customWidth="1"/>
    <col min="8195" max="8195" width="24.21875" style="1" customWidth="1"/>
    <col min="8196" max="8196" width="20.44140625" style="1" customWidth="1"/>
    <col min="8197" max="8197" width="41.5546875" style="1" customWidth="1"/>
    <col min="8198" max="8199" width="32.44140625" style="1" customWidth="1"/>
    <col min="8200" max="8204" width="41.5546875" style="1" customWidth="1"/>
    <col min="8205" max="8205" width="30.44140625" style="1" customWidth="1"/>
    <col min="8206" max="8206" width="22.33203125" style="1" customWidth="1"/>
    <col min="8207" max="8207" width="9.109375" style="1"/>
    <col min="8208" max="8208" width="22.88671875" style="1" customWidth="1"/>
    <col min="8209" max="8209" width="23.77734375" style="1" customWidth="1"/>
    <col min="8210" max="8210" width="74.44140625" style="1" customWidth="1"/>
    <col min="8211" max="8212" width="9.109375" style="1"/>
    <col min="8213" max="8213" width="14.109375" style="1" customWidth="1"/>
    <col min="8214" max="8214" width="12.44140625" style="1" customWidth="1"/>
    <col min="8215" max="8215" width="13.44140625" style="1" customWidth="1"/>
    <col min="8216" max="8216" width="11.109375" style="1" customWidth="1"/>
    <col min="8217" max="8220" width="17.33203125" style="1" customWidth="1"/>
    <col min="8221" max="8224" width="9.109375" style="1"/>
    <col min="8225" max="8226" width="22.33203125" style="1" customWidth="1"/>
    <col min="8227" max="8227" width="11.88671875" style="1" customWidth="1"/>
    <col min="8228" max="8228" width="10.109375" style="1" customWidth="1"/>
    <col min="8229" max="8230" width="9.109375" style="1"/>
    <col min="8231" max="8231" width="13.33203125" style="1" customWidth="1"/>
    <col min="8232" max="8232" width="11.44140625" style="1" customWidth="1"/>
    <col min="8233" max="8233" width="13.33203125" style="1" bestFit="1" customWidth="1"/>
    <col min="8234" max="8234" width="16.88671875" style="1" bestFit="1" customWidth="1"/>
    <col min="8235" max="8237" width="14.44140625" style="1" customWidth="1"/>
    <col min="8238" max="8238" width="9.88671875" style="1" customWidth="1"/>
    <col min="8239" max="8241" width="17" style="1" customWidth="1"/>
    <col min="8242" max="8242" width="9.109375" style="1"/>
    <col min="8243" max="8243" width="17" style="1" customWidth="1"/>
    <col min="8244" max="8244" width="10.44140625" style="1" customWidth="1"/>
    <col min="8245" max="8418" width="9.109375" style="1"/>
    <col min="8419" max="8419" width="18.44140625" style="1" customWidth="1"/>
    <col min="8420" max="8420" width="11.88671875" style="1" customWidth="1"/>
    <col min="8421" max="8422" width="10.109375" style="1" customWidth="1"/>
    <col min="8423" max="8424" width="13.6640625" style="1" customWidth="1"/>
    <col min="8425" max="8427" width="23.77734375" style="1" customWidth="1"/>
    <col min="8428" max="8430" width="9.109375" style="1"/>
    <col min="8431" max="8431" width="21" style="1" customWidth="1"/>
    <col min="8432" max="8432" width="12.33203125" style="1" customWidth="1"/>
    <col min="8433" max="8433" width="14" style="1" customWidth="1"/>
    <col min="8434" max="8434" width="10.109375" style="1" bestFit="1" customWidth="1"/>
    <col min="8435" max="8435" width="10.109375" style="1" customWidth="1"/>
    <col min="8436" max="8436" width="27.21875" style="1" customWidth="1"/>
    <col min="8437" max="8437" width="24.5546875" style="1" customWidth="1"/>
    <col min="8438" max="8438" width="16.21875" style="1" customWidth="1"/>
    <col min="8439" max="8439" width="16.33203125" style="1" customWidth="1"/>
    <col min="8440" max="8440" width="18.5546875" style="1" customWidth="1"/>
    <col min="8441" max="8441" width="20.33203125" style="1" customWidth="1"/>
    <col min="8442" max="8443" width="22.88671875" style="1" customWidth="1"/>
    <col min="8444" max="8447" width="18" style="1" customWidth="1"/>
    <col min="8448" max="8448" width="17.21875" style="1" customWidth="1"/>
    <col min="8449" max="8449" width="16.6640625" style="1" customWidth="1"/>
    <col min="8450" max="8450" width="17.44140625" style="1" customWidth="1"/>
    <col min="8451" max="8451" width="24.21875" style="1" customWidth="1"/>
    <col min="8452" max="8452" width="20.44140625" style="1" customWidth="1"/>
    <col min="8453" max="8453" width="41.5546875" style="1" customWidth="1"/>
    <col min="8454" max="8455" width="32.44140625" style="1" customWidth="1"/>
    <col min="8456" max="8460" width="41.5546875" style="1" customWidth="1"/>
    <col min="8461" max="8461" width="30.44140625" style="1" customWidth="1"/>
    <col min="8462" max="8462" width="22.33203125" style="1" customWidth="1"/>
    <col min="8463" max="8463" width="9.109375" style="1"/>
    <col min="8464" max="8464" width="22.88671875" style="1" customWidth="1"/>
    <col min="8465" max="8465" width="23.77734375" style="1" customWidth="1"/>
    <col min="8466" max="8466" width="74.44140625" style="1" customWidth="1"/>
    <col min="8467" max="8468" width="9.109375" style="1"/>
    <col min="8469" max="8469" width="14.109375" style="1" customWidth="1"/>
    <col min="8470" max="8470" width="12.44140625" style="1" customWidth="1"/>
    <col min="8471" max="8471" width="13.44140625" style="1" customWidth="1"/>
    <col min="8472" max="8472" width="11.109375" style="1" customWidth="1"/>
    <col min="8473" max="8476" width="17.33203125" style="1" customWidth="1"/>
    <col min="8477" max="8480" width="9.109375" style="1"/>
    <col min="8481" max="8482" width="22.33203125" style="1" customWidth="1"/>
    <col min="8483" max="8483" width="11.88671875" style="1" customWidth="1"/>
    <col min="8484" max="8484" width="10.109375" style="1" customWidth="1"/>
    <col min="8485" max="8486" width="9.109375" style="1"/>
    <col min="8487" max="8487" width="13.33203125" style="1" customWidth="1"/>
    <col min="8488" max="8488" width="11.44140625" style="1" customWidth="1"/>
    <col min="8489" max="8489" width="13.33203125" style="1" bestFit="1" customWidth="1"/>
    <col min="8490" max="8490" width="16.88671875" style="1" bestFit="1" customWidth="1"/>
    <col min="8491" max="8493" width="14.44140625" style="1" customWidth="1"/>
    <col min="8494" max="8494" width="9.88671875" style="1" customWidth="1"/>
    <col min="8495" max="8497" width="17" style="1" customWidth="1"/>
    <col min="8498" max="8498" width="9.109375" style="1"/>
    <col min="8499" max="8499" width="17" style="1" customWidth="1"/>
    <col min="8500" max="8500" width="10.44140625" style="1" customWidth="1"/>
    <col min="8501" max="8674" width="9.109375" style="1"/>
    <col min="8675" max="8675" width="18.44140625" style="1" customWidth="1"/>
    <col min="8676" max="8676" width="11.88671875" style="1" customWidth="1"/>
    <col min="8677" max="8678" width="10.109375" style="1" customWidth="1"/>
    <col min="8679" max="8680" width="13.6640625" style="1" customWidth="1"/>
    <col min="8681" max="8683" width="23.77734375" style="1" customWidth="1"/>
    <col min="8684" max="8686" width="9.109375" style="1"/>
    <col min="8687" max="8687" width="21" style="1" customWidth="1"/>
    <col min="8688" max="8688" width="12.33203125" style="1" customWidth="1"/>
    <col min="8689" max="8689" width="14" style="1" customWidth="1"/>
    <col min="8690" max="8690" width="10.109375" style="1" bestFit="1" customWidth="1"/>
    <col min="8691" max="8691" width="10.109375" style="1" customWidth="1"/>
    <col min="8692" max="8692" width="27.21875" style="1" customWidth="1"/>
    <col min="8693" max="8693" width="24.5546875" style="1" customWidth="1"/>
    <col min="8694" max="8694" width="16.21875" style="1" customWidth="1"/>
    <col min="8695" max="8695" width="16.33203125" style="1" customWidth="1"/>
    <col min="8696" max="8696" width="18.5546875" style="1" customWidth="1"/>
    <col min="8697" max="8697" width="20.33203125" style="1" customWidth="1"/>
    <col min="8698" max="8699" width="22.88671875" style="1" customWidth="1"/>
    <col min="8700" max="8703" width="18" style="1" customWidth="1"/>
    <col min="8704" max="8704" width="17.21875" style="1" customWidth="1"/>
    <col min="8705" max="8705" width="16.6640625" style="1" customWidth="1"/>
    <col min="8706" max="8706" width="17.44140625" style="1" customWidth="1"/>
    <col min="8707" max="8707" width="24.21875" style="1" customWidth="1"/>
    <col min="8708" max="8708" width="20.44140625" style="1" customWidth="1"/>
    <col min="8709" max="8709" width="41.5546875" style="1" customWidth="1"/>
    <col min="8710" max="8711" width="32.44140625" style="1" customWidth="1"/>
    <col min="8712" max="8716" width="41.5546875" style="1" customWidth="1"/>
    <col min="8717" max="8717" width="30.44140625" style="1" customWidth="1"/>
    <col min="8718" max="8718" width="22.33203125" style="1" customWidth="1"/>
    <col min="8719" max="8719" width="9.109375" style="1"/>
    <col min="8720" max="8720" width="22.88671875" style="1" customWidth="1"/>
    <col min="8721" max="8721" width="23.77734375" style="1" customWidth="1"/>
    <col min="8722" max="8722" width="74.44140625" style="1" customWidth="1"/>
    <col min="8723" max="8724" width="9.109375" style="1"/>
    <col min="8725" max="8725" width="14.109375" style="1" customWidth="1"/>
    <col min="8726" max="8726" width="12.44140625" style="1" customWidth="1"/>
    <col min="8727" max="8727" width="13.44140625" style="1" customWidth="1"/>
    <col min="8728" max="8728" width="11.109375" style="1" customWidth="1"/>
    <col min="8729" max="8732" width="17.33203125" style="1" customWidth="1"/>
    <col min="8733" max="8736" width="9.109375" style="1"/>
    <col min="8737" max="8738" width="22.33203125" style="1" customWidth="1"/>
    <col min="8739" max="8739" width="11.88671875" style="1" customWidth="1"/>
    <col min="8740" max="8740" width="10.109375" style="1" customWidth="1"/>
    <col min="8741" max="8742" width="9.109375" style="1"/>
    <col min="8743" max="8743" width="13.33203125" style="1" customWidth="1"/>
    <col min="8744" max="8744" width="11.44140625" style="1" customWidth="1"/>
    <col min="8745" max="8745" width="13.33203125" style="1" bestFit="1" customWidth="1"/>
    <col min="8746" max="8746" width="16.88671875" style="1" bestFit="1" customWidth="1"/>
    <col min="8747" max="8749" width="14.44140625" style="1" customWidth="1"/>
    <col min="8750" max="8750" width="9.88671875" style="1" customWidth="1"/>
    <col min="8751" max="8753" width="17" style="1" customWidth="1"/>
    <col min="8754" max="8754" width="9.109375" style="1"/>
    <col min="8755" max="8755" width="17" style="1" customWidth="1"/>
    <col min="8756" max="8756" width="10.44140625" style="1" customWidth="1"/>
    <col min="8757" max="8930" width="9.109375" style="1"/>
    <col min="8931" max="8931" width="18.44140625" style="1" customWidth="1"/>
    <col min="8932" max="8932" width="11.88671875" style="1" customWidth="1"/>
    <col min="8933" max="8934" width="10.109375" style="1" customWidth="1"/>
    <col min="8935" max="8936" width="13.6640625" style="1" customWidth="1"/>
    <col min="8937" max="8939" width="23.77734375" style="1" customWidth="1"/>
    <col min="8940" max="8942" width="9.109375" style="1"/>
    <col min="8943" max="8943" width="21" style="1" customWidth="1"/>
    <col min="8944" max="8944" width="12.33203125" style="1" customWidth="1"/>
    <col min="8945" max="8945" width="14" style="1" customWidth="1"/>
    <col min="8946" max="8946" width="10.109375" style="1" bestFit="1" customWidth="1"/>
    <col min="8947" max="8947" width="10.109375" style="1" customWidth="1"/>
    <col min="8948" max="8948" width="27.21875" style="1" customWidth="1"/>
    <col min="8949" max="8949" width="24.5546875" style="1" customWidth="1"/>
    <col min="8950" max="8950" width="16.21875" style="1" customWidth="1"/>
    <col min="8951" max="8951" width="16.33203125" style="1" customWidth="1"/>
    <col min="8952" max="8952" width="18.5546875" style="1" customWidth="1"/>
    <col min="8953" max="8953" width="20.33203125" style="1" customWidth="1"/>
    <col min="8954" max="8955" width="22.88671875" style="1" customWidth="1"/>
    <col min="8956" max="8959" width="18" style="1" customWidth="1"/>
    <col min="8960" max="8960" width="17.21875" style="1" customWidth="1"/>
    <col min="8961" max="8961" width="16.6640625" style="1" customWidth="1"/>
    <col min="8962" max="8962" width="17.44140625" style="1" customWidth="1"/>
    <col min="8963" max="8963" width="24.21875" style="1" customWidth="1"/>
    <col min="8964" max="8964" width="20.44140625" style="1" customWidth="1"/>
    <col min="8965" max="8965" width="41.5546875" style="1" customWidth="1"/>
    <col min="8966" max="8967" width="32.44140625" style="1" customWidth="1"/>
    <col min="8968" max="8972" width="41.5546875" style="1" customWidth="1"/>
    <col min="8973" max="8973" width="30.44140625" style="1" customWidth="1"/>
    <col min="8974" max="8974" width="22.33203125" style="1" customWidth="1"/>
    <col min="8975" max="8975" width="9.109375" style="1"/>
    <col min="8976" max="8976" width="22.88671875" style="1" customWidth="1"/>
    <col min="8977" max="8977" width="23.77734375" style="1" customWidth="1"/>
    <col min="8978" max="8978" width="74.44140625" style="1" customWidth="1"/>
    <col min="8979" max="8980" width="9.109375" style="1"/>
    <col min="8981" max="8981" width="14.109375" style="1" customWidth="1"/>
    <col min="8982" max="8982" width="12.44140625" style="1" customWidth="1"/>
    <col min="8983" max="8983" width="13.44140625" style="1" customWidth="1"/>
    <col min="8984" max="8984" width="11.109375" style="1" customWidth="1"/>
    <col min="8985" max="8988" width="17.33203125" style="1" customWidth="1"/>
    <col min="8989" max="8992" width="9.109375" style="1"/>
    <col min="8993" max="8994" width="22.33203125" style="1" customWidth="1"/>
    <col min="8995" max="8995" width="11.88671875" style="1" customWidth="1"/>
    <col min="8996" max="8996" width="10.109375" style="1" customWidth="1"/>
    <col min="8997" max="8998" width="9.109375" style="1"/>
    <col min="8999" max="8999" width="13.33203125" style="1" customWidth="1"/>
    <col min="9000" max="9000" width="11.44140625" style="1" customWidth="1"/>
    <col min="9001" max="9001" width="13.33203125" style="1" bestFit="1" customWidth="1"/>
    <col min="9002" max="9002" width="16.88671875" style="1" bestFit="1" customWidth="1"/>
    <col min="9003" max="9005" width="14.44140625" style="1" customWidth="1"/>
    <col min="9006" max="9006" width="9.88671875" style="1" customWidth="1"/>
    <col min="9007" max="9009" width="17" style="1" customWidth="1"/>
    <col min="9010" max="9010" width="9.109375" style="1"/>
    <col min="9011" max="9011" width="17" style="1" customWidth="1"/>
    <col min="9012" max="9012" width="10.44140625" style="1" customWidth="1"/>
    <col min="9013" max="9186" width="9.109375" style="1"/>
    <col min="9187" max="9187" width="18.44140625" style="1" customWidth="1"/>
    <col min="9188" max="9188" width="11.88671875" style="1" customWidth="1"/>
    <col min="9189" max="9190" width="10.109375" style="1" customWidth="1"/>
    <col min="9191" max="9192" width="13.6640625" style="1" customWidth="1"/>
    <col min="9193" max="9195" width="23.77734375" style="1" customWidth="1"/>
    <col min="9196" max="9198" width="9.109375" style="1"/>
    <col min="9199" max="9199" width="21" style="1" customWidth="1"/>
    <col min="9200" max="9200" width="12.33203125" style="1" customWidth="1"/>
    <col min="9201" max="9201" width="14" style="1" customWidth="1"/>
    <col min="9202" max="9202" width="10.109375" style="1" bestFit="1" customWidth="1"/>
    <col min="9203" max="9203" width="10.109375" style="1" customWidth="1"/>
    <col min="9204" max="9204" width="27.21875" style="1" customWidth="1"/>
    <col min="9205" max="9205" width="24.5546875" style="1" customWidth="1"/>
    <col min="9206" max="9206" width="16.21875" style="1" customWidth="1"/>
    <col min="9207" max="9207" width="16.33203125" style="1" customWidth="1"/>
    <col min="9208" max="9208" width="18.5546875" style="1" customWidth="1"/>
    <col min="9209" max="9209" width="20.33203125" style="1" customWidth="1"/>
    <col min="9210" max="9211" width="22.88671875" style="1" customWidth="1"/>
    <col min="9212" max="9215" width="18" style="1" customWidth="1"/>
    <col min="9216" max="9216" width="17.21875" style="1" customWidth="1"/>
    <col min="9217" max="9217" width="16.6640625" style="1" customWidth="1"/>
    <col min="9218" max="9218" width="17.44140625" style="1" customWidth="1"/>
    <col min="9219" max="9219" width="24.21875" style="1" customWidth="1"/>
    <col min="9220" max="9220" width="20.44140625" style="1" customWidth="1"/>
    <col min="9221" max="9221" width="41.5546875" style="1" customWidth="1"/>
    <col min="9222" max="9223" width="32.44140625" style="1" customWidth="1"/>
    <col min="9224" max="9228" width="41.5546875" style="1" customWidth="1"/>
    <col min="9229" max="9229" width="30.44140625" style="1" customWidth="1"/>
    <col min="9230" max="9230" width="22.33203125" style="1" customWidth="1"/>
    <col min="9231" max="9231" width="9.109375" style="1"/>
    <col min="9232" max="9232" width="22.88671875" style="1" customWidth="1"/>
    <col min="9233" max="9233" width="23.77734375" style="1" customWidth="1"/>
    <col min="9234" max="9234" width="74.44140625" style="1" customWidth="1"/>
    <col min="9235" max="9236" width="9.109375" style="1"/>
    <col min="9237" max="9237" width="14.109375" style="1" customWidth="1"/>
    <col min="9238" max="9238" width="12.44140625" style="1" customWidth="1"/>
    <col min="9239" max="9239" width="13.44140625" style="1" customWidth="1"/>
    <col min="9240" max="9240" width="11.109375" style="1" customWidth="1"/>
    <col min="9241" max="9244" width="17.33203125" style="1" customWidth="1"/>
    <col min="9245" max="9248" width="9.109375" style="1"/>
    <col min="9249" max="9250" width="22.33203125" style="1" customWidth="1"/>
    <col min="9251" max="9251" width="11.88671875" style="1" customWidth="1"/>
    <col min="9252" max="9252" width="10.109375" style="1" customWidth="1"/>
    <col min="9253" max="9254" width="9.109375" style="1"/>
    <col min="9255" max="9255" width="13.33203125" style="1" customWidth="1"/>
    <col min="9256" max="9256" width="11.44140625" style="1" customWidth="1"/>
    <col min="9257" max="9257" width="13.33203125" style="1" bestFit="1" customWidth="1"/>
    <col min="9258" max="9258" width="16.88671875" style="1" bestFit="1" customWidth="1"/>
    <col min="9259" max="9261" width="14.44140625" style="1" customWidth="1"/>
    <col min="9262" max="9262" width="9.88671875" style="1" customWidth="1"/>
    <col min="9263" max="9265" width="17" style="1" customWidth="1"/>
    <col min="9266" max="9266" width="9.109375" style="1"/>
    <col min="9267" max="9267" width="17" style="1" customWidth="1"/>
    <col min="9268" max="9268" width="10.44140625" style="1" customWidth="1"/>
    <col min="9269" max="9442" width="9.109375" style="1"/>
    <col min="9443" max="9443" width="18.44140625" style="1" customWidth="1"/>
    <col min="9444" max="9444" width="11.88671875" style="1" customWidth="1"/>
    <col min="9445" max="9446" width="10.109375" style="1" customWidth="1"/>
    <col min="9447" max="9448" width="13.6640625" style="1" customWidth="1"/>
    <col min="9449" max="9451" width="23.77734375" style="1" customWidth="1"/>
    <col min="9452" max="9454" width="9.109375" style="1"/>
    <col min="9455" max="9455" width="21" style="1" customWidth="1"/>
    <col min="9456" max="9456" width="12.33203125" style="1" customWidth="1"/>
    <col min="9457" max="9457" width="14" style="1" customWidth="1"/>
    <col min="9458" max="9458" width="10.109375" style="1" bestFit="1" customWidth="1"/>
    <col min="9459" max="9459" width="10.109375" style="1" customWidth="1"/>
    <col min="9460" max="9460" width="27.21875" style="1" customWidth="1"/>
    <col min="9461" max="9461" width="24.5546875" style="1" customWidth="1"/>
    <col min="9462" max="9462" width="16.21875" style="1" customWidth="1"/>
    <col min="9463" max="9463" width="16.33203125" style="1" customWidth="1"/>
    <col min="9464" max="9464" width="18.5546875" style="1" customWidth="1"/>
    <col min="9465" max="9465" width="20.33203125" style="1" customWidth="1"/>
    <col min="9466" max="9467" width="22.88671875" style="1" customWidth="1"/>
    <col min="9468" max="9471" width="18" style="1" customWidth="1"/>
    <col min="9472" max="9472" width="17.21875" style="1" customWidth="1"/>
    <col min="9473" max="9473" width="16.6640625" style="1" customWidth="1"/>
    <col min="9474" max="9474" width="17.44140625" style="1" customWidth="1"/>
    <col min="9475" max="9475" width="24.21875" style="1" customWidth="1"/>
    <col min="9476" max="9476" width="20.44140625" style="1" customWidth="1"/>
    <col min="9477" max="9477" width="41.5546875" style="1" customWidth="1"/>
    <col min="9478" max="9479" width="32.44140625" style="1" customWidth="1"/>
    <col min="9480" max="9484" width="41.5546875" style="1" customWidth="1"/>
    <col min="9485" max="9485" width="30.44140625" style="1" customWidth="1"/>
    <col min="9486" max="9486" width="22.33203125" style="1" customWidth="1"/>
    <col min="9487" max="9487" width="9.109375" style="1"/>
    <col min="9488" max="9488" width="22.88671875" style="1" customWidth="1"/>
    <col min="9489" max="9489" width="23.77734375" style="1" customWidth="1"/>
    <col min="9490" max="9490" width="74.44140625" style="1" customWidth="1"/>
    <col min="9491" max="9492" width="9.109375" style="1"/>
    <col min="9493" max="9493" width="14.109375" style="1" customWidth="1"/>
    <col min="9494" max="9494" width="12.44140625" style="1" customWidth="1"/>
    <col min="9495" max="9495" width="13.44140625" style="1" customWidth="1"/>
    <col min="9496" max="9496" width="11.109375" style="1" customWidth="1"/>
    <col min="9497" max="9500" width="17.33203125" style="1" customWidth="1"/>
    <col min="9501" max="9504" width="9.109375" style="1"/>
    <col min="9505" max="9506" width="22.33203125" style="1" customWidth="1"/>
    <col min="9507" max="9507" width="11.88671875" style="1" customWidth="1"/>
    <col min="9508" max="9508" width="10.109375" style="1" customWidth="1"/>
    <col min="9509" max="9510" width="9.109375" style="1"/>
    <col min="9511" max="9511" width="13.33203125" style="1" customWidth="1"/>
    <col min="9512" max="9512" width="11.44140625" style="1" customWidth="1"/>
    <col min="9513" max="9513" width="13.33203125" style="1" bestFit="1" customWidth="1"/>
    <col min="9514" max="9514" width="16.88671875" style="1" bestFit="1" customWidth="1"/>
    <col min="9515" max="9517" width="14.44140625" style="1" customWidth="1"/>
    <col min="9518" max="9518" width="9.88671875" style="1" customWidth="1"/>
    <col min="9519" max="9521" width="17" style="1" customWidth="1"/>
    <col min="9522" max="9522" width="9.109375" style="1"/>
    <col min="9523" max="9523" width="17" style="1" customWidth="1"/>
    <col min="9524" max="9524" width="10.44140625" style="1" customWidth="1"/>
    <col min="9525" max="9698" width="9.109375" style="1"/>
    <col min="9699" max="9699" width="18.44140625" style="1" customWidth="1"/>
    <col min="9700" max="9700" width="11.88671875" style="1" customWidth="1"/>
    <col min="9701" max="9702" width="10.109375" style="1" customWidth="1"/>
    <col min="9703" max="9704" width="13.6640625" style="1" customWidth="1"/>
    <col min="9705" max="9707" width="23.77734375" style="1" customWidth="1"/>
    <col min="9708" max="9710" width="9.109375" style="1"/>
    <col min="9711" max="9711" width="21" style="1" customWidth="1"/>
    <col min="9712" max="9712" width="12.33203125" style="1" customWidth="1"/>
    <col min="9713" max="9713" width="14" style="1" customWidth="1"/>
    <col min="9714" max="9714" width="10.109375" style="1" bestFit="1" customWidth="1"/>
    <col min="9715" max="9715" width="10.109375" style="1" customWidth="1"/>
    <col min="9716" max="9716" width="27.21875" style="1" customWidth="1"/>
    <col min="9717" max="9717" width="24.5546875" style="1" customWidth="1"/>
    <col min="9718" max="9718" width="16.21875" style="1" customWidth="1"/>
    <col min="9719" max="9719" width="16.33203125" style="1" customWidth="1"/>
    <col min="9720" max="9720" width="18.5546875" style="1" customWidth="1"/>
    <col min="9721" max="9721" width="20.33203125" style="1" customWidth="1"/>
    <col min="9722" max="9723" width="22.88671875" style="1" customWidth="1"/>
    <col min="9724" max="9727" width="18" style="1" customWidth="1"/>
    <col min="9728" max="9728" width="17.21875" style="1" customWidth="1"/>
    <col min="9729" max="9729" width="16.6640625" style="1" customWidth="1"/>
    <col min="9730" max="9730" width="17.44140625" style="1" customWidth="1"/>
    <col min="9731" max="9731" width="24.21875" style="1" customWidth="1"/>
    <col min="9732" max="9732" width="20.44140625" style="1" customWidth="1"/>
    <col min="9733" max="9733" width="41.5546875" style="1" customWidth="1"/>
    <col min="9734" max="9735" width="32.44140625" style="1" customWidth="1"/>
    <col min="9736" max="9740" width="41.5546875" style="1" customWidth="1"/>
    <col min="9741" max="9741" width="30.44140625" style="1" customWidth="1"/>
    <col min="9742" max="9742" width="22.33203125" style="1" customWidth="1"/>
    <col min="9743" max="9743" width="9.109375" style="1"/>
    <col min="9744" max="9744" width="22.88671875" style="1" customWidth="1"/>
    <col min="9745" max="9745" width="23.77734375" style="1" customWidth="1"/>
    <col min="9746" max="9746" width="74.44140625" style="1" customWidth="1"/>
    <col min="9747" max="9748" width="9.109375" style="1"/>
    <col min="9749" max="9749" width="14.109375" style="1" customWidth="1"/>
    <col min="9750" max="9750" width="12.44140625" style="1" customWidth="1"/>
    <col min="9751" max="9751" width="13.44140625" style="1" customWidth="1"/>
    <col min="9752" max="9752" width="11.109375" style="1" customWidth="1"/>
    <col min="9753" max="9756" width="17.33203125" style="1" customWidth="1"/>
    <col min="9757" max="9760" width="9.109375" style="1"/>
    <col min="9761" max="9762" width="22.33203125" style="1" customWidth="1"/>
    <col min="9763" max="9763" width="11.88671875" style="1" customWidth="1"/>
    <col min="9764" max="9764" width="10.109375" style="1" customWidth="1"/>
    <col min="9765" max="9766" width="9.109375" style="1"/>
    <col min="9767" max="9767" width="13.33203125" style="1" customWidth="1"/>
    <col min="9768" max="9768" width="11.44140625" style="1" customWidth="1"/>
    <col min="9769" max="9769" width="13.33203125" style="1" bestFit="1" customWidth="1"/>
    <col min="9770" max="9770" width="16.88671875" style="1" bestFit="1" customWidth="1"/>
    <col min="9771" max="9773" width="14.44140625" style="1" customWidth="1"/>
    <col min="9774" max="9774" width="9.88671875" style="1" customWidth="1"/>
    <col min="9775" max="9777" width="17" style="1" customWidth="1"/>
    <col min="9778" max="9778" width="9.109375" style="1"/>
    <col min="9779" max="9779" width="17" style="1" customWidth="1"/>
    <col min="9780" max="9780" width="10.44140625" style="1" customWidth="1"/>
    <col min="9781" max="9954" width="9.109375" style="1"/>
    <col min="9955" max="9955" width="18.44140625" style="1" customWidth="1"/>
    <col min="9956" max="9956" width="11.88671875" style="1" customWidth="1"/>
    <col min="9957" max="9958" width="10.109375" style="1" customWidth="1"/>
    <col min="9959" max="9960" width="13.6640625" style="1" customWidth="1"/>
    <col min="9961" max="9963" width="23.77734375" style="1" customWidth="1"/>
    <col min="9964" max="9966" width="9.109375" style="1"/>
    <col min="9967" max="9967" width="21" style="1" customWidth="1"/>
    <col min="9968" max="9968" width="12.33203125" style="1" customWidth="1"/>
    <col min="9969" max="9969" width="14" style="1" customWidth="1"/>
    <col min="9970" max="9970" width="10.109375" style="1" bestFit="1" customWidth="1"/>
    <col min="9971" max="9971" width="10.109375" style="1" customWidth="1"/>
    <col min="9972" max="9972" width="27.21875" style="1" customWidth="1"/>
    <col min="9973" max="9973" width="24.5546875" style="1" customWidth="1"/>
    <col min="9974" max="9974" width="16.21875" style="1" customWidth="1"/>
    <col min="9975" max="9975" width="16.33203125" style="1" customWidth="1"/>
    <col min="9976" max="9976" width="18.5546875" style="1" customWidth="1"/>
    <col min="9977" max="9977" width="20.33203125" style="1" customWidth="1"/>
    <col min="9978" max="9979" width="22.88671875" style="1" customWidth="1"/>
    <col min="9980" max="9983" width="18" style="1" customWidth="1"/>
    <col min="9984" max="9984" width="17.21875" style="1" customWidth="1"/>
    <col min="9985" max="9985" width="16.6640625" style="1" customWidth="1"/>
    <col min="9986" max="9986" width="17.44140625" style="1" customWidth="1"/>
    <col min="9987" max="9987" width="24.21875" style="1" customWidth="1"/>
    <col min="9988" max="9988" width="20.44140625" style="1" customWidth="1"/>
    <col min="9989" max="9989" width="41.5546875" style="1" customWidth="1"/>
    <col min="9990" max="9991" width="32.44140625" style="1" customWidth="1"/>
    <col min="9992" max="9996" width="41.5546875" style="1" customWidth="1"/>
    <col min="9997" max="9997" width="30.44140625" style="1" customWidth="1"/>
    <col min="9998" max="9998" width="22.33203125" style="1" customWidth="1"/>
    <col min="9999" max="9999" width="9.109375" style="1"/>
    <col min="10000" max="10000" width="22.88671875" style="1" customWidth="1"/>
    <col min="10001" max="10001" width="23.77734375" style="1" customWidth="1"/>
    <col min="10002" max="10002" width="74.44140625" style="1" customWidth="1"/>
    <col min="10003" max="10004" width="9.109375" style="1"/>
    <col min="10005" max="10005" width="14.109375" style="1" customWidth="1"/>
    <col min="10006" max="10006" width="12.44140625" style="1" customWidth="1"/>
    <col min="10007" max="10007" width="13.44140625" style="1" customWidth="1"/>
    <col min="10008" max="10008" width="11.109375" style="1" customWidth="1"/>
    <col min="10009" max="10012" width="17.33203125" style="1" customWidth="1"/>
    <col min="10013" max="10016" width="9.109375" style="1"/>
    <col min="10017" max="10018" width="22.33203125" style="1" customWidth="1"/>
    <col min="10019" max="10019" width="11.88671875" style="1" customWidth="1"/>
    <col min="10020" max="10020" width="10.109375" style="1" customWidth="1"/>
    <col min="10021" max="10022" width="9.109375" style="1"/>
    <col min="10023" max="10023" width="13.33203125" style="1" customWidth="1"/>
    <col min="10024" max="10024" width="11.44140625" style="1" customWidth="1"/>
    <col min="10025" max="10025" width="13.33203125" style="1" bestFit="1" customWidth="1"/>
    <col min="10026" max="10026" width="16.88671875" style="1" bestFit="1" customWidth="1"/>
    <col min="10027" max="10029" width="14.44140625" style="1" customWidth="1"/>
    <col min="10030" max="10030" width="9.88671875" style="1" customWidth="1"/>
    <col min="10031" max="10033" width="17" style="1" customWidth="1"/>
    <col min="10034" max="10034" width="9.109375" style="1"/>
    <col min="10035" max="10035" width="17" style="1" customWidth="1"/>
    <col min="10036" max="10036" width="10.44140625" style="1" customWidth="1"/>
    <col min="10037" max="10210" width="9.109375" style="1"/>
    <col min="10211" max="10211" width="18.44140625" style="1" customWidth="1"/>
    <col min="10212" max="10212" width="11.88671875" style="1" customWidth="1"/>
    <col min="10213" max="10214" width="10.109375" style="1" customWidth="1"/>
    <col min="10215" max="10216" width="13.6640625" style="1" customWidth="1"/>
    <col min="10217" max="10219" width="23.77734375" style="1" customWidth="1"/>
    <col min="10220" max="10222" width="9.109375" style="1"/>
    <col min="10223" max="10223" width="21" style="1" customWidth="1"/>
    <col min="10224" max="10224" width="12.33203125" style="1" customWidth="1"/>
    <col min="10225" max="10225" width="14" style="1" customWidth="1"/>
    <col min="10226" max="10226" width="10.109375" style="1" bestFit="1" customWidth="1"/>
    <col min="10227" max="10227" width="10.109375" style="1" customWidth="1"/>
    <col min="10228" max="10228" width="27.21875" style="1" customWidth="1"/>
    <col min="10229" max="10229" width="24.5546875" style="1" customWidth="1"/>
    <col min="10230" max="10230" width="16.21875" style="1" customWidth="1"/>
    <col min="10231" max="10231" width="16.33203125" style="1" customWidth="1"/>
    <col min="10232" max="10232" width="18.5546875" style="1" customWidth="1"/>
    <col min="10233" max="10233" width="20.33203125" style="1" customWidth="1"/>
    <col min="10234" max="10235" width="22.88671875" style="1" customWidth="1"/>
    <col min="10236" max="10239" width="18" style="1" customWidth="1"/>
    <col min="10240" max="10240" width="17.21875" style="1" customWidth="1"/>
    <col min="10241" max="10241" width="16.6640625" style="1" customWidth="1"/>
    <col min="10242" max="10242" width="17.44140625" style="1" customWidth="1"/>
    <col min="10243" max="10243" width="24.21875" style="1" customWidth="1"/>
    <col min="10244" max="10244" width="20.44140625" style="1" customWidth="1"/>
    <col min="10245" max="10245" width="41.5546875" style="1" customWidth="1"/>
    <col min="10246" max="10247" width="32.44140625" style="1" customWidth="1"/>
    <col min="10248" max="10252" width="41.5546875" style="1" customWidth="1"/>
    <col min="10253" max="10253" width="30.44140625" style="1" customWidth="1"/>
    <col min="10254" max="10254" width="22.33203125" style="1" customWidth="1"/>
    <col min="10255" max="10255" width="9.109375" style="1"/>
    <col min="10256" max="10256" width="22.88671875" style="1" customWidth="1"/>
    <col min="10257" max="10257" width="23.77734375" style="1" customWidth="1"/>
    <col min="10258" max="10258" width="74.44140625" style="1" customWidth="1"/>
    <col min="10259" max="10260" width="9.109375" style="1"/>
    <col min="10261" max="10261" width="14.109375" style="1" customWidth="1"/>
    <col min="10262" max="10262" width="12.44140625" style="1" customWidth="1"/>
    <col min="10263" max="10263" width="13.44140625" style="1" customWidth="1"/>
    <col min="10264" max="10264" width="11.109375" style="1" customWidth="1"/>
    <col min="10265" max="10268" width="17.33203125" style="1" customWidth="1"/>
    <col min="10269" max="10272" width="9.109375" style="1"/>
    <col min="10273" max="10274" width="22.33203125" style="1" customWidth="1"/>
    <col min="10275" max="10275" width="11.88671875" style="1" customWidth="1"/>
    <col min="10276" max="10276" width="10.109375" style="1" customWidth="1"/>
    <col min="10277" max="10278" width="9.109375" style="1"/>
    <col min="10279" max="10279" width="13.33203125" style="1" customWidth="1"/>
    <col min="10280" max="10280" width="11.44140625" style="1" customWidth="1"/>
    <col min="10281" max="10281" width="13.33203125" style="1" bestFit="1" customWidth="1"/>
    <col min="10282" max="10282" width="16.88671875" style="1" bestFit="1" customWidth="1"/>
    <col min="10283" max="10285" width="14.44140625" style="1" customWidth="1"/>
    <col min="10286" max="10286" width="9.88671875" style="1" customWidth="1"/>
    <col min="10287" max="10289" width="17" style="1" customWidth="1"/>
    <col min="10290" max="10290" width="9.109375" style="1"/>
    <col min="10291" max="10291" width="17" style="1" customWidth="1"/>
    <col min="10292" max="10292" width="10.44140625" style="1" customWidth="1"/>
    <col min="10293" max="10466" width="9.109375" style="1"/>
    <col min="10467" max="10467" width="18.44140625" style="1" customWidth="1"/>
    <col min="10468" max="10468" width="11.88671875" style="1" customWidth="1"/>
    <col min="10469" max="10470" width="10.109375" style="1" customWidth="1"/>
    <col min="10471" max="10472" width="13.6640625" style="1" customWidth="1"/>
    <col min="10473" max="10475" width="23.77734375" style="1" customWidth="1"/>
    <col min="10476" max="10478" width="9.109375" style="1"/>
    <col min="10479" max="10479" width="21" style="1" customWidth="1"/>
    <col min="10480" max="10480" width="12.33203125" style="1" customWidth="1"/>
    <col min="10481" max="10481" width="14" style="1" customWidth="1"/>
    <col min="10482" max="10482" width="10.109375" style="1" bestFit="1" customWidth="1"/>
    <col min="10483" max="10483" width="10.109375" style="1" customWidth="1"/>
    <col min="10484" max="10484" width="27.21875" style="1" customWidth="1"/>
    <col min="10485" max="10485" width="24.5546875" style="1" customWidth="1"/>
    <col min="10486" max="10486" width="16.21875" style="1" customWidth="1"/>
    <col min="10487" max="10487" width="16.33203125" style="1" customWidth="1"/>
    <col min="10488" max="10488" width="18.5546875" style="1" customWidth="1"/>
    <col min="10489" max="10489" width="20.33203125" style="1" customWidth="1"/>
    <col min="10490" max="10491" width="22.88671875" style="1" customWidth="1"/>
    <col min="10492" max="10495" width="18" style="1" customWidth="1"/>
    <col min="10496" max="10496" width="17.21875" style="1" customWidth="1"/>
    <col min="10497" max="10497" width="16.6640625" style="1" customWidth="1"/>
    <col min="10498" max="10498" width="17.44140625" style="1" customWidth="1"/>
    <col min="10499" max="10499" width="24.21875" style="1" customWidth="1"/>
    <col min="10500" max="10500" width="20.44140625" style="1" customWidth="1"/>
    <col min="10501" max="10501" width="41.5546875" style="1" customWidth="1"/>
    <col min="10502" max="10503" width="32.44140625" style="1" customWidth="1"/>
    <col min="10504" max="10508" width="41.5546875" style="1" customWidth="1"/>
    <col min="10509" max="10509" width="30.44140625" style="1" customWidth="1"/>
    <col min="10510" max="10510" width="22.33203125" style="1" customWidth="1"/>
    <col min="10511" max="10511" width="9.109375" style="1"/>
    <col min="10512" max="10512" width="22.88671875" style="1" customWidth="1"/>
    <col min="10513" max="10513" width="23.77734375" style="1" customWidth="1"/>
    <col min="10514" max="10514" width="74.44140625" style="1" customWidth="1"/>
    <col min="10515" max="10516" width="9.109375" style="1"/>
    <col min="10517" max="10517" width="14.109375" style="1" customWidth="1"/>
    <col min="10518" max="10518" width="12.44140625" style="1" customWidth="1"/>
    <col min="10519" max="10519" width="13.44140625" style="1" customWidth="1"/>
    <col min="10520" max="10520" width="11.109375" style="1" customWidth="1"/>
    <col min="10521" max="10524" width="17.33203125" style="1" customWidth="1"/>
    <col min="10525" max="10528" width="9.109375" style="1"/>
    <col min="10529" max="10530" width="22.33203125" style="1" customWidth="1"/>
    <col min="10531" max="10531" width="11.88671875" style="1" customWidth="1"/>
    <col min="10532" max="10532" width="10.109375" style="1" customWidth="1"/>
    <col min="10533" max="10534" width="9.109375" style="1"/>
    <col min="10535" max="10535" width="13.33203125" style="1" customWidth="1"/>
    <col min="10536" max="10536" width="11.44140625" style="1" customWidth="1"/>
    <col min="10537" max="10537" width="13.33203125" style="1" bestFit="1" customWidth="1"/>
    <col min="10538" max="10538" width="16.88671875" style="1" bestFit="1" customWidth="1"/>
    <col min="10539" max="10541" width="14.44140625" style="1" customWidth="1"/>
    <col min="10542" max="10542" width="9.88671875" style="1" customWidth="1"/>
    <col min="10543" max="10545" width="17" style="1" customWidth="1"/>
    <col min="10546" max="10546" width="9.109375" style="1"/>
    <col min="10547" max="10547" width="17" style="1" customWidth="1"/>
    <col min="10548" max="10548" width="10.44140625" style="1" customWidth="1"/>
    <col min="10549" max="10722" width="9.109375" style="1"/>
    <col min="10723" max="10723" width="18.44140625" style="1" customWidth="1"/>
    <col min="10724" max="10724" width="11.88671875" style="1" customWidth="1"/>
    <col min="10725" max="10726" width="10.109375" style="1" customWidth="1"/>
    <col min="10727" max="10728" width="13.6640625" style="1" customWidth="1"/>
    <col min="10729" max="10731" width="23.77734375" style="1" customWidth="1"/>
    <col min="10732" max="10734" width="9.109375" style="1"/>
    <col min="10735" max="10735" width="21" style="1" customWidth="1"/>
    <col min="10736" max="10736" width="12.33203125" style="1" customWidth="1"/>
    <col min="10737" max="10737" width="14" style="1" customWidth="1"/>
    <col min="10738" max="10738" width="10.109375" style="1" bestFit="1" customWidth="1"/>
    <col min="10739" max="10739" width="10.109375" style="1" customWidth="1"/>
    <col min="10740" max="10740" width="27.21875" style="1" customWidth="1"/>
    <col min="10741" max="10741" width="24.5546875" style="1" customWidth="1"/>
    <col min="10742" max="10742" width="16.21875" style="1" customWidth="1"/>
    <col min="10743" max="10743" width="16.33203125" style="1" customWidth="1"/>
    <col min="10744" max="10744" width="18.5546875" style="1" customWidth="1"/>
    <col min="10745" max="10745" width="20.33203125" style="1" customWidth="1"/>
    <col min="10746" max="10747" width="22.88671875" style="1" customWidth="1"/>
    <col min="10748" max="10751" width="18" style="1" customWidth="1"/>
    <col min="10752" max="10752" width="17.21875" style="1" customWidth="1"/>
    <col min="10753" max="10753" width="16.6640625" style="1" customWidth="1"/>
    <col min="10754" max="10754" width="17.44140625" style="1" customWidth="1"/>
    <col min="10755" max="10755" width="24.21875" style="1" customWidth="1"/>
    <col min="10756" max="10756" width="20.44140625" style="1" customWidth="1"/>
    <col min="10757" max="10757" width="41.5546875" style="1" customWidth="1"/>
    <col min="10758" max="10759" width="32.44140625" style="1" customWidth="1"/>
    <col min="10760" max="10764" width="41.5546875" style="1" customWidth="1"/>
    <col min="10765" max="10765" width="30.44140625" style="1" customWidth="1"/>
    <col min="10766" max="10766" width="22.33203125" style="1" customWidth="1"/>
    <col min="10767" max="10767" width="9.109375" style="1"/>
    <col min="10768" max="10768" width="22.88671875" style="1" customWidth="1"/>
    <col min="10769" max="10769" width="23.77734375" style="1" customWidth="1"/>
    <col min="10770" max="10770" width="74.44140625" style="1" customWidth="1"/>
    <col min="10771" max="10772" width="9.109375" style="1"/>
    <col min="10773" max="10773" width="14.109375" style="1" customWidth="1"/>
    <col min="10774" max="10774" width="12.44140625" style="1" customWidth="1"/>
    <col min="10775" max="10775" width="13.44140625" style="1" customWidth="1"/>
    <col min="10776" max="10776" width="11.109375" style="1" customWidth="1"/>
    <col min="10777" max="10780" width="17.33203125" style="1" customWidth="1"/>
    <col min="10781" max="10784" width="9.109375" style="1"/>
    <col min="10785" max="10786" width="22.33203125" style="1" customWidth="1"/>
    <col min="10787" max="10787" width="11.88671875" style="1" customWidth="1"/>
    <col min="10788" max="10788" width="10.109375" style="1" customWidth="1"/>
    <col min="10789" max="10790" width="9.109375" style="1"/>
    <col min="10791" max="10791" width="13.33203125" style="1" customWidth="1"/>
    <col min="10792" max="10792" width="11.44140625" style="1" customWidth="1"/>
    <col min="10793" max="10793" width="13.33203125" style="1" bestFit="1" customWidth="1"/>
    <col min="10794" max="10794" width="16.88671875" style="1" bestFit="1" customWidth="1"/>
    <col min="10795" max="10797" width="14.44140625" style="1" customWidth="1"/>
    <col min="10798" max="10798" width="9.88671875" style="1" customWidth="1"/>
    <col min="10799" max="10801" width="17" style="1" customWidth="1"/>
    <col min="10802" max="10802" width="9.109375" style="1"/>
    <col min="10803" max="10803" width="17" style="1" customWidth="1"/>
    <col min="10804" max="10804" width="10.44140625" style="1" customWidth="1"/>
    <col min="10805" max="10978" width="9.109375" style="1"/>
    <col min="10979" max="10979" width="18.44140625" style="1" customWidth="1"/>
    <col min="10980" max="10980" width="11.88671875" style="1" customWidth="1"/>
    <col min="10981" max="10982" width="10.109375" style="1" customWidth="1"/>
    <col min="10983" max="10984" width="13.6640625" style="1" customWidth="1"/>
    <col min="10985" max="10987" width="23.77734375" style="1" customWidth="1"/>
    <col min="10988" max="10990" width="9.109375" style="1"/>
    <col min="10991" max="10991" width="21" style="1" customWidth="1"/>
    <col min="10992" max="10992" width="12.33203125" style="1" customWidth="1"/>
    <col min="10993" max="10993" width="14" style="1" customWidth="1"/>
    <col min="10994" max="10994" width="10.109375" style="1" bestFit="1" customWidth="1"/>
    <col min="10995" max="10995" width="10.109375" style="1" customWidth="1"/>
    <col min="10996" max="10996" width="27.21875" style="1" customWidth="1"/>
    <col min="10997" max="10997" width="24.5546875" style="1" customWidth="1"/>
    <col min="10998" max="10998" width="16.21875" style="1" customWidth="1"/>
    <col min="10999" max="10999" width="16.33203125" style="1" customWidth="1"/>
    <col min="11000" max="11000" width="18.5546875" style="1" customWidth="1"/>
    <col min="11001" max="11001" width="20.33203125" style="1" customWidth="1"/>
    <col min="11002" max="11003" width="22.88671875" style="1" customWidth="1"/>
    <col min="11004" max="11007" width="18" style="1" customWidth="1"/>
    <col min="11008" max="11008" width="17.21875" style="1" customWidth="1"/>
    <col min="11009" max="11009" width="16.6640625" style="1" customWidth="1"/>
    <col min="11010" max="11010" width="17.44140625" style="1" customWidth="1"/>
    <col min="11011" max="11011" width="24.21875" style="1" customWidth="1"/>
    <col min="11012" max="11012" width="20.44140625" style="1" customWidth="1"/>
    <col min="11013" max="11013" width="41.5546875" style="1" customWidth="1"/>
    <col min="11014" max="11015" width="32.44140625" style="1" customWidth="1"/>
    <col min="11016" max="11020" width="41.5546875" style="1" customWidth="1"/>
    <col min="11021" max="11021" width="30.44140625" style="1" customWidth="1"/>
    <col min="11022" max="11022" width="22.33203125" style="1" customWidth="1"/>
    <col min="11023" max="11023" width="9.109375" style="1"/>
    <col min="11024" max="11024" width="22.88671875" style="1" customWidth="1"/>
    <col min="11025" max="11025" width="23.77734375" style="1" customWidth="1"/>
    <col min="11026" max="11026" width="74.44140625" style="1" customWidth="1"/>
    <col min="11027" max="11028" width="9.109375" style="1"/>
    <col min="11029" max="11029" width="14.109375" style="1" customWidth="1"/>
    <col min="11030" max="11030" width="12.44140625" style="1" customWidth="1"/>
    <col min="11031" max="11031" width="13.44140625" style="1" customWidth="1"/>
    <col min="11032" max="11032" width="11.109375" style="1" customWidth="1"/>
    <col min="11033" max="11036" width="17.33203125" style="1" customWidth="1"/>
    <col min="11037" max="11040" width="9.109375" style="1"/>
    <col min="11041" max="11042" width="22.33203125" style="1" customWidth="1"/>
    <col min="11043" max="11043" width="11.88671875" style="1" customWidth="1"/>
    <col min="11044" max="11044" width="10.109375" style="1" customWidth="1"/>
    <col min="11045" max="11046" width="9.109375" style="1"/>
    <col min="11047" max="11047" width="13.33203125" style="1" customWidth="1"/>
    <col min="11048" max="11048" width="11.44140625" style="1" customWidth="1"/>
    <col min="11049" max="11049" width="13.33203125" style="1" bestFit="1" customWidth="1"/>
    <col min="11050" max="11050" width="16.88671875" style="1" bestFit="1" customWidth="1"/>
    <col min="11051" max="11053" width="14.44140625" style="1" customWidth="1"/>
    <col min="11054" max="11054" width="9.88671875" style="1" customWidth="1"/>
    <col min="11055" max="11057" width="17" style="1" customWidth="1"/>
    <col min="11058" max="11058" width="9.109375" style="1"/>
    <col min="11059" max="11059" width="17" style="1" customWidth="1"/>
    <col min="11060" max="11060" width="10.44140625" style="1" customWidth="1"/>
    <col min="11061" max="11234" width="9.109375" style="1"/>
    <col min="11235" max="11235" width="18.44140625" style="1" customWidth="1"/>
    <col min="11236" max="11236" width="11.88671875" style="1" customWidth="1"/>
    <col min="11237" max="11238" width="10.109375" style="1" customWidth="1"/>
    <col min="11239" max="11240" width="13.6640625" style="1" customWidth="1"/>
    <col min="11241" max="11243" width="23.77734375" style="1" customWidth="1"/>
    <col min="11244" max="11246" width="9.109375" style="1"/>
    <col min="11247" max="11247" width="21" style="1" customWidth="1"/>
    <col min="11248" max="11248" width="12.33203125" style="1" customWidth="1"/>
    <col min="11249" max="11249" width="14" style="1" customWidth="1"/>
    <col min="11250" max="11250" width="10.109375" style="1" bestFit="1" customWidth="1"/>
    <col min="11251" max="11251" width="10.109375" style="1" customWidth="1"/>
    <col min="11252" max="11252" width="27.21875" style="1" customWidth="1"/>
    <col min="11253" max="11253" width="24.5546875" style="1" customWidth="1"/>
    <col min="11254" max="11254" width="16.21875" style="1" customWidth="1"/>
    <col min="11255" max="11255" width="16.33203125" style="1" customWidth="1"/>
    <col min="11256" max="11256" width="18.5546875" style="1" customWidth="1"/>
    <col min="11257" max="11257" width="20.33203125" style="1" customWidth="1"/>
    <col min="11258" max="11259" width="22.88671875" style="1" customWidth="1"/>
    <col min="11260" max="11263" width="18" style="1" customWidth="1"/>
    <col min="11264" max="11264" width="17.21875" style="1" customWidth="1"/>
    <col min="11265" max="11265" width="16.6640625" style="1" customWidth="1"/>
    <col min="11266" max="11266" width="17.44140625" style="1" customWidth="1"/>
    <col min="11267" max="11267" width="24.21875" style="1" customWidth="1"/>
    <col min="11268" max="11268" width="20.44140625" style="1" customWidth="1"/>
    <col min="11269" max="11269" width="41.5546875" style="1" customWidth="1"/>
    <col min="11270" max="11271" width="32.44140625" style="1" customWidth="1"/>
    <col min="11272" max="11276" width="41.5546875" style="1" customWidth="1"/>
    <col min="11277" max="11277" width="30.44140625" style="1" customWidth="1"/>
    <col min="11278" max="11278" width="22.33203125" style="1" customWidth="1"/>
    <col min="11279" max="11279" width="9.109375" style="1"/>
    <col min="11280" max="11280" width="22.88671875" style="1" customWidth="1"/>
    <col min="11281" max="11281" width="23.77734375" style="1" customWidth="1"/>
    <col min="11282" max="11282" width="74.44140625" style="1" customWidth="1"/>
    <col min="11283" max="11284" width="9.109375" style="1"/>
    <col min="11285" max="11285" width="14.109375" style="1" customWidth="1"/>
    <col min="11286" max="11286" width="12.44140625" style="1" customWidth="1"/>
    <col min="11287" max="11287" width="13.44140625" style="1" customWidth="1"/>
    <col min="11288" max="11288" width="11.109375" style="1" customWidth="1"/>
    <col min="11289" max="11292" width="17.33203125" style="1" customWidth="1"/>
    <col min="11293" max="11296" width="9.109375" style="1"/>
    <col min="11297" max="11298" width="22.33203125" style="1" customWidth="1"/>
    <col min="11299" max="11299" width="11.88671875" style="1" customWidth="1"/>
    <col min="11300" max="11300" width="10.109375" style="1" customWidth="1"/>
    <col min="11301" max="11302" width="9.109375" style="1"/>
    <col min="11303" max="11303" width="13.33203125" style="1" customWidth="1"/>
    <col min="11304" max="11304" width="11.44140625" style="1" customWidth="1"/>
    <col min="11305" max="11305" width="13.33203125" style="1" bestFit="1" customWidth="1"/>
    <col min="11306" max="11306" width="16.88671875" style="1" bestFit="1" customWidth="1"/>
    <col min="11307" max="11309" width="14.44140625" style="1" customWidth="1"/>
    <col min="11310" max="11310" width="9.88671875" style="1" customWidth="1"/>
    <col min="11311" max="11313" width="17" style="1" customWidth="1"/>
    <col min="11314" max="11314" width="9.109375" style="1"/>
    <col min="11315" max="11315" width="17" style="1" customWidth="1"/>
    <col min="11316" max="11316" width="10.44140625" style="1" customWidth="1"/>
    <col min="11317" max="11490" width="9.109375" style="1"/>
    <col min="11491" max="11491" width="18.44140625" style="1" customWidth="1"/>
    <col min="11492" max="11492" width="11.88671875" style="1" customWidth="1"/>
    <col min="11493" max="11494" width="10.109375" style="1" customWidth="1"/>
    <col min="11495" max="11496" width="13.6640625" style="1" customWidth="1"/>
    <col min="11497" max="11499" width="23.77734375" style="1" customWidth="1"/>
    <col min="11500" max="11502" width="9.109375" style="1"/>
    <col min="11503" max="11503" width="21" style="1" customWidth="1"/>
    <col min="11504" max="11504" width="12.33203125" style="1" customWidth="1"/>
    <col min="11505" max="11505" width="14" style="1" customWidth="1"/>
    <col min="11506" max="11506" width="10.109375" style="1" bestFit="1" customWidth="1"/>
    <col min="11507" max="11507" width="10.109375" style="1" customWidth="1"/>
    <col min="11508" max="11508" width="27.21875" style="1" customWidth="1"/>
    <col min="11509" max="11509" width="24.5546875" style="1" customWidth="1"/>
    <col min="11510" max="11510" width="16.21875" style="1" customWidth="1"/>
    <col min="11511" max="11511" width="16.33203125" style="1" customWidth="1"/>
    <col min="11512" max="11512" width="18.5546875" style="1" customWidth="1"/>
    <col min="11513" max="11513" width="20.33203125" style="1" customWidth="1"/>
    <col min="11514" max="11515" width="22.88671875" style="1" customWidth="1"/>
    <col min="11516" max="11519" width="18" style="1" customWidth="1"/>
    <col min="11520" max="11520" width="17.21875" style="1" customWidth="1"/>
    <col min="11521" max="11521" width="16.6640625" style="1" customWidth="1"/>
    <col min="11522" max="11522" width="17.44140625" style="1" customWidth="1"/>
    <col min="11523" max="11523" width="24.21875" style="1" customWidth="1"/>
    <col min="11524" max="11524" width="20.44140625" style="1" customWidth="1"/>
    <col min="11525" max="11525" width="41.5546875" style="1" customWidth="1"/>
    <col min="11526" max="11527" width="32.44140625" style="1" customWidth="1"/>
    <col min="11528" max="11532" width="41.5546875" style="1" customWidth="1"/>
    <col min="11533" max="11533" width="30.44140625" style="1" customWidth="1"/>
    <col min="11534" max="11534" width="22.33203125" style="1" customWidth="1"/>
    <col min="11535" max="11535" width="9.109375" style="1"/>
    <col min="11536" max="11536" width="22.88671875" style="1" customWidth="1"/>
    <col min="11537" max="11537" width="23.77734375" style="1" customWidth="1"/>
    <col min="11538" max="11538" width="74.44140625" style="1" customWidth="1"/>
    <col min="11539" max="11540" width="9.109375" style="1"/>
    <col min="11541" max="11541" width="14.109375" style="1" customWidth="1"/>
    <col min="11542" max="11542" width="12.44140625" style="1" customWidth="1"/>
    <col min="11543" max="11543" width="13.44140625" style="1" customWidth="1"/>
    <col min="11544" max="11544" width="11.109375" style="1" customWidth="1"/>
    <col min="11545" max="11548" width="17.33203125" style="1" customWidth="1"/>
    <col min="11549" max="11552" width="9.109375" style="1"/>
    <col min="11553" max="11554" width="22.33203125" style="1" customWidth="1"/>
    <col min="11555" max="11555" width="11.88671875" style="1" customWidth="1"/>
    <col min="11556" max="11556" width="10.109375" style="1" customWidth="1"/>
    <col min="11557" max="11558" width="9.109375" style="1"/>
    <col min="11559" max="11559" width="13.33203125" style="1" customWidth="1"/>
    <col min="11560" max="11560" width="11.44140625" style="1" customWidth="1"/>
    <col min="11561" max="11561" width="13.33203125" style="1" bestFit="1" customWidth="1"/>
    <col min="11562" max="11562" width="16.88671875" style="1" bestFit="1" customWidth="1"/>
    <col min="11563" max="11565" width="14.44140625" style="1" customWidth="1"/>
    <col min="11566" max="11566" width="9.88671875" style="1" customWidth="1"/>
    <col min="11567" max="11569" width="17" style="1" customWidth="1"/>
    <col min="11570" max="11570" width="9.109375" style="1"/>
    <col min="11571" max="11571" width="17" style="1" customWidth="1"/>
    <col min="11572" max="11572" width="10.44140625" style="1" customWidth="1"/>
    <col min="11573" max="11746" width="9.109375" style="1"/>
    <col min="11747" max="11747" width="18.44140625" style="1" customWidth="1"/>
    <col min="11748" max="11748" width="11.88671875" style="1" customWidth="1"/>
    <col min="11749" max="11750" width="10.109375" style="1" customWidth="1"/>
    <col min="11751" max="11752" width="13.6640625" style="1" customWidth="1"/>
    <col min="11753" max="11755" width="23.77734375" style="1" customWidth="1"/>
    <col min="11756" max="11758" width="9.109375" style="1"/>
    <col min="11759" max="11759" width="21" style="1" customWidth="1"/>
    <col min="11760" max="11760" width="12.33203125" style="1" customWidth="1"/>
    <col min="11761" max="11761" width="14" style="1" customWidth="1"/>
    <col min="11762" max="11762" width="10.109375" style="1" bestFit="1" customWidth="1"/>
    <col min="11763" max="11763" width="10.109375" style="1" customWidth="1"/>
    <col min="11764" max="11764" width="27.21875" style="1" customWidth="1"/>
    <col min="11765" max="11765" width="24.5546875" style="1" customWidth="1"/>
    <col min="11766" max="11766" width="16.21875" style="1" customWidth="1"/>
    <col min="11767" max="11767" width="16.33203125" style="1" customWidth="1"/>
    <col min="11768" max="11768" width="18.5546875" style="1" customWidth="1"/>
    <col min="11769" max="11769" width="20.33203125" style="1" customWidth="1"/>
    <col min="11770" max="11771" width="22.88671875" style="1" customWidth="1"/>
    <col min="11772" max="11775" width="18" style="1" customWidth="1"/>
    <col min="11776" max="11776" width="17.21875" style="1" customWidth="1"/>
    <col min="11777" max="11777" width="16.6640625" style="1" customWidth="1"/>
    <col min="11778" max="11778" width="17.44140625" style="1" customWidth="1"/>
    <col min="11779" max="11779" width="24.21875" style="1" customWidth="1"/>
    <col min="11780" max="11780" width="20.44140625" style="1" customWidth="1"/>
    <col min="11781" max="11781" width="41.5546875" style="1" customWidth="1"/>
    <col min="11782" max="11783" width="32.44140625" style="1" customWidth="1"/>
    <col min="11784" max="11788" width="41.5546875" style="1" customWidth="1"/>
    <col min="11789" max="11789" width="30.44140625" style="1" customWidth="1"/>
    <col min="11790" max="11790" width="22.33203125" style="1" customWidth="1"/>
    <col min="11791" max="11791" width="9.109375" style="1"/>
    <col min="11792" max="11792" width="22.88671875" style="1" customWidth="1"/>
    <col min="11793" max="11793" width="23.77734375" style="1" customWidth="1"/>
    <col min="11794" max="11794" width="74.44140625" style="1" customWidth="1"/>
    <col min="11795" max="11796" width="9.109375" style="1"/>
    <col min="11797" max="11797" width="14.109375" style="1" customWidth="1"/>
    <col min="11798" max="11798" width="12.44140625" style="1" customWidth="1"/>
    <col min="11799" max="11799" width="13.44140625" style="1" customWidth="1"/>
    <col min="11800" max="11800" width="11.109375" style="1" customWidth="1"/>
    <col min="11801" max="11804" width="17.33203125" style="1" customWidth="1"/>
    <col min="11805" max="11808" width="9.109375" style="1"/>
    <col min="11809" max="11810" width="22.33203125" style="1" customWidth="1"/>
    <col min="11811" max="11811" width="11.88671875" style="1" customWidth="1"/>
    <col min="11812" max="11812" width="10.109375" style="1" customWidth="1"/>
    <col min="11813" max="11814" width="9.109375" style="1"/>
    <col min="11815" max="11815" width="13.33203125" style="1" customWidth="1"/>
    <col min="11816" max="11816" width="11.44140625" style="1" customWidth="1"/>
    <col min="11817" max="11817" width="13.33203125" style="1" bestFit="1" customWidth="1"/>
    <col min="11818" max="11818" width="16.88671875" style="1" bestFit="1" customWidth="1"/>
    <col min="11819" max="11821" width="14.44140625" style="1" customWidth="1"/>
    <col min="11822" max="11822" width="9.88671875" style="1" customWidth="1"/>
    <col min="11823" max="11825" width="17" style="1" customWidth="1"/>
    <col min="11826" max="11826" width="9.109375" style="1"/>
    <col min="11827" max="11827" width="17" style="1" customWidth="1"/>
    <col min="11828" max="11828" width="10.44140625" style="1" customWidth="1"/>
    <col min="11829" max="12002" width="9.109375" style="1"/>
    <col min="12003" max="12003" width="18.44140625" style="1" customWidth="1"/>
    <col min="12004" max="12004" width="11.88671875" style="1" customWidth="1"/>
    <col min="12005" max="12006" width="10.109375" style="1" customWidth="1"/>
    <col min="12007" max="12008" width="13.6640625" style="1" customWidth="1"/>
    <col min="12009" max="12011" width="23.77734375" style="1" customWidth="1"/>
    <col min="12012" max="12014" width="9.109375" style="1"/>
    <col min="12015" max="12015" width="21" style="1" customWidth="1"/>
    <col min="12016" max="12016" width="12.33203125" style="1" customWidth="1"/>
    <col min="12017" max="12017" width="14" style="1" customWidth="1"/>
    <col min="12018" max="12018" width="10.109375" style="1" bestFit="1" customWidth="1"/>
    <col min="12019" max="12019" width="10.109375" style="1" customWidth="1"/>
    <col min="12020" max="12020" width="27.21875" style="1" customWidth="1"/>
    <col min="12021" max="12021" width="24.5546875" style="1" customWidth="1"/>
    <col min="12022" max="12022" width="16.21875" style="1" customWidth="1"/>
    <col min="12023" max="12023" width="16.33203125" style="1" customWidth="1"/>
    <col min="12024" max="12024" width="18.5546875" style="1" customWidth="1"/>
    <col min="12025" max="12025" width="20.33203125" style="1" customWidth="1"/>
    <col min="12026" max="12027" width="22.88671875" style="1" customWidth="1"/>
    <col min="12028" max="12031" width="18" style="1" customWidth="1"/>
    <col min="12032" max="12032" width="17.21875" style="1" customWidth="1"/>
    <col min="12033" max="12033" width="16.6640625" style="1" customWidth="1"/>
    <col min="12034" max="12034" width="17.44140625" style="1" customWidth="1"/>
    <col min="12035" max="12035" width="24.21875" style="1" customWidth="1"/>
    <col min="12036" max="12036" width="20.44140625" style="1" customWidth="1"/>
    <col min="12037" max="12037" width="41.5546875" style="1" customWidth="1"/>
    <col min="12038" max="12039" width="32.44140625" style="1" customWidth="1"/>
    <col min="12040" max="12044" width="41.5546875" style="1" customWidth="1"/>
    <col min="12045" max="12045" width="30.44140625" style="1" customWidth="1"/>
    <col min="12046" max="12046" width="22.33203125" style="1" customWidth="1"/>
    <col min="12047" max="12047" width="9.109375" style="1"/>
    <col min="12048" max="12048" width="22.88671875" style="1" customWidth="1"/>
    <col min="12049" max="12049" width="23.77734375" style="1" customWidth="1"/>
    <col min="12050" max="12050" width="74.44140625" style="1" customWidth="1"/>
    <col min="12051" max="12052" width="9.109375" style="1"/>
    <col min="12053" max="12053" width="14.109375" style="1" customWidth="1"/>
    <col min="12054" max="12054" width="12.44140625" style="1" customWidth="1"/>
    <col min="12055" max="12055" width="13.44140625" style="1" customWidth="1"/>
    <col min="12056" max="12056" width="11.109375" style="1" customWidth="1"/>
    <col min="12057" max="12060" width="17.33203125" style="1" customWidth="1"/>
    <col min="12061" max="12064" width="9.109375" style="1"/>
    <col min="12065" max="12066" width="22.33203125" style="1" customWidth="1"/>
    <col min="12067" max="12067" width="11.88671875" style="1" customWidth="1"/>
    <col min="12068" max="12068" width="10.109375" style="1" customWidth="1"/>
    <col min="12069" max="12070" width="9.109375" style="1"/>
    <col min="12071" max="12071" width="13.33203125" style="1" customWidth="1"/>
    <col min="12072" max="12072" width="11.44140625" style="1" customWidth="1"/>
    <col min="12073" max="12073" width="13.33203125" style="1" bestFit="1" customWidth="1"/>
    <col min="12074" max="12074" width="16.88671875" style="1" bestFit="1" customWidth="1"/>
    <col min="12075" max="12077" width="14.44140625" style="1" customWidth="1"/>
    <col min="12078" max="12078" width="9.88671875" style="1" customWidth="1"/>
    <col min="12079" max="12081" width="17" style="1" customWidth="1"/>
    <col min="12082" max="12082" width="9.109375" style="1"/>
    <col min="12083" max="12083" width="17" style="1" customWidth="1"/>
    <col min="12084" max="12084" width="10.44140625" style="1" customWidth="1"/>
    <col min="12085" max="12258" width="9.109375" style="1"/>
    <col min="12259" max="12259" width="18.44140625" style="1" customWidth="1"/>
    <col min="12260" max="12260" width="11.88671875" style="1" customWidth="1"/>
    <col min="12261" max="12262" width="10.109375" style="1" customWidth="1"/>
    <col min="12263" max="12264" width="13.6640625" style="1" customWidth="1"/>
    <col min="12265" max="12267" width="23.77734375" style="1" customWidth="1"/>
    <col min="12268" max="12270" width="9.109375" style="1"/>
    <col min="12271" max="12271" width="21" style="1" customWidth="1"/>
    <col min="12272" max="12272" width="12.33203125" style="1" customWidth="1"/>
    <col min="12273" max="12273" width="14" style="1" customWidth="1"/>
    <col min="12274" max="12274" width="10.109375" style="1" bestFit="1" customWidth="1"/>
    <col min="12275" max="12275" width="10.109375" style="1" customWidth="1"/>
    <col min="12276" max="12276" width="27.21875" style="1" customWidth="1"/>
    <col min="12277" max="12277" width="24.5546875" style="1" customWidth="1"/>
    <col min="12278" max="12278" width="16.21875" style="1" customWidth="1"/>
    <col min="12279" max="12279" width="16.33203125" style="1" customWidth="1"/>
    <col min="12280" max="12280" width="18.5546875" style="1" customWidth="1"/>
    <col min="12281" max="12281" width="20.33203125" style="1" customWidth="1"/>
    <col min="12282" max="12283" width="22.88671875" style="1" customWidth="1"/>
    <col min="12284" max="12287" width="18" style="1" customWidth="1"/>
    <col min="12288" max="12288" width="17.21875" style="1" customWidth="1"/>
    <col min="12289" max="12289" width="16.6640625" style="1" customWidth="1"/>
    <col min="12290" max="12290" width="17.44140625" style="1" customWidth="1"/>
    <col min="12291" max="12291" width="24.21875" style="1" customWidth="1"/>
    <col min="12292" max="12292" width="20.44140625" style="1" customWidth="1"/>
    <col min="12293" max="12293" width="41.5546875" style="1" customWidth="1"/>
    <col min="12294" max="12295" width="32.44140625" style="1" customWidth="1"/>
    <col min="12296" max="12300" width="41.5546875" style="1" customWidth="1"/>
    <col min="12301" max="12301" width="30.44140625" style="1" customWidth="1"/>
    <col min="12302" max="12302" width="22.33203125" style="1" customWidth="1"/>
    <col min="12303" max="12303" width="9.109375" style="1"/>
    <col min="12304" max="12304" width="22.88671875" style="1" customWidth="1"/>
    <col min="12305" max="12305" width="23.77734375" style="1" customWidth="1"/>
    <col min="12306" max="12306" width="74.44140625" style="1" customWidth="1"/>
    <col min="12307" max="12308" width="9.109375" style="1"/>
    <col min="12309" max="12309" width="14.109375" style="1" customWidth="1"/>
    <col min="12310" max="12310" width="12.44140625" style="1" customWidth="1"/>
    <col min="12311" max="12311" width="13.44140625" style="1" customWidth="1"/>
    <col min="12312" max="12312" width="11.109375" style="1" customWidth="1"/>
    <col min="12313" max="12316" width="17.33203125" style="1" customWidth="1"/>
    <col min="12317" max="12320" width="9.109375" style="1"/>
    <col min="12321" max="12322" width="22.33203125" style="1" customWidth="1"/>
    <col min="12323" max="12323" width="11.88671875" style="1" customWidth="1"/>
    <col min="12324" max="12324" width="10.109375" style="1" customWidth="1"/>
    <col min="12325" max="12326" width="9.109375" style="1"/>
    <col min="12327" max="12327" width="13.33203125" style="1" customWidth="1"/>
    <col min="12328" max="12328" width="11.44140625" style="1" customWidth="1"/>
    <col min="12329" max="12329" width="13.33203125" style="1" bestFit="1" customWidth="1"/>
    <col min="12330" max="12330" width="16.88671875" style="1" bestFit="1" customWidth="1"/>
    <col min="12331" max="12333" width="14.44140625" style="1" customWidth="1"/>
    <col min="12334" max="12334" width="9.88671875" style="1" customWidth="1"/>
    <col min="12335" max="12337" width="17" style="1" customWidth="1"/>
    <col min="12338" max="12338" width="9.109375" style="1"/>
    <col min="12339" max="12339" width="17" style="1" customWidth="1"/>
    <col min="12340" max="12340" width="10.44140625" style="1" customWidth="1"/>
    <col min="12341" max="12514" width="9.109375" style="1"/>
    <col min="12515" max="12515" width="18.44140625" style="1" customWidth="1"/>
    <col min="12516" max="12516" width="11.88671875" style="1" customWidth="1"/>
    <col min="12517" max="12518" width="10.109375" style="1" customWidth="1"/>
    <col min="12519" max="12520" width="13.6640625" style="1" customWidth="1"/>
    <col min="12521" max="12523" width="23.77734375" style="1" customWidth="1"/>
    <col min="12524" max="12526" width="9.109375" style="1"/>
    <col min="12527" max="12527" width="21" style="1" customWidth="1"/>
    <col min="12528" max="12528" width="12.33203125" style="1" customWidth="1"/>
    <col min="12529" max="12529" width="14" style="1" customWidth="1"/>
    <col min="12530" max="12530" width="10.109375" style="1" bestFit="1" customWidth="1"/>
    <col min="12531" max="12531" width="10.109375" style="1" customWidth="1"/>
    <col min="12532" max="12532" width="27.21875" style="1" customWidth="1"/>
    <col min="12533" max="12533" width="24.5546875" style="1" customWidth="1"/>
    <col min="12534" max="12534" width="16.21875" style="1" customWidth="1"/>
    <col min="12535" max="12535" width="16.33203125" style="1" customWidth="1"/>
    <col min="12536" max="12536" width="18.5546875" style="1" customWidth="1"/>
    <col min="12537" max="12537" width="20.33203125" style="1" customWidth="1"/>
    <col min="12538" max="12539" width="22.88671875" style="1" customWidth="1"/>
    <col min="12540" max="12543" width="18" style="1" customWidth="1"/>
    <col min="12544" max="12544" width="17.21875" style="1" customWidth="1"/>
    <col min="12545" max="12545" width="16.6640625" style="1" customWidth="1"/>
    <col min="12546" max="12546" width="17.44140625" style="1" customWidth="1"/>
    <col min="12547" max="12547" width="24.21875" style="1" customWidth="1"/>
    <col min="12548" max="12548" width="20.44140625" style="1" customWidth="1"/>
    <col min="12549" max="12549" width="41.5546875" style="1" customWidth="1"/>
    <col min="12550" max="12551" width="32.44140625" style="1" customWidth="1"/>
    <col min="12552" max="12556" width="41.5546875" style="1" customWidth="1"/>
    <col min="12557" max="12557" width="30.44140625" style="1" customWidth="1"/>
    <col min="12558" max="12558" width="22.33203125" style="1" customWidth="1"/>
    <col min="12559" max="12559" width="9.109375" style="1"/>
    <col min="12560" max="12560" width="22.88671875" style="1" customWidth="1"/>
    <col min="12561" max="12561" width="23.77734375" style="1" customWidth="1"/>
    <col min="12562" max="12562" width="74.44140625" style="1" customWidth="1"/>
    <col min="12563" max="12564" width="9.109375" style="1"/>
    <col min="12565" max="12565" width="14.109375" style="1" customWidth="1"/>
    <col min="12566" max="12566" width="12.44140625" style="1" customWidth="1"/>
    <col min="12567" max="12567" width="13.44140625" style="1" customWidth="1"/>
    <col min="12568" max="12568" width="11.109375" style="1" customWidth="1"/>
    <col min="12569" max="12572" width="17.33203125" style="1" customWidth="1"/>
    <col min="12573" max="12576" width="9.109375" style="1"/>
    <col min="12577" max="12578" width="22.33203125" style="1" customWidth="1"/>
    <col min="12579" max="12579" width="11.88671875" style="1" customWidth="1"/>
    <col min="12580" max="12580" width="10.109375" style="1" customWidth="1"/>
    <col min="12581" max="12582" width="9.109375" style="1"/>
    <col min="12583" max="12583" width="13.33203125" style="1" customWidth="1"/>
    <col min="12584" max="12584" width="11.44140625" style="1" customWidth="1"/>
    <col min="12585" max="12585" width="13.33203125" style="1" bestFit="1" customWidth="1"/>
    <col min="12586" max="12586" width="16.88671875" style="1" bestFit="1" customWidth="1"/>
    <col min="12587" max="12589" width="14.44140625" style="1" customWidth="1"/>
    <col min="12590" max="12590" width="9.88671875" style="1" customWidth="1"/>
    <col min="12591" max="12593" width="17" style="1" customWidth="1"/>
    <col min="12594" max="12594" width="9.109375" style="1"/>
    <col min="12595" max="12595" width="17" style="1" customWidth="1"/>
    <col min="12596" max="12596" width="10.44140625" style="1" customWidth="1"/>
    <col min="12597" max="12770" width="9.109375" style="1"/>
    <col min="12771" max="12771" width="18.44140625" style="1" customWidth="1"/>
    <col min="12772" max="12772" width="11.88671875" style="1" customWidth="1"/>
    <col min="12773" max="12774" width="10.109375" style="1" customWidth="1"/>
    <col min="12775" max="12776" width="13.6640625" style="1" customWidth="1"/>
    <col min="12777" max="12779" width="23.77734375" style="1" customWidth="1"/>
    <col min="12780" max="12782" width="9.109375" style="1"/>
    <col min="12783" max="12783" width="21" style="1" customWidth="1"/>
    <col min="12784" max="12784" width="12.33203125" style="1" customWidth="1"/>
    <col min="12785" max="12785" width="14" style="1" customWidth="1"/>
    <col min="12786" max="12786" width="10.109375" style="1" bestFit="1" customWidth="1"/>
    <col min="12787" max="12787" width="10.109375" style="1" customWidth="1"/>
    <col min="12788" max="12788" width="27.21875" style="1" customWidth="1"/>
    <col min="12789" max="12789" width="24.5546875" style="1" customWidth="1"/>
    <col min="12790" max="12790" width="16.21875" style="1" customWidth="1"/>
    <col min="12791" max="12791" width="16.33203125" style="1" customWidth="1"/>
    <col min="12792" max="12792" width="18.5546875" style="1" customWidth="1"/>
    <col min="12793" max="12793" width="20.33203125" style="1" customWidth="1"/>
    <col min="12794" max="12795" width="22.88671875" style="1" customWidth="1"/>
    <col min="12796" max="12799" width="18" style="1" customWidth="1"/>
    <col min="12800" max="12800" width="17.21875" style="1" customWidth="1"/>
    <col min="12801" max="12801" width="16.6640625" style="1" customWidth="1"/>
    <col min="12802" max="12802" width="17.44140625" style="1" customWidth="1"/>
    <col min="12803" max="12803" width="24.21875" style="1" customWidth="1"/>
    <col min="12804" max="12804" width="20.44140625" style="1" customWidth="1"/>
    <col min="12805" max="12805" width="41.5546875" style="1" customWidth="1"/>
    <col min="12806" max="12807" width="32.44140625" style="1" customWidth="1"/>
    <col min="12808" max="12812" width="41.5546875" style="1" customWidth="1"/>
    <col min="12813" max="12813" width="30.44140625" style="1" customWidth="1"/>
    <col min="12814" max="12814" width="22.33203125" style="1" customWidth="1"/>
    <col min="12815" max="12815" width="9.109375" style="1"/>
    <col min="12816" max="12816" width="22.88671875" style="1" customWidth="1"/>
    <col min="12817" max="12817" width="23.77734375" style="1" customWidth="1"/>
    <col min="12818" max="12818" width="74.44140625" style="1" customWidth="1"/>
    <col min="12819" max="12820" width="9.109375" style="1"/>
    <col min="12821" max="12821" width="14.109375" style="1" customWidth="1"/>
    <col min="12822" max="12822" width="12.44140625" style="1" customWidth="1"/>
    <col min="12823" max="12823" width="13.44140625" style="1" customWidth="1"/>
    <col min="12824" max="12824" width="11.109375" style="1" customWidth="1"/>
    <col min="12825" max="12828" width="17.33203125" style="1" customWidth="1"/>
    <col min="12829" max="12832" width="9.109375" style="1"/>
    <col min="12833" max="12834" width="22.33203125" style="1" customWidth="1"/>
    <col min="12835" max="12835" width="11.88671875" style="1" customWidth="1"/>
    <col min="12836" max="12836" width="10.109375" style="1" customWidth="1"/>
    <col min="12837" max="12838" width="9.109375" style="1"/>
    <col min="12839" max="12839" width="13.33203125" style="1" customWidth="1"/>
    <col min="12840" max="12840" width="11.44140625" style="1" customWidth="1"/>
    <col min="12841" max="12841" width="13.33203125" style="1" bestFit="1" customWidth="1"/>
    <col min="12842" max="12842" width="16.88671875" style="1" bestFit="1" customWidth="1"/>
    <col min="12843" max="12845" width="14.44140625" style="1" customWidth="1"/>
    <col min="12846" max="12846" width="9.88671875" style="1" customWidth="1"/>
    <col min="12847" max="12849" width="17" style="1" customWidth="1"/>
    <col min="12850" max="12850" width="9.109375" style="1"/>
    <col min="12851" max="12851" width="17" style="1" customWidth="1"/>
    <col min="12852" max="12852" width="10.44140625" style="1" customWidth="1"/>
    <col min="12853" max="13026" width="9.109375" style="1"/>
    <col min="13027" max="13027" width="18.44140625" style="1" customWidth="1"/>
    <col min="13028" max="13028" width="11.88671875" style="1" customWidth="1"/>
    <col min="13029" max="13030" width="10.109375" style="1" customWidth="1"/>
    <col min="13031" max="13032" width="13.6640625" style="1" customWidth="1"/>
    <col min="13033" max="13035" width="23.77734375" style="1" customWidth="1"/>
    <col min="13036" max="13038" width="9.109375" style="1"/>
    <col min="13039" max="13039" width="21" style="1" customWidth="1"/>
    <col min="13040" max="13040" width="12.33203125" style="1" customWidth="1"/>
    <col min="13041" max="13041" width="14" style="1" customWidth="1"/>
    <col min="13042" max="13042" width="10.109375" style="1" bestFit="1" customWidth="1"/>
    <col min="13043" max="13043" width="10.109375" style="1" customWidth="1"/>
    <col min="13044" max="13044" width="27.21875" style="1" customWidth="1"/>
    <col min="13045" max="13045" width="24.5546875" style="1" customWidth="1"/>
    <col min="13046" max="13046" width="16.21875" style="1" customWidth="1"/>
    <col min="13047" max="13047" width="16.33203125" style="1" customWidth="1"/>
    <col min="13048" max="13048" width="18.5546875" style="1" customWidth="1"/>
    <col min="13049" max="13049" width="20.33203125" style="1" customWidth="1"/>
    <col min="13050" max="13051" width="22.88671875" style="1" customWidth="1"/>
    <col min="13052" max="13055" width="18" style="1" customWidth="1"/>
    <col min="13056" max="13056" width="17.21875" style="1" customWidth="1"/>
    <col min="13057" max="13057" width="16.6640625" style="1" customWidth="1"/>
    <col min="13058" max="13058" width="17.44140625" style="1" customWidth="1"/>
    <col min="13059" max="13059" width="24.21875" style="1" customWidth="1"/>
    <col min="13060" max="13060" width="20.44140625" style="1" customWidth="1"/>
    <col min="13061" max="13061" width="41.5546875" style="1" customWidth="1"/>
    <col min="13062" max="13063" width="32.44140625" style="1" customWidth="1"/>
    <col min="13064" max="13068" width="41.5546875" style="1" customWidth="1"/>
    <col min="13069" max="13069" width="30.44140625" style="1" customWidth="1"/>
    <col min="13070" max="13070" width="22.33203125" style="1" customWidth="1"/>
    <col min="13071" max="13071" width="9.109375" style="1"/>
    <col min="13072" max="13072" width="22.88671875" style="1" customWidth="1"/>
    <col min="13073" max="13073" width="23.77734375" style="1" customWidth="1"/>
    <col min="13074" max="13074" width="74.44140625" style="1" customWidth="1"/>
    <col min="13075" max="13076" width="9.109375" style="1"/>
    <col min="13077" max="13077" width="14.109375" style="1" customWidth="1"/>
    <col min="13078" max="13078" width="12.44140625" style="1" customWidth="1"/>
    <col min="13079" max="13079" width="13.44140625" style="1" customWidth="1"/>
    <col min="13080" max="13080" width="11.109375" style="1" customWidth="1"/>
    <col min="13081" max="13084" width="17.33203125" style="1" customWidth="1"/>
    <col min="13085" max="13088" width="9.109375" style="1"/>
    <col min="13089" max="13090" width="22.33203125" style="1" customWidth="1"/>
    <col min="13091" max="13091" width="11.88671875" style="1" customWidth="1"/>
    <col min="13092" max="13092" width="10.109375" style="1" customWidth="1"/>
    <col min="13093" max="13094" width="9.109375" style="1"/>
    <col min="13095" max="13095" width="13.33203125" style="1" customWidth="1"/>
    <col min="13096" max="13096" width="11.44140625" style="1" customWidth="1"/>
    <col min="13097" max="13097" width="13.33203125" style="1" bestFit="1" customWidth="1"/>
    <col min="13098" max="13098" width="16.88671875" style="1" bestFit="1" customWidth="1"/>
    <col min="13099" max="13101" width="14.44140625" style="1" customWidth="1"/>
    <col min="13102" max="13102" width="9.88671875" style="1" customWidth="1"/>
    <col min="13103" max="13105" width="17" style="1" customWidth="1"/>
    <col min="13106" max="13106" width="9.109375" style="1"/>
    <col min="13107" max="13107" width="17" style="1" customWidth="1"/>
    <col min="13108" max="13108" width="10.44140625" style="1" customWidth="1"/>
    <col min="13109" max="13282" width="9.109375" style="1"/>
    <col min="13283" max="13283" width="18.44140625" style="1" customWidth="1"/>
    <col min="13284" max="13284" width="11.88671875" style="1" customWidth="1"/>
    <col min="13285" max="13286" width="10.109375" style="1" customWidth="1"/>
    <col min="13287" max="13288" width="13.6640625" style="1" customWidth="1"/>
    <col min="13289" max="13291" width="23.77734375" style="1" customWidth="1"/>
    <col min="13292" max="13294" width="9.109375" style="1"/>
    <col min="13295" max="13295" width="21" style="1" customWidth="1"/>
    <col min="13296" max="13296" width="12.33203125" style="1" customWidth="1"/>
    <col min="13297" max="13297" width="14" style="1" customWidth="1"/>
    <col min="13298" max="13298" width="10.109375" style="1" bestFit="1" customWidth="1"/>
    <col min="13299" max="13299" width="10.109375" style="1" customWidth="1"/>
    <col min="13300" max="13300" width="27.21875" style="1" customWidth="1"/>
    <col min="13301" max="13301" width="24.5546875" style="1" customWidth="1"/>
    <col min="13302" max="13302" width="16.21875" style="1" customWidth="1"/>
    <col min="13303" max="13303" width="16.33203125" style="1" customWidth="1"/>
    <col min="13304" max="13304" width="18.5546875" style="1" customWidth="1"/>
    <col min="13305" max="13305" width="20.33203125" style="1" customWidth="1"/>
    <col min="13306" max="13307" width="22.88671875" style="1" customWidth="1"/>
    <col min="13308" max="13311" width="18" style="1" customWidth="1"/>
    <col min="13312" max="13312" width="17.21875" style="1" customWidth="1"/>
    <col min="13313" max="13313" width="16.6640625" style="1" customWidth="1"/>
    <col min="13314" max="13314" width="17.44140625" style="1" customWidth="1"/>
    <col min="13315" max="13315" width="24.21875" style="1" customWidth="1"/>
    <col min="13316" max="13316" width="20.44140625" style="1" customWidth="1"/>
    <col min="13317" max="13317" width="41.5546875" style="1" customWidth="1"/>
    <col min="13318" max="13319" width="32.44140625" style="1" customWidth="1"/>
    <col min="13320" max="13324" width="41.5546875" style="1" customWidth="1"/>
    <col min="13325" max="13325" width="30.44140625" style="1" customWidth="1"/>
    <col min="13326" max="13326" width="22.33203125" style="1" customWidth="1"/>
    <col min="13327" max="13327" width="9.109375" style="1"/>
    <col min="13328" max="13328" width="22.88671875" style="1" customWidth="1"/>
    <col min="13329" max="13329" width="23.77734375" style="1" customWidth="1"/>
    <col min="13330" max="13330" width="74.44140625" style="1" customWidth="1"/>
    <col min="13331" max="13332" width="9.109375" style="1"/>
    <col min="13333" max="13333" width="14.109375" style="1" customWidth="1"/>
    <col min="13334" max="13334" width="12.44140625" style="1" customWidth="1"/>
    <col min="13335" max="13335" width="13.44140625" style="1" customWidth="1"/>
    <col min="13336" max="13336" width="11.109375" style="1" customWidth="1"/>
    <col min="13337" max="13340" width="17.33203125" style="1" customWidth="1"/>
    <col min="13341" max="13344" width="9.109375" style="1"/>
    <col min="13345" max="13346" width="22.33203125" style="1" customWidth="1"/>
    <col min="13347" max="13347" width="11.88671875" style="1" customWidth="1"/>
    <col min="13348" max="13348" width="10.109375" style="1" customWidth="1"/>
    <col min="13349" max="13350" width="9.109375" style="1"/>
    <col min="13351" max="13351" width="13.33203125" style="1" customWidth="1"/>
    <col min="13352" max="13352" width="11.44140625" style="1" customWidth="1"/>
    <col min="13353" max="13353" width="13.33203125" style="1" bestFit="1" customWidth="1"/>
    <col min="13354" max="13354" width="16.88671875" style="1" bestFit="1" customWidth="1"/>
    <col min="13355" max="13357" width="14.44140625" style="1" customWidth="1"/>
    <col min="13358" max="13358" width="9.88671875" style="1" customWidth="1"/>
    <col min="13359" max="13361" width="17" style="1" customWidth="1"/>
    <col min="13362" max="13362" width="9.109375" style="1"/>
    <col min="13363" max="13363" width="17" style="1" customWidth="1"/>
    <col min="13364" max="13364" width="10.44140625" style="1" customWidth="1"/>
    <col min="13365" max="13538" width="9.109375" style="1"/>
    <col min="13539" max="13539" width="18.44140625" style="1" customWidth="1"/>
    <col min="13540" max="13540" width="11.88671875" style="1" customWidth="1"/>
    <col min="13541" max="13542" width="10.109375" style="1" customWidth="1"/>
    <col min="13543" max="13544" width="13.6640625" style="1" customWidth="1"/>
    <col min="13545" max="13547" width="23.77734375" style="1" customWidth="1"/>
    <col min="13548" max="13550" width="9.109375" style="1"/>
    <col min="13551" max="13551" width="21" style="1" customWidth="1"/>
    <col min="13552" max="13552" width="12.33203125" style="1" customWidth="1"/>
    <col min="13553" max="13553" width="14" style="1" customWidth="1"/>
    <col min="13554" max="13554" width="10.109375" style="1" bestFit="1" customWidth="1"/>
    <col min="13555" max="13555" width="10.109375" style="1" customWidth="1"/>
    <col min="13556" max="13556" width="27.21875" style="1" customWidth="1"/>
    <col min="13557" max="13557" width="24.5546875" style="1" customWidth="1"/>
    <col min="13558" max="13558" width="16.21875" style="1" customWidth="1"/>
    <col min="13559" max="13559" width="16.33203125" style="1" customWidth="1"/>
    <col min="13560" max="13560" width="18.5546875" style="1" customWidth="1"/>
    <col min="13561" max="13561" width="20.33203125" style="1" customWidth="1"/>
    <col min="13562" max="13563" width="22.88671875" style="1" customWidth="1"/>
    <col min="13564" max="13567" width="18" style="1" customWidth="1"/>
    <col min="13568" max="13568" width="17.21875" style="1" customWidth="1"/>
    <col min="13569" max="13569" width="16.6640625" style="1" customWidth="1"/>
    <col min="13570" max="13570" width="17.44140625" style="1" customWidth="1"/>
    <col min="13571" max="13571" width="24.21875" style="1" customWidth="1"/>
    <col min="13572" max="13572" width="20.44140625" style="1" customWidth="1"/>
    <col min="13573" max="13573" width="41.5546875" style="1" customWidth="1"/>
    <col min="13574" max="13575" width="32.44140625" style="1" customWidth="1"/>
    <col min="13576" max="13580" width="41.5546875" style="1" customWidth="1"/>
    <col min="13581" max="13581" width="30.44140625" style="1" customWidth="1"/>
    <col min="13582" max="13582" width="22.33203125" style="1" customWidth="1"/>
    <col min="13583" max="13583" width="9.109375" style="1"/>
    <col min="13584" max="13584" width="22.88671875" style="1" customWidth="1"/>
    <col min="13585" max="13585" width="23.77734375" style="1" customWidth="1"/>
    <col min="13586" max="13586" width="74.44140625" style="1" customWidth="1"/>
    <col min="13587" max="13588" width="9.109375" style="1"/>
    <col min="13589" max="13589" width="14.109375" style="1" customWidth="1"/>
    <col min="13590" max="13590" width="12.44140625" style="1" customWidth="1"/>
    <col min="13591" max="13591" width="13.44140625" style="1" customWidth="1"/>
    <col min="13592" max="13592" width="11.109375" style="1" customWidth="1"/>
    <col min="13593" max="13596" width="17.33203125" style="1" customWidth="1"/>
    <col min="13597" max="13600" width="9.109375" style="1"/>
    <col min="13601" max="13602" width="22.33203125" style="1" customWidth="1"/>
    <col min="13603" max="13603" width="11.88671875" style="1" customWidth="1"/>
    <col min="13604" max="13604" width="10.109375" style="1" customWidth="1"/>
    <col min="13605" max="13606" width="9.109375" style="1"/>
    <col min="13607" max="13607" width="13.33203125" style="1" customWidth="1"/>
    <col min="13608" max="13608" width="11.44140625" style="1" customWidth="1"/>
    <col min="13609" max="13609" width="13.33203125" style="1" bestFit="1" customWidth="1"/>
    <col min="13610" max="13610" width="16.88671875" style="1" bestFit="1" customWidth="1"/>
    <col min="13611" max="13613" width="14.44140625" style="1" customWidth="1"/>
    <col min="13614" max="13614" width="9.88671875" style="1" customWidth="1"/>
    <col min="13615" max="13617" width="17" style="1" customWidth="1"/>
    <col min="13618" max="13618" width="9.109375" style="1"/>
    <col min="13619" max="13619" width="17" style="1" customWidth="1"/>
    <col min="13620" max="13620" width="10.44140625" style="1" customWidth="1"/>
    <col min="13621" max="13794" width="9.109375" style="1"/>
    <col min="13795" max="13795" width="18.44140625" style="1" customWidth="1"/>
    <col min="13796" max="13796" width="11.88671875" style="1" customWidth="1"/>
    <col min="13797" max="13798" width="10.109375" style="1" customWidth="1"/>
    <col min="13799" max="13800" width="13.6640625" style="1" customWidth="1"/>
    <col min="13801" max="13803" width="23.77734375" style="1" customWidth="1"/>
    <col min="13804" max="13806" width="9.109375" style="1"/>
    <col min="13807" max="13807" width="21" style="1" customWidth="1"/>
    <col min="13808" max="13808" width="12.33203125" style="1" customWidth="1"/>
    <col min="13809" max="13809" width="14" style="1" customWidth="1"/>
    <col min="13810" max="13810" width="10.109375" style="1" bestFit="1" customWidth="1"/>
    <col min="13811" max="13811" width="10.109375" style="1" customWidth="1"/>
    <col min="13812" max="13812" width="27.21875" style="1" customWidth="1"/>
    <col min="13813" max="13813" width="24.5546875" style="1" customWidth="1"/>
    <col min="13814" max="13814" width="16.21875" style="1" customWidth="1"/>
    <col min="13815" max="13815" width="16.33203125" style="1" customWidth="1"/>
    <col min="13816" max="13816" width="18.5546875" style="1" customWidth="1"/>
    <col min="13817" max="13817" width="20.33203125" style="1" customWidth="1"/>
    <col min="13818" max="13819" width="22.88671875" style="1" customWidth="1"/>
    <col min="13820" max="13823" width="18" style="1" customWidth="1"/>
    <col min="13824" max="13824" width="17.21875" style="1" customWidth="1"/>
    <col min="13825" max="13825" width="16.6640625" style="1" customWidth="1"/>
    <col min="13826" max="13826" width="17.44140625" style="1" customWidth="1"/>
    <col min="13827" max="13827" width="24.21875" style="1" customWidth="1"/>
    <col min="13828" max="13828" width="20.44140625" style="1" customWidth="1"/>
    <col min="13829" max="13829" width="41.5546875" style="1" customWidth="1"/>
    <col min="13830" max="13831" width="32.44140625" style="1" customWidth="1"/>
    <col min="13832" max="13836" width="41.5546875" style="1" customWidth="1"/>
    <col min="13837" max="13837" width="30.44140625" style="1" customWidth="1"/>
    <col min="13838" max="13838" width="22.33203125" style="1" customWidth="1"/>
    <col min="13839" max="13839" width="9.109375" style="1"/>
    <col min="13840" max="13840" width="22.88671875" style="1" customWidth="1"/>
    <col min="13841" max="13841" width="23.77734375" style="1" customWidth="1"/>
    <col min="13842" max="13842" width="74.44140625" style="1" customWidth="1"/>
    <col min="13843" max="13844" width="9.109375" style="1"/>
    <col min="13845" max="13845" width="14.109375" style="1" customWidth="1"/>
    <col min="13846" max="13846" width="12.44140625" style="1" customWidth="1"/>
    <col min="13847" max="13847" width="13.44140625" style="1" customWidth="1"/>
    <col min="13848" max="13848" width="11.109375" style="1" customWidth="1"/>
    <col min="13849" max="13852" width="17.33203125" style="1" customWidth="1"/>
    <col min="13853" max="13856" width="9.109375" style="1"/>
    <col min="13857" max="13858" width="22.33203125" style="1" customWidth="1"/>
    <col min="13859" max="13859" width="11.88671875" style="1" customWidth="1"/>
    <col min="13860" max="13860" width="10.109375" style="1" customWidth="1"/>
    <col min="13861" max="13862" width="9.109375" style="1"/>
    <col min="13863" max="13863" width="13.33203125" style="1" customWidth="1"/>
    <col min="13864" max="13864" width="11.44140625" style="1" customWidth="1"/>
    <col min="13865" max="13865" width="13.33203125" style="1" bestFit="1" customWidth="1"/>
    <col min="13866" max="13866" width="16.88671875" style="1" bestFit="1" customWidth="1"/>
    <col min="13867" max="13869" width="14.44140625" style="1" customWidth="1"/>
    <col min="13870" max="13870" width="9.88671875" style="1" customWidth="1"/>
    <col min="13871" max="13873" width="17" style="1" customWidth="1"/>
    <col min="13874" max="13874" width="9.109375" style="1"/>
    <col min="13875" max="13875" width="17" style="1" customWidth="1"/>
    <col min="13876" max="13876" width="10.44140625" style="1" customWidth="1"/>
    <col min="13877" max="14050" width="9.109375" style="1"/>
    <col min="14051" max="14051" width="18.44140625" style="1" customWidth="1"/>
    <col min="14052" max="14052" width="11.88671875" style="1" customWidth="1"/>
    <col min="14053" max="14054" width="10.109375" style="1" customWidth="1"/>
    <col min="14055" max="14056" width="13.6640625" style="1" customWidth="1"/>
    <col min="14057" max="14059" width="23.77734375" style="1" customWidth="1"/>
    <col min="14060" max="14062" width="9.109375" style="1"/>
    <col min="14063" max="14063" width="21" style="1" customWidth="1"/>
    <col min="14064" max="14064" width="12.33203125" style="1" customWidth="1"/>
    <col min="14065" max="14065" width="14" style="1" customWidth="1"/>
    <col min="14066" max="14066" width="10.109375" style="1" bestFit="1" customWidth="1"/>
    <col min="14067" max="14067" width="10.109375" style="1" customWidth="1"/>
    <col min="14068" max="14068" width="27.21875" style="1" customWidth="1"/>
    <col min="14069" max="14069" width="24.5546875" style="1" customWidth="1"/>
    <col min="14070" max="14070" width="16.21875" style="1" customWidth="1"/>
    <col min="14071" max="14071" width="16.33203125" style="1" customWidth="1"/>
    <col min="14072" max="14072" width="18.5546875" style="1" customWidth="1"/>
    <col min="14073" max="14073" width="20.33203125" style="1" customWidth="1"/>
    <col min="14074" max="14075" width="22.88671875" style="1" customWidth="1"/>
    <col min="14076" max="14079" width="18" style="1" customWidth="1"/>
    <col min="14080" max="14080" width="17.21875" style="1" customWidth="1"/>
    <col min="14081" max="14081" width="16.6640625" style="1" customWidth="1"/>
    <col min="14082" max="14082" width="17.44140625" style="1" customWidth="1"/>
    <col min="14083" max="14083" width="24.21875" style="1" customWidth="1"/>
    <col min="14084" max="14084" width="20.44140625" style="1" customWidth="1"/>
    <col min="14085" max="14085" width="41.5546875" style="1" customWidth="1"/>
    <col min="14086" max="14087" width="32.44140625" style="1" customWidth="1"/>
    <col min="14088" max="14092" width="41.5546875" style="1" customWidth="1"/>
    <col min="14093" max="14093" width="30.44140625" style="1" customWidth="1"/>
    <col min="14094" max="14094" width="22.33203125" style="1" customWidth="1"/>
    <col min="14095" max="14095" width="9.109375" style="1"/>
    <col min="14096" max="14096" width="22.88671875" style="1" customWidth="1"/>
    <col min="14097" max="14097" width="23.77734375" style="1" customWidth="1"/>
    <col min="14098" max="14098" width="74.44140625" style="1" customWidth="1"/>
    <col min="14099" max="14100" width="9.109375" style="1"/>
    <col min="14101" max="14101" width="14.109375" style="1" customWidth="1"/>
    <col min="14102" max="14102" width="12.44140625" style="1" customWidth="1"/>
    <col min="14103" max="14103" width="13.44140625" style="1" customWidth="1"/>
    <col min="14104" max="14104" width="11.109375" style="1" customWidth="1"/>
    <col min="14105" max="14108" width="17.33203125" style="1" customWidth="1"/>
    <col min="14109" max="14112" width="9.109375" style="1"/>
    <col min="14113" max="14114" width="22.33203125" style="1" customWidth="1"/>
    <col min="14115" max="14115" width="11.88671875" style="1" customWidth="1"/>
    <col min="14116" max="14116" width="10.109375" style="1" customWidth="1"/>
    <col min="14117" max="14118" width="9.109375" style="1"/>
    <col min="14119" max="14119" width="13.33203125" style="1" customWidth="1"/>
    <col min="14120" max="14120" width="11.44140625" style="1" customWidth="1"/>
    <col min="14121" max="14121" width="13.33203125" style="1" bestFit="1" customWidth="1"/>
    <col min="14122" max="14122" width="16.88671875" style="1" bestFit="1" customWidth="1"/>
    <col min="14123" max="14125" width="14.44140625" style="1" customWidth="1"/>
    <col min="14126" max="14126" width="9.88671875" style="1" customWidth="1"/>
    <col min="14127" max="14129" width="17" style="1" customWidth="1"/>
    <col min="14130" max="14130" width="9.109375" style="1"/>
    <col min="14131" max="14131" width="17" style="1" customWidth="1"/>
    <col min="14132" max="14132" width="10.44140625" style="1" customWidth="1"/>
    <col min="14133" max="14306" width="9.109375" style="1"/>
    <col min="14307" max="14307" width="18.44140625" style="1" customWidth="1"/>
    <col min="14308" max="14308" width="11.88671875" style="1" customWidth="1"/>
    <col min="14309" max="14310" width="10.109375" style="1" customWidth="1"/>
    <col min="14311" max="14312" width="13.6640625" style="1" customWidth="1"/>
    <col min="14313" max="14315" width="23.77734375" style="1" customWidth="1"/>
    <col min="14316" max="14318" width="9.109375" style="1"/>
    <col min="14319" max="14319" width="21" style="1" customWidth="1"/>
    <col min="14320" max="14320" width="12.33203125" style="1" customWidth="1"/>
    <col min="14321" max="14321" width="14" style="1" customWidth="1"/>
    <col min="14322" max="14322" width="10.109375" style="1" bestFit="1" customWidth="1"/>
    <col min="14323" max="14323" width="10.109375" style="1" customWidth="1"/>
    <col min="14324" max="14324" width="27.21875" style="1" customWidth="1"/>
    <col min="14325" max="14325" width="24.5546875" style="1" customWidth="1"/>
    <col min="14326" max="14326" width="16.21875" style="1" customWidth="1"/>
    <col min="14327" max="14327" width="16.33203125" style="1" customWidth="1"/>
    <col min="14328" max="14328" width="18.5546875" style="1" customWidth="1"/>
    <col min="14329" max="14329" width="20.33203125" style="1" customWidth="1"/>
    <col min="14330" max="14331" width="22.88671875" style="1" customWidth="1"/>
    <col min="14332" max="14335" width="18" style="1" customWidth="1"/>
    <col min="14336" max="14336" width="17.21875" style="1" customWidth="1"/>
    <col min="14337" max="14337" width="16.6640625" style="1" customWidth="1"/>
    <col min="14338" max="14338" width="17.44140625" style="1" customWidth="1"/>
    <col min="14339" max="14339" width="24.21875" style="1" customWidth="1"/>
    <col min="14340" max="14340" width="20.44140625" style="1" customWidth="1"/>
    <col min="14341" max="14341" width="41.5546875" style="1" customWidth="1"/>
    <col min="14342" max="14343" width="32.44140625" style="1" customWidth="1"/>
    <col min="14344" max="14348" width="41.5546875" style="1" customWidth="1"/>
    <col min="14349" max="14349" width="30.44140625" style="1" customWidth="1"/>
    <col min="14350" max="14350" width="22.33203125" style="1" customWidth="1"/>
    <col min="14351" max="14351" width="9.109375" style="1"/>
    <col min="14352" max="14352" width="22.88671875" style="1" customWidth="1"/>
    <col min="14353" max="14353" width="23.77734375" style="1" customWidth="1"/>
    <col min="14354" max="14354" width="74.44140625" style="1" customWidth="1"/>
    <col min="14355" max="14356" width="9.109375" style="1"/>
    <col min="14357" max="14357" width="14.109375" style="1" customWidth="1"/>
    <col min="14358" max="14358" width="12.44140625" style="1" customWidth="1"/>
    <col min="14359" max="14359" width="13.44140625" style="1" customWidth="1"/>
    <col min="14360" max="14360" width="11.109375" style="1" customWidth="1"/>
    <col min="14361" max="14364" width="17.33203125" style="1" customWidth="1"/>
    <col min="14365" max="14368" width="9.109375" style="1"/>
    <col min="14369" max="14370" width="22.33203125" style="1" customWidth="1"/>
    <col min="14371" max="14371" width="11.88671875" style="1" customWidth="1"/>
    <col min="14372" max="14372" width="10.109375" style="1" customWidth="1"/>
    <col min="14373" max="14374" width="9.109375" style="1"/>
    <col min="14375" max="14375" width="13.33203125" style="1" customWidth="1"/>
    <col min="14376" max="14376" width="11.44140625" style="1" customWidth="1"/>
    <col min="14377" max="14377" width="13.33203125" style="1" bestFit="1" customWidth="1"/>
    <col min="14378" max="14378" width="16.88671875" style="1" bestFit="1" customWidth="1"/>
    <col min="14379" max="14381" width="14.44140625" style="1" customWidth="1"/>
    <col min="14382" max="14382" width="9.88671875" style="1" customWidth="1"/>
    <col min="14383" max="14385" width="17" style="1" customWidth="1"/>
    <col min="14386" max="14386" width="9.109375" style="1"/>
    <col min="14387" max="14387" width="17" style="1" customWidth="1"/>
    <col min="14388" max="14388" width="10.44140625" style="1" customWidth="1"/>
    <col min="14389" max="14562" width="9.109375" style="1"/>
    <col min="14563" max="14563" width="18.44140625" style="1" customWidth="1"/>
    <col min="14564" max="14564" width="11.88671875" style="1" customWidth="1"/>
    <col min="14565" max="14566" width="10.109375" style="1" customWidth="1"/>
    <col min="14567" max="14568" width="13.6640625" style="1" customWidth="1"/>
    <col min="14569" max="14571" width="23.77734375" style="1" customWidth="1"/>
    <col min="14572" max="14574" width="9.109375" style="1"/>
    <col min="14575" max="14575" width="21" style="1" customWidth="1"/>
    <col min="14576" max="14576" width="12.33203125" style="1" customWidth="1"/>
    <col min="14577" max="14577" width="14" style="1" customWidth="1"/>
    <col min="14578" max="14578" width="10.109375" style="1" bestFit="1" customWidth="1"/>
    <col min="14579" max="14579" width="10.109375" style="1" customWidth="1"/>
    <col min="14580" max="14580" width="27.21875" style="1" customWidth="1"/>
    <col min="14581" max="14581" width="24.5546875" style="1" customWidth="1"/>
    <col min="14582" max="14582" width="16.21875" style="1" customWidth="1"/>
    <col min="14583" max="14583" width="16.33203125" style="1" customWidth="1"/>
    <col min="14584" max="14584" width="18.5546875" style="1" customWidth="1"/>
    <col min="14585" max="14585" width="20.33203125" style="1" customWidth="1"/>
    <col min="14586" max="14587" width="22.88671875" style="1" customWidth="1"/>
    <col min="14588" max="14591" width="18" style="1" customWidth="1"/>
    <col min="14592" max="14592" width="17.21875" style="1" customWidth="1"/>
    <col min="14593" max="14593" width="16.6640625" style="1" customWidth="1"/>
    <col min="14594" max="14594" width="17.44140625" style="1" customWidth="1"/>
    <col min="14595" max="14595" width="24.21875" style="1" customWidth="1"/>
    <col min="14596" max="14596" width="20.44140625" style="1" customWidth="1"/>
    <col min="14597" max="14597" width="41.5546875" style="1" customWidth="1"/>
    <col min="14598" max="14599" width="32.44140625" style="1" customWidth="1"/>
    <col min="14600" max="14604" width="41.5546875" style="1" customWidth="1"/>
    <col min="14605" max="14605" width="30.44140625" style="1" customWidth="1"/>
    <col min="14606" max="14606" width="22.33203125" style="1" customWidth="1"/>
    <col min="14607" max="14607" width="9.109375" style="1"/>
    <col min="14608" max="14608" width="22.88671875" style="1" customWidth="1"/>
    <col min="14609" max="14609" width="23.77734375" style="1" customWidth="1"/>
    <col min="14610" max="14610" width="74.44140625" style="1" customWidth="1"/>
    <col min="14611" max="14612" width="9.109375" style="1"/>
    <col min="14613" max="14613" width="14.109375" style="1" customWidth="1"/>
    <col min="14614" max="14614" width="12.44140625" style="1" customWidth="1"/>
    <col min="14615" max="14615" width="13.44140625" style="1" customWidth="1"/>
    <col min="14616" max="14616" width="11.109375" style="1" customWidth="1"/>
    <col min="14617" max="14620" width="17.33203125" style="1" customWidth="1"/>
    <col min="14621" max="14624" width="9.109375" style="1"/>
    <col min="14625" max="14626" width="22.33203125" style="1" customWidth="1"/>
    <col min="14627" max="14627" width="11.88671875" style="1" customWidth="1"/>
    <col min="14628" max="14628" width="10.109375" style="1" customWidth="1"/>
    <col min="14629" max="14630" width="9.109375" style="1"/>
    <col min="14631" max="14631" width="13.33203125" style="1" customWidth="1"/>
    <col min="14632" max="14632" width="11.44140625" style="1" customWidth="1"/>
    <col min="14633" max="14633" width="13.33203125" style="1" bestFit="1" customWidth="1"/>
    <col min="14634" max="14634" width="16.88671875" style="1" bestFit="1" customWidth="1"/>
    <col min="14635" max="14637" width="14.44140625" style="1" customWidth="1"/>
    <col min="14638" max="14638" width="9.88671875" style="1" customWidth="1"/>
    <col min="14639" max="14641" width="17" style="1" customWidth="1"/>
    <col min="14642" max="14642" width="9.109375" style="1"/>
    <col min="14643" max="14643" width="17" style="1" customWidth="1"/>
    <col min="14644" max="14644" width="10.44140625" style="1" customWidth="1"/>
    <col min="14645" max="14818" width="9.109375" style="1"/>
    <col min="14819" max="14819" width="18.44140625" style="1" customWidth="1"/>
    <col min="14820" max="14820" width="11.88671875" style="1" customWidth="1"/>
    <col min="14821" max="14822" width="10.109375" style="1" customWidth="1"/>
    <col min="14823" max="14824" width="13.6640625" style="1" customWidth="1"/>
    <col min="14825" max="14827" width="23.77734375" style="1" customWidth="1"/>
    <col min="14828" max="14830" width="9.109375" style="1"/>
    <col min="14831" max="14831" width="21" style="1" customWidth="1"/>
    <col min="14832" max="14832" width="12.33203125" style="1" customWidth="1"/>
    <col min="14833" max="14833" width="14" style="1" customWidth="1"/>
    <col min="14834" max="14834" width="10.109375" style="1" bestFit="1" customWidth="1"/>
    <col min="14835" max="14835" width="10.109375" style="1" customWidth="1"/>
    <col min="14836" max="14836" width="27.21875" style="1" customWidth="1"/>
    <col min="14837" max="14837" width="24.5546875" style="1" customWidth="1"/>
    <col min="14838" max="14838" width="16.21875" style="1" customWidth="1"/>
    <col min="14839" max="14839" width="16.33203125" style="1" customWidth="1"/>
    <col min="14840" max="14840" width="18.5546875" style="1" customWidth="1"/>
    <col min="14841" max="14841" width="20.33203125" style="1" customWidth="1"/>
    <col min="14842" max="14843" width="22.88671875" style="1" customWidth="1"/>
    <col min="14844" max="14847" width="18" style="1" customWidth="1"/>
    <col min="14848" max="14848" width="17.21875" style="1" customWidth="1"/>
    <col min="14849" max="14849" width="16.6640625" style="1" customWidth="1"/>
    <col min="14850" max="14850" width="17.44140625" style="1" customWidth="1"/>
    <col min="14851" max="14851" width="24.21875" style="1" customWidth="1"/>
    <col min="14852" max="14852" width="20.44140625" style="1" customWidth="1"/>
    <col min="14853" max="14853" width="41.5546875" style="1" customWidth="1"/>
    <col min="14854" max="14855" width="32.44140625" style="1" customWidth="1"/>
    <col min="14856" max="14860" width="41.5546875" style="1" customWidth="1"/>
    <col min="14861" max="14861" width="30.44140625" style="1" customWidth="1"/>
    <col min="14862" max="14862" width="22.33203125" style="1" customWidth="1"/>
    <col min="14863" max="14863" width="9.109375" style="1"/>
    <col min="14864" max="14864" width="22.88671875" style="1" customWidth="1"/>
    <col min="14865" max="14865" width="23.77734375" style="1" customWidth="1"/>
    <col min="14866" max="14866" width="74.44140625" style="1" customWidth="1"/>
    <col min="14867" max="14868" width="9.109375" style="1"/>
    <col min="14869" max="14869" width="14.109375" style="1" customWidth="1"/>
    <col min="14870" max="14870" width="12.44140625" style="1" customWidth="1"/>
    <col min="14871" max="14871" width="13.44140625" style="1" customWidth="1"/>
    <col min="14872" max="14872" width="11.109375" style="1" customWidth="1"/>
    <col min="14873" max="14876" width="17.33203125" style="1" customWidth="1"/>
    <col min="14877" max="14880" width="9.109375" style="1"/>
    <col min="14881" max="14882" width="22.33203125" style="1" customWidth="1"/>
    <col min="14883" max="14883" width="11.88671875" style="1" customWidth="1"/>
    <col min="14884" max="14884" width="10.109375" style="1" customWidth="1"/>
    <col min="14885" max="14886" width="9.109375" style="1"/>
    <col min="14887" max="14887" width="13.33203125" style="1" customWidth="1"/>
    <col min="14888" max="14888" width="11.44140625" style="1" customWidth="1"/>
    <col min="14889" max="14889" width="13.33203125" style="1" bestFit="1" customWidth="1"/>
    <col min="14890" max="14890" width="16.88671875" style="1" bestFit="1" customWidth="1"/>
    <col min="14891" max="14893" width="14.44140625" style="1" customWidth="1"/>
    <col min="14894" max="14894" width="9.88671875" style="1" customWidth="1"/>
    <col min="14895" max="14897" width="17" style="1" customWidth="1"/>
    <col min="14898" max="14898" width="9.109375" style="1"/>
    <col min="14899" max="14899" width="17" style="1" customWidth="1"/>
    <col min="14900" max="14900" width="10.44140625" style="1" customWidth="1"/>
    <col min="14901" max="15074" width="9.109375" style="1"/>
    <col min="15075" max="15075" width="18.44140625" style="1" customWidth="1"/>
    <col min="15076" max="15076" width="11.88671875" style="1" customWidth="1"/>
    <col min="15077" max="15078" width="10.109375" style="1" customWidth="1"/>
    <col min="15079" max="15080" width="13.6640625" style="1" customWidth="1"/>
    <col min="15081" max="15083" width="23.77734375" style="1" customWidth="1"/>
    <col min="15084" max="15086" width="9.109375" style="1"/>
    <col min="15087" max="15087" width="21" style="1" customWidth="1"/>
    <col min="15088" max="15088" width="12.33203125" style="1" customWidth="1"/>
    <col min="15089" max="15089" width="14" style="1" customWidth="1"/>
    <col min="15090" max="15090" width="10.109375" style="1" bestFit="1" customWidth="1"/>
    <col min="15091" max="15091" width="10.109375" style="1" customWidth="1"/>
    <col min="15092" max="15092" width="27.21875" style="1" customWidth="1"/>
    <col min="15093" max="15093" width="24.5546875" style="1" customWidth="1"/>
    <col min="15094" max="15094" width="16.21875" style="1" customWidth="1"/>
    <col min="15095" max="15095" width="16.33203125" style="1" customWidth="1"/>
    <col min="15096" max="15096" width="18.5546875" style="1" customWidth="1"/>
    <col min="15097" max="15097" width="20.33203125" style="1" customWidth="1"/>
    <col min="15098" max="15099" width="22.88671875" style="1" customWidth="1"/>
    <col min="15100" max="15103" width="18" style="1" customWidth="1"/>
    <col min="15104" max="15104" width="17.21875" style="1" customWidth="1"/>
    <col min="15105" max="15105" width="16.6640625" style="1" customWidth="1"/>
    <col min="15106" max="15106" width="17.44140625" style="1" customWidth="1"/>
    <col min="15107" max="15107" width="24.21875" style="1" customWidth="1"/>
    <col min="15108" max="15108" width="20.44140625" style="1" customWidth="1"/>
    <col min="15109" max="15109" width="41.5546875" style="1" customWidth="1"/>
    <col min="15110" max="15111" width="32.44140625" style="1" customWidth="1"/>
    <col min="15112" max="15116" width="41.5546875" style="1" customWidth="1"/>
    <col min="15117" max="15117" width="30.44140625" style="1" customWidth="1"/>
    <col min="15118" max="15118" width="22.33203125" style="1" customWidth="1"/>
    <col min="15119" max="15119" width="9.109375" style="1"/>
    <col min="15120" max="15120" width="22.88671875" style="1" customWidth="1"/>
    <col min="15121" max="15121" width="23.77734375" style="1" customWidth="1"/>
    <col min="15122" max="15122" width="74.44140625" style="1" customWidth="1"/>
    <col min="15123" max="15124" width="9.109375" style="1"/>
    <col min="15125" max="15125" width="14.109375" style="1" customWidth="1"/>
    <col min="15126" max="15126" width="12.44140625" style="1" customWidth="1"/>
    <col min="15127" max="15127" width="13.44140625" style="1" customWidth="1"/>
    <col min="15128" max="15128" width="11.109375" style="1" customWidth="1"/>
    <col min="15129" max="15132" width="17.33203125" style="1" customWidth="1"/>
    <col min="15133" max="15136" width="9.109375" style="1"/>
    <col min="15137" max="15138" width="22.33203125" style="1" customWidth="1"/>
    <col min="15139" max="15139" width="11.88671875" style="1" customWidth="1"/>
    <col min="15140" max="15140" width="10.109375" style="1" customWidth="1"/>
    <col min="15141" max="15142" width="9.109375" style="1"/>
    <col min="15143" max="15143" width="13.33203125" style="1" customWidth="1"/>
    <col min="15144" max="15144" width="11.44140625" style="1" customWidth="1"/>
    <col min="15145" max="15145" width="13.33203125" style="1" bestFit="1" customWidth="1"/>
    <col min="15146" max="15146" width="16.88671875" style="1" bestFit="1" customWidth="1"/>
    <col min="15147" max="15149" width="14.44140625" style="1" customWidth="1"/>
    <col min="15150" max="15150" width="9.88671875" style="1" customWidth="1"/>
    <col min="15151" max="15153" width="17" style="1" customWidth="1"/>
    <col min="15154" max="15154" width="9.109375" style="1"/>
    <col min="15155" max="15155" width="17" style="1" customWidth="1"/>
    <col min="15156" max="15156" width="10.44140625" style="1" customWidth="1"/>
    <col min="15157" max="15330" width="9.109375" style="1"/>
    <col min="15331" max="15331" width="18.44140625" style="1" customWidth="1"/>
    <col min="15332" max="15332" width="11.88671875" style="1" customWidth="1"/>
    <col min="15333" max="15334" width="10.109375" style="1" customWidth="1"/>
    <col min="15335" max="15336" width="13.6640625" style="1" customWidth="1"/>
    <col min="15337" max="15339" width="23.77734375" style="1" customWidth="1"/>
    <col min="15340" max="15342" width="9.109375" style="1"/>
    <col min="15343" max="15343" width="21" style="1" customWidth="1"/>
    <col min="15344" max="15344" width="12.33203125" style="1" customWidth="1"/>
    <col min="15345" max="15345" width="14" style="1" customWidth="1"/>
    <col min="15346" max="15346" width="10.109375" style="1" bestFit="1" customWidth="1"/>
    <col min="15347" max="15347" width="10.109375" style="1" customWidth="1"/>
    <col min="15348" max="15348" width="27.21875" style="1" customWidth="1"/>
    <col min="15349" max="15349" width="24.5546875" style="1" customWidth="1"/>
    <col min="15350" max="15350" width="16.21875" style="1" customWidth="1"/>
    <col min="15351" max="15351" width="16.33203125" style="1" customWidth="1"/>
    <col min="15352" max="15352" width="18.5546875" style="1" customWidth="1"/>
    <col min="15353" max="15353" width="20.33203125" style="1" customWidth="1"/>
    <col min="15354" max="15355" width="22.88671875" style="1" customWidth="1"/>
    <col min="15356" max="15359" width="18" style="1" customWidth="1"/>
    <col min="15360" max="15360" width="17.21875" style="1" customWidth="1"/>
    <col min="15361" max="15361" width="16.6640625" style="1" customWidth="1"/>
    <col min="15362" max="15362" width="17.44140625" style="1" customWidth="1"/>
    <col min="15363" max="15363" width="24.21875" style="1" customWidth="1"/>
    <col min="15364" max="15364" width="20.44140625" style="1" customWidth="1"/>
    <col min="15365" max="15365" width="41.5546875" style="1" customWidth="1"/>
    <col min="15366" max="15367" width="32.44140625" style="1" customWidth="1"/>
    <col min="15368" max="15372" width="41.5546875" style="1" customWidth="1"/>
    <col min="15373" max="15373" width="30.44140625" style="1" customWidth="1"/>
    <col min="15374" max="15374" width="22.33203125" style="1" customWidth="1"/>
    <col min="15375" max="15375" width="9.109375" style="1"/>
    <col min="15376" max="15376" width="22.88671875" style="1" customWidth="1"/>
    <col min="15377" max="15377" width="23.77734375" style="1" customWidth="1"/>
    <col min="15378" max="15378" width="74.44140625" style="1" customWidth="1"/>
    <col min="15379" max="15380" width="9.109375" style="1"/>
    <col min="15381" max="15381" width="14.109375" style="1" customWidth="1"/>
    <col min="15382" max="15382" width="12.44140625" style="1" customWidth="1"/>
    <col min="15383" max="15383" width="13.44140625" style="1" customWidth="1"/>
    <col min="15384" max="15384" width="11.109375" style="1" customWidth="1"/>
    <col min="15385" max="15388" width="17.33203125" style="1" customWidth="1"/>
    <col min="15389" max="15392" width="9.109375" style="1"/>
    <col min="15393" max="15394" width="22.33203125" style="1" customWidth="1"/>
    <col min="15395" max="15395" width="11.88671875" style="1" customWidth="1"/>
    <col min="15396" max="15396" width="10.109375" style="1" customWidth="1"/>
    <col min="15397" max="15398" width="9.109375" style="1"/>
    <col min="15399" max="15399" width="13.33203125" style="1" customWidth="1"/>
    <col min="15400" max="15400" width="11.44140625" style="1" customWidth="1"/>
    <col min="15401" max="15401" width="13.33203125" style="1" bestFit="1" customWidth="1"/>
    <col min="15402" max="15402" width="16.88671875" style="1" bestFit="1" customWidth="1"/>
    <col min="15403" max="15405" width="14.44140625" style="1" customWidth="1"/>
    <col min="15406" max="15406" width="9.88671875" style="1" customWidth="1"/>
    <col min="15407" max="15409" width="17" style="1" customWidth="1"/>
    <col min="15410" max="15410" width="9.109375" style="1"/>
    <col min="15411" max="15411" width="17" style="1" customWidth="1"/>
    <col min="15412" max="15412" width="10.44140625" style="1" customWidth="1"/>
    <col min="15413" max="15586" width="9.109375" style="1"/>
    <col min="15587" max="15587" width="18.44140625" style="1" customWidth="1"/>
    <col min="15588" max="15588" width="11.88671875" style="1" customWidth="1"/>
    <col min="15589" max="15590" width="10.109375" style="1" customWidth="1"/>
    <col min="15591" max="15592" width="13.6640625" style="1" customWidth="1"/>
    <col min="15593" max="15595" width="23.77734375" style="1" customWidth="1"/>
    <col min="15596" max="15598" width="9.109375" style="1"/>
    <col min="15599" max="15599" width="21" style="1" customWidth="1"/>
    <col min="15600" max="15600" width="12.33203125" style="1" customWidth="1"/>
    <col min="15601" max="15601" width="14" style="1" customWidth="1"/>
    <col min="15602" max="15602" width="10.109375" style="1" bestFit="1" customWidth="1"/>
    <col min="15603" max="15603" width="10.109375" style="1" customWidth="1"/>
    <col min="15604" max="15604" width="27.21875" style="1" customWidth="1"/>
    <col min="15605" max="15605" width="24.5546875" style="1" customWidth="1"/>
    <col min="15606" max="15606" width="16.21875" style="1" customWidth="1"/>
    <col min="15607" max="15607" width="16.33203125" style="1" customWidth="1"/>
    <col min="15608" max="15608" width="18.5546875" style="1" customWidth="1"/>
    <col min="15609" max="15609" width="20.33203125" style="1" customWidth="1"/>
    <col min="15610" max="15611" width="22.88671875" style="1" customWidth="1"/>
    <col min="15612" max="15615" width="18" style="1" customWidth="1"/>
    <col min="15616" max="15616" width="17.21875" style="1" customWidth="1"/>
    <col min="15617" max="15617" width="16.6640625" style="1" customWidth="1"/>
    <col min="15618" max="15618" width="17.44140625" style="1" customWidth="1"/>
    <col min="15619" max="15619" width="24.21875" style="1" customWidth="1"/>
    <col min="15620" max="15620" width="20.44140625" style="1" customWidth="1"/>
    <col min="15621" max="15621" width="41.5546875" style="1" customWidth="1"/>
    <col min="15622" max="15623" width="32.44140625" style="1" customWidth="1"/>
    <col min="15624" max="15628" width="41.5546875" style="1" customWidth="1"/>
    <col min="15629" max="15629" width="30.44140625" style="1" customWidth="1"/>
    <col min="15630" max="15630" width="22.33203125" style="1" customWidth="1"/>
    <col min="15631" max="15631" width="9.109375" style="1"/>
    <col min="15632" max="15632" width="22.88671875" style="1" customWidth="1"/>
    <col min="15633" max="15633" width="23.77734375" style="1" customWidth="1"/>
    <col min="15634" max="15634" width="74.44140625" style="1" customWidth="1"/>
    <col min="15635" max="15636" width="9.109375" style="1"/>
    <col min="15637" max="15637" width="14.109375" style="1" customWidth="1"/>
    <col min="15638" max="15638" width="12.44140625" style="1" customWidth="1"/>
    <col min="15639" max="15639" width="13.44140625" style="1" customWidth="1"/>
    <col min="15640" max="15640" width="11.109375" style="1" customWidth="1"/>
    <col min="15641" max="15644" width="17.33203125" style="1" customWidth="1"/>
    <col min="15645" max="15648" width="9.109375" style="1"/>
    <col min="15649" max="15650" width="22.33203125" style="1" customWidth="1"/>
    <col min="15651" max="15651" width="11.88671875" style="1" customWidth="1"/>
    <col min="15652" max="15652" width="10.109375" style="1" customWidth="1"/>
    <col min="15653" max="15654" width="9.109375" style="1"/>
    <col min="15655" max="15655" width="13.33203125" style="1" customWidth="1"/>
    <col min="15656" max="15656" width="11.44140625" style="1" customWidth="1"/>
    <col min="15657" max="15657" width="13.33203125" style="1" bestFit="1" customWidth="1"/>
    <col min="15658" max="15658" width="16.88671875" style="1" bestFit="1" customWidth="1"/>
    <col min="15659" max="15661" width="14.44140625" style="1" customWidth="1"/>
    <col min="15662" max="15662" width="9.88671875" style="1" customWidth="1"/>
    <col min="15663" max="15665" width="17" style="1" customWidth="1"/>
    <col min="15666" max="15666" width="9.109375" style="1"/>
    <col min="15667" max="15667" width="17" style="1" customWidth="1"/>
    <col min="15668" max="15668" width="10.44140625" style="1" customWidth="1"/>
    <col min="15669" max="15842" width="9.109375" style="1"/>
    <col min="15843" max="15843" width="18.44140625" style="1" customWidth="1"/>
    <col min="15844" max="15844" width="11.88671875" style="1" customWidth="1"/>
    <col min="15845" max="15846" width="10.109375" style="1" customWidth="1"/>
    <col min="15847" max="15848" width="13.6640625" style="1" customWidth="1"/>
    <col min="15849" max="15851" width="23.77734375" style="1" customWidth="1"/>
    <col min="15852" max="15854" width="9.109375" style="1"/>
    <col min="15855" max="15855" width="21" style="1" customWidth="1"/>
    <col min="15856" max="15856" width="12.33203125" style="1" customWidth="1"/>
    <col min="15857" max="15857" width="14" style="1" customWidth="1"/>
    <col min="15858" max="15858" width="10.109375" style="1" bestFit="1" customWidth="1"/>
    <col min="15859" max="15859" width="10.109375" style="1" customWidth="1"/>
    <col min="15860" max="15860" width="27.21875" style="1" customWidth="1"/>
    <col min="15861" max="15861" width="24.5546875" style="1" customWidth="1"/>
    <col min="15862" max="15862" width="16.21875" style="1" customWidth="1"/>
    <col min="15863" max="15863" width="16.33203125" style="1" customWidth="1"/>
    <col min="15864" max="15864" width="18.5546875" style="1" customWidth="1"/>
    <col min="15865" max="15865" width="20.33203125" style="1" customWidth="1"/>
    <col min="15866" max="15867" width="22.88671875" style="1" customWidth="1"/>
    <col min="15868" max="15871" width="18" style="1" customWidth="1"/>
    <col min="15872" max="15872" width="17.21875" style="1" customWidth="1"/>
    <col min="15873" max="15873" width="16.6640625" style="1" customWidth="1"/>
    <col min="15874" max="15874" width="17.44140625" style="1" customWidth="1"/>
    <col min="15875" max="15875" width="24.21875" style="1" customWidth="1"/>
    <col min="15876" max="15876" width="20.44140625" style="1" customWidth="1"/>
    <col min="15877" max="15877" width="41.5546875" style="1" customWidth="1"/>
    <col min="15878" max="15879" width="32.44140625" style="1" customWidth="1"/>
    <col min="15880" max="15884" width="41.5546875" style="1" customWidth="1"/>
    <col min="15885" max="15885" width="30.44140625" style="1" customWidth="1"/>
    <col min="15886" max="15886" width="22.33203125" style="1" customWidth="1"/>
    <col min="15887" max="15887" width="9.109375" style="1"/>
    <col min="15888" max="15888" width="22.88671875" style="1" customWidth="1"/>
    <col min="15889" max="15889" width="23.77734375" style="1" customWidth="1"/>
    <col min="15890" max="15890" width="74.44140625" style="1" customWidth="1"/>
    <col min="15891" max="15892" width="9.109375" style="1"/>
    <col min="15893" max="15893" width="14.109375" style="1" customWidth="1"/>
    <col min="15894" max="15894" width="12.44140625" style="1" customWidth="1"/>
    <col min="15895" max="15895" width="13.44140625" style="1" customWidth="1"/>
    <col min="15896" max="15896" width="11.109375" style="1" customWidth="1"/>
    <col min="15897" max="15900" width="17.33203125" style="1" customWidth="1"/>
    <col min="15901" max="15904" width="9.109375" style="1"/>
    <col min="15905" max="15906" width="22.33203125" style="1" customWidth="1"/>
    <col min="15907" max="15907" width="11.88671875" style="1" customWidth="1"/>
    <col min="15908" max="15908" width="10.109375" style="1" customWidth="1"/>
    <col min="15909" max="15910" width="9.109375" style="1"/>
    <col min="15911" max="15911" width="13.33203125" style="1" customWidth="1"/>
    <col min="15912" max="15912" width="11.44140625" style="1" customWidth="1"/>
    <col min="15913" max="15913" width="13.33203125" style="1" bestFit="1" customWidth="1"/>
    <col min="15914" max="15914" width="16.88671875" style="1" bestFit="1" customWidth="1"/>
    <col min="15915" max="15917" width="14.44140625" style="1" customWidth="1"/>
    <col min="15918" max="15918" width="9.88671875" style="1" customWidth="1"/>
    <col min="15919" max="15921" width="17" style="1" customWidth="1"/>
    <col min="15922" max="15922" width="9.109375" style="1"/>
    <col min="15923" max="15923" width="17" style="1" customWidth="1"/>
    <col min="15924" max="15924" width="10.44140625" style="1" customWidth="1"/>
    <col min="15925" max="16098" width="9.109375" style="1"/>
    <col min="16099" max="16099" width="18.44140625" style="1" customWidth="1"/>
    <col min="16100" max="16100" width="11.88671875" style="1" customWidth="1"/>
    <col min="16101" max="16102" width="10.109375" style="1" customWidth="1"/>
    <col min="16103" max="16104" width="13.6640625" style="1" customWidth="1"/>
    <col min="16105" max="16107" width="23.77734375" style="1" customWidth="1"/>
    <col min="16108" max="16110" width="9.109375" style="1"/>
    <col min="16111" max="16111" width="21" style="1" customWidth="1"/>
    <col min="16112" max="16112" width="12.33203125" style="1" customWidth="1"/>
    <col min="16113" max="16113" width="14" style="1" customWidth="1"/>
    <col min="16114" max="16114" width="10.109375" style="1" bestFit="1" customWidth="1"/>
    <col min="16115" max="16115" width="10.109375" style="1" customWidth="1"/>
    <col min="16116" max="16116" width="27.21875" style="1" customWidth="1"/>
    <col min="16117" max="16117" width="24.5546875" style="1" customWidth="1"/>
    <col min="16118" max="16118" width="16.21875" style="1" customWidth="1"/>
    <col min="16119" max="16119" width="16.33203125" style="1" customWidth="1"/>
    <col min="16120" max="16120" width="18.5546875" style="1" customWidth="1"/>
    <col min="16121" max="16121" width="20.33203125" style="1" customWidth="1"/>
    <col min="16122" max="16123" width="22.88671875" style="1" customWidth="1"/>
    <col min="16124" max="16127" width="18" style="1" customWidth="1"/>
    <col min="16128" max="16128" width="17.21875" style="1" customWidth="1"/>
    <col min="16129" max="16129" width="16.6640625" style="1" customWidth="1"/>
    <col min="16130" max="16130" width="17.44140625" style="1" customWidth="1"/>
    <col min="16131" max="16131" width="24.21875" style="1" customWidth="1"/>
    <col min="16132" max="16132" width="20.44140625" style="1" customWidth="1"/>
    <col min="16133" max="16133" width="41.5546875" style="1" customWidth="1"/>
    <col min="16134" max="16135" width="32.44140625" style="1" customWidth="1"/>
    <col min="16136" max="16140" width="41.5546875" style="1" customWidth="1"/>
    <col min="16141" max="16141" width="30.44140625" style="1" customWidth="1"/>
    <col min="16142" max="16142" width="22.33203125" style="1" customWidth="1"/>
    <col min="16143" max="16143" width="9.109375" style="1"/>
    <col min="16144" max="16144" width="22.88671875" style="1" customWidth="1"/>
    <col min="16145" max="16145" width="23.77734375" style="1" customWidth="1"/>
    <col min="16146" max="16146" width="74.44140625" style="1" customWidth="1"/>
    <col min="16147" max="16148" width="9.109375" style="1"/>
    <col min="16149" max="16149" width="14.109375" style="1" customWidth="1"/>
    <col min="16150" max="16150" width="12.44140625" style="1" customWidth="1"/>
    <col min="16151" max="16151" width="13.44140625" style="1" customWidth="1"/>
    <col min="16152" max="16152" width="11.109375" style="1" customWidth="1"/>
    <col min="16153" max="16156" width="17.33203125" style="1" customWidth="1"/>
    <col min="16157" max="16160" width="9.109375" style="1"/>
    <col min="16161" max="16162" width="22.33203125" style="1" customWidth="1"/>
    <col min="16163" max="16163" width="11.88671875" style="1" customWidth="1"/>
    <col min="16164" max="16164" width="10.109375" style="1" customWidth="1"/>
    <col min="16165" max="16166" width="9.109375" style="1"/>
    <col min="16167" max="16167" width="13.33203125" style="1" customWidth="1"/>
    <col min="16168" max="16168" width="11.44140625" style="1" customWidth="1"/>
    <col min="16169" max="16169" width="13.33203125" style="1" bestFit="1" customWidth="1"/>
    <col min="16170" max="16170" width="16.88671875" style="1" bestFit="1" customWidth="1"/>
    <col min="16171" max="16173" width="14.44140625" style="1" customWidth="1"/>
    <col min="16174" max="16174" width="9.88671875" style="1" customWidth="1"/>
    <col min="16175" max="16177" width="17" style="1" customWidth="1"/>
    <col min="16178" max="16178" width="9.109375" style="1"/>
    <col min="16179" max="16179" width="17" style="1" customWidth="1"/>
    <col min="16180" max="16180" width="10.44140625" style="1" customWidth="1"/>
    <col min="16181" max="16384" width="9.109375" style="1"/>
  </cols>
  <sheetData>
    <row r="1" spans="1:42" s="6" customFormat="1" x14ac:dyDescent="0.3">
      <c r="A1" s="6" t="s">
        <v>39</v>
      </c>
      <c r="B1" s="6" t="s">
        <v>0</v>
      </c>
      <c r="C1" s="6" t="s">
        <v>40</v>
      </c>
      <c r="D1" s="6" t="s">
        <v>1</v>
      </c>
      <c r="E1" s="6" t="s">
        <v>2</v>
      </c>
      <c r="F1" s="6" t="s">
        <v>3</v>
      </c>
      <c r="G1" s="6" t="s">
        <v>16</v>
      </c>
      <c r="H1" s="6" t="s">
        <v>4</v>
      </c>
      <c r="I1" s="6" t="s">
        <v>41</v>
      </c>
      <c r="J1" s="6" t="s">
        <v>42</v>
      </c>
      <c r="K1" s="6" t="s">
        <v>17</v>
      </c>
      <c r="L1" s="6" t="s">
        <v>43</v>
      </c>
      <c r="M1" s="6" t="s">
        <v>44</v>
      </c>
      <c r="N1" s="6" t="s">
        <v>45</v>
      </c>
      <c r="O1" s="6" t="s">
        <v>46</v>
      </c>
      <c r="P1" s="6" t="s">
        <v>47</v>
      </c>
      <c r="Q1" s="6" t="s">
        <v>48</v>
      </c>
      <c r="R1" s="6" t="s">
        <v>49</v>
      </c>
      <c r="S1" s="6" t="s">
        <v>50</v>
      </c>
      <c r="T1" s="6" t="s">
        <v>51</v>
      </c>
      <c r="U1" s="6" t="s">
        <v>52</v>
      </c>
      <c r="V1" s="6" t="s">
        <v>53</v>
      </c>
      <c r="W1" s="6" t="s">
        <v>147</v>
      </c>
      <c r="X1" s="6" t="s">
        <v>54</v>
      </c>
      <c r="Y1" s="6" t="s">
        <v>55</v>
      </c>
      <c r="Z1" s="6" t="s">
        <v>56</v>
      </c>
      <c r="AA1" s="6" t="s">
        <v>57</v>
      </c>
      <c r="AB1" s="6" t="s">
        <v>58</v>
      </c>
      <c r="AC1" s="6" t="s">
        <v>59</v>
      </c>
      <c r="AD1" s="6" t="s">
        <v>60</v>
      </c>
      <c r="AE1" s="6" t="s">
        <v>61</v>
      </c>
      <c r="AF1" s="6" t="s">
        <v>62</v>
      </c>
      <c r="AG1" s="6" t="s">
        <v>63</v>
      </c>
      <c r="AH1" s="6" t="s">
        <v>18</v>
      </c>
      <c r="AI1" s="6" t="s">
        <v>154</v>
      </c>
      <c r="AJ1" s="6" t="s">
        <v>64</v>
      </c>
      <c r="AK1" s="6" t="s">
        <v>65</v>
      </c>
      <c r="AL1" s="6" t="s">
        <v>5</v>
      </c>
      <c r="AM1" s="6" t="s">
        <v>6</v>
      </c>
      <c r="AN1" s="6" t="s">
        <v>7</v>
      </c>
      <c r="AO1" s="6" t="s">
        <v>58</v>
      </c>
      <c r="AP1" s="6" t="s">
        <v>66</v>
      </c>
    </row>
    <row r="2" spans="1:42" x14ac:dyDescent="0.3">
      <c r="A2" s="1" t="s">
        <v>67</v>
      </c>
      <c r="B2" s="1" t="s">
        <v>68</v>
      </c>
      <c r="C2" s="1" t="s">
        <v>69</v>
      </c>
      <c r="D2" s="1" t="s">
        <v>15</v>
      </c>
      <c r="E2" s="1" t="s">
        <v>29</v>
      </c>
      <c r="F2" s="1" t="s">
        <v>34</v>
      </c>
      <c r="G2" s="1">
        <v>2</v>
      </c>
      <c r="H2" s="1">
        <v>72</v>
      </c>
      <c r="I2" s="1">
        <v>-76</v>
      </c>
      <c r="J2" s="1">
        <v>400</v>
      </c>
      <c r="K2" s="1">
        <v>30</v>
      </c>
      <c r="L2" s="1">
        <v>120</v>
      </c>
      <c r="M2" s="7">
        <v>13.7</v>
      </c>
      <c r="N2" s="1">
        <v>47.1</v>
      </c>
      <c r="O2" s="1">
        <v>0.52</v>
      </c>
      <c r="P2" s="1">
        <v>16.8</v>
      </c>
      <c r="Q2" s="1">
        <v>-42.5</v>
      </c>
      <c r="R2" s="1">
        <v>0.28081235289573703</v>
      </c>
      <c r="S2" s="1">
        <v>0.496863633394241</v>
      </c>
      <c r="T2" s="1">
        <v>185.89743039999999</v>
      </c>
      <c r="U2" s="1">
        <v>-98.230628969999998</v>
      </c>
      <c r="V2" s="1">
        <f t="shared" ref="V2:V25" si="0">T2/U2</f>
        <v>-1.8924589239551115</v>
      </c>
      <c r="W2" s="1">
        <f>(J2*K2)/1000</f>
        <v>12</v>
      </c>
      <c r="X2" s="1">
        <v>2.2999999999999998</v>
      </c>
      <c r="Y2" s="1">
        <v>-13.4</v>
      </c>
      <c r="Z2" s="1">
        <v>0.70000000000000284</v>
      </c>
      <c r="AA2" s="1">
        <v>74</v>
      </c>
      <c r="AB2" s="1">
        <v>3</v>
      </c>
      <c r="AC2" s="1">
        <f>71/0.5</f>
        <v>142</v>
      </c>
      <c r="AD2" s="1">
        <f>30.2/47.9</f>
        <v>0.63048016701461373</v>
      </c>
      <c r="AE2" s="1">
        <f>7.9/5.4</f>
        <v>1.462962962962963</v>
      </c>
      <c r="AF2" s="1">
        <v>280</v>
      </c>
      <c r="AG2" s="1">
        <v>29.3</v>
      </c>
      <c r="AH2" s="1">
        <f>1/0.0054</f>
        <v>185.18518518518516</v>
      </c>
      <c r="AI2" s="1">
        <f>1/0.0078</f>
        <v>128.2051282051282</v>
      </c>
      <c r="AJ2" s="1">
        <f t="shared" ref="AJ2:AJ7" si="1">AI2/AH2</f>
        <v>0.6923076923076924</v>
      </c>
      <c r="AK2" s="1" t="s">
        <v>70</v>
      </c>
      <c r="AL2" s="1" t="s">
        <v>8</v>
      </c>
      <c r="AM2" s="1">
        <v>4</v>
      </c>
      <c r="AN2" s="1" t="s">
        <v>9</v>
      </c>
      <c r="AO2" s="1">
        <v>3</v>
      </c>
      <c r="AP2" s="1" t="s">
        <v>71</v>
      </c>
    </row>
    <row r="3" spans="1:42" x14ac:dyDescent="0.3">
      <c r="A3" s="1" t="s">
        <v>67</v>
      </c>
      <c r="B3" s="1" t="s">
        <v>72</v>
      </c>
      <c r="C3" s="1" t="s">
        <v>69</v>
      </c>
      <c r="D3" s="1" t="s">
        <v>15</v>
      </c>
      <c r="E3" s="1" t="s">
        <v>29</v>
      </c>
      <c r="F3" s="1" t="s">
        <v>34</v>
      </c>
      <c r="G3" s="1">
        <v>2</v>
      </c>
      <c r="H3" s="1">
        <v>72</v>
      </c>
      <c r="I3" s="1">
        <v>-60</v>
      </c>
      <c r="J3" s="1">
        <v>160</v>
      </c>
      <c r="K3" s="1">
        <v>34</v>
      </c>
      <c r="L3" s="1">
        <v>140</v>
      </c>
      <c r="M3" s="7">
        <v>28.6</v>
      </c>
      <c r="N3" s="1">
        <v>59.4</v>
      </c>
      <c r="O3" s="1">
        <v>0.52</v>
      </c>
      <c r="P3" s="1">
        <v>16.899999999999999</v>
      </c>
      <c r="Q3" s="1">
        <v>-44</v>
      </c>
      <c r="R3" s="1">
        <v>0.26238498091697698</v>
      </c>
      <c r="S3" s="1">
        <v>0.42012751102447499</v>
      </c>
      <c r="T3" s="1">
        <v>269.53601070000002</v>
      </c>
      <c r="U3" s="1">
        <v>-133.6996307</v>
      </c>
      <c r="V3" s="1">
        <f t="shared" si="0"/>
        <v>-2.0159817143010255</v>
      </c>
      <c r="W3" s="1">
        <f>(J3*K3)/1000</f>
        <v>5.44</v>
      </c>
      <c r="X3" s="1">
        <v>2.2999999999999998</v>
      </c>
      <c r="Y3" s="1">
        <v>-20.7</v>
      </c>
      <c r="Z3" s="1">
        <v>0.60000000000000853</v>
      </c>
      <c r="AA3" s="1">
        <v>2</v>
      </c>
      <c r="AB3" s="1">
        <v>8</v>
      </c>
      <c r="AC3" s="1">
        <f>35/0.5</f>
        <v>70</v>
      </c>
      <c r="AD3" s="1">
        <f>46.4/60.5</f>
        <v>0.76694214876033051</v>
      </c>
      <c r="AE3" s="1">
        <f>16.2/10</f>
        <v>1.6199999999999999</v>
      </c>
      <c r="AF3" s="1">
        <v>580</v>
      </c>
      <c r="AG3" s="1">
        <v>40.299999999999997</v>
      </c>
      <c r="AH3" s="1">
        <f>1/0.0055</f>
        <v>181.81818181818184</v>
      </c>
      <c r="AI3" s="1">
        <f>1/0.009525</f>
        <v>104.98687664041994</v>
      </c>
      <c r="AJ3" s="1">
        <f t="shared" si="1"/>
        <v>0.57742782152230954</v>
      </c>
      <c r="AK3" s="1" t="s">
        <v>70</v>
      </c>
      <c r="AL3" s="1" t="s">
        <v>8</v>
      </c>
      <c r="AM3" s="1">
        <v>4</v>
      </c>
      <c r="AN3" s="1" t="s">
        <v>9</v>
      </c>
      <c r="AO3" s="1">
        <v>8</v>
      </c>
      <c r="AP3" s="1" t="s">
        <v>73</v>
      </c>
    </row>
    <row r="4" spans="1:42" x14ac:dyDescent="0.3">
      <c r="A4" s="1" t="s">
        <v>74</v>
      </c>
      <c r="B4" s="1" t="s">
        <v>20</v>
      </c>
      <c r="C4" s="1" t="s">
        <v>69</v>
      </c>
      <c r="D4" s="1" t="s">
        <v>15</v>
      </c>
      <c r="E4" s="1" t="s">
        <v>29</v>
      </c>
      <c r="F4" s="1" t="s">
        <v>21</v>
      </c>
      <c r="G4" s="1">
        <v>2</v>
      </c>
      <c r="H4" s="1">
        <v>73</v>
      </c>
      <c r="I4" s="1">
        <v>-80</v>
      </c>
      <c r="J4" s="1">
        <v>270</v>
      </c>
      <c r="K4" s="1">
        <v>31</v>
      </c>
      <c r="L4" s="1">
        <v>160</v>
      </c>
      <c r="M4" s="7">
        <v>20.399999999999999</v>
      </c>
      <c r="N4" s="1">
        <v>55.1</v>
      </c>
      <c r="O4" s="1">
        <v>0.44</v>
      </c>
      <c r="P4" s="1">
        <v>14.7</v>
      </c>
      <c r="Q4" s="1">
        <v>-40.9</v>
      </c>
      <c r="R4" s="1">
        <v>0.23587390799999999</v>
      </c>
      <c r="S4" s="1">
        <v>0.32526969900000002</v>
      </c>
      <c r="T4" s="1">
        <v>249.8474731</v>
      </c>
      <c r="U4" s="1">
        <v>-161.17216490000001</v>
      </c>
      <c r="V4" s="1">
        <f t="shared" si="0"/>
        <v>-1.5501899676970834</v>
      </c>
      <c r="W4" s="1">
        <f>(J4*K4)/1000</f>
        <v>8.3699999999999992</v>
      </c>
      <c r="X4" s="1">
        <v>1.8</v>
      </c>
      <c r="Y4" s="1">
        <v>-21.7</v>
      </c>
      <c r="Z4" s="1">
        <v>0.32999999999999829</v>
      </c>
      <c r="AA4" s="1">
        <v>42</v>
      </c>
      <c r="AB4" s="1">
        <v>1</v>
      </c>
      <c r="AC4" s="1">
        <f>73/0.5</f>
        <v>146</v>
      </c>
      <c r="AD4" s="1">
        <f>54.5/63.4</f>
        <v>0.85962145110410093</v>
      </c>
      <c r="AE4" s="1">
        <f>7.4/6</f>
        <v>1.2333333333333334</v>
      </c>
      <c r="AF4" s="1" t="s">
        <v>75</v>
      </c>
      <c r="AH4" s="1">
        <f>1/0.0036</f>
        <v>277.77777777777777</v>
      </c>
      <c r="AI4" s="1">
        <f>1/0.004975</f>
        <v>201.00502512562812</v>
      </c>
      <c r="AJ4" s="1">
        <f t="shared" si="1"/>
        <v>0.72361809045226122</v>
      </c>
      <c r="AK4" s="1" t="s">
        <v>70</v>
      </c>
      <c r="AL4" s="1" t="s">
        <v>8</v>
      </c>
      <c r="AM4" s="1">
        <v>4</v>
      </c>
      <c r="AN4" s="1" t="s">
        <v>9</v>
      </c>
      <c r="AO4" s="1">
        <v>1</v>
      </c>
      <c r="AP4" s="1" t="s">
        <v>71</v>
      </c>
    </row>
    <row r="5" spans="1:42" x14ac:dyDescent="0.3">
      <c r="A5" s="1" t="s">
        <v>74</v>
      </c>
      <c r="B5" s="1" t="s">
        <v>22</v>
      </c>
      <c r="C5" s="1" t="s">
        <v>69</v>
      </c>
      <c r="D5" s="1" t="s">
        <v>15</v>
      </c>
      <c r="E5" s="1" t="s">
        <v>29</v>
      </c>
      <c r="F5" s="1" t="s">
        <v>21</v>
      </c>
      <c r="G5" s="1">
        <v>2</v>
      </c>
      <c r="H5" s="1">
        <v>73</v>
      </c>
      <c r="I5" s="1">
        <v>-76</v>
      </c>
      <c r="J5" s="1">
        <v>212</v>
      </c>
      <c r="K5" s="1">
        <v>36</v>
      </c>
      <c r="L5" s="1">
        <v>160</v>
      </c>
      <c r="M5" s="7">
        <v>62.8</v>
      </c>
      <c r="N5" s="1">
        <v>56.8</v>
      </c>
      <c r="O5" s="1">
        <v>0.65</v>
      </c>
      <c r="P5" s="1">
        <v>23.2</v>
      </c>
      <c r="Q5" s="1">
        <v>-39</v>
      </c>
      <c r="R5" s="1">
        <v>0.27657848600000001</v>
      </c>
      <c r="S5" s="1">
        <v>0.54940456199999999</v>
      </c>
      <c r="T5" s="1">
        <v>217.94871520000001</v>
      </c>
      <c r="U5" s="1">
        <v>-98.230628969999998</v>
      </c>
      <c r="V5" s="1">
        <f t="shared" si="0"/>
        <v>-2.2187449829580381</v>
      </c>
      <c r="W5" s="1">
        <f>(J5*K5)/1000</f>
        <v>7.6319999999999997</v>
      </c>
      <c r="X5" s="1">
        <v>2.7</v>
      </c>
      <c r="Y5" s="1">
        <v>-15.4</v>
      </c>
      <c r="Z5" s="1">
        <v>0.70000000000000284</v>
      </c>
      <c r="AA5" s="1">
        <v>32</v>
      </c>
      <c r="AB5" s="1">
        <v>4</v>
      </c>
      <c r="AC5" s="1">
        <f>49/0.5</f>
        <v>98</v>
      </c>
      <c r="AD5" s="1">
        <f>44.7/56.6</f>
        <v>0.78975265017667851</v>
      </c>
      <c r="AE5" s="1">
        <f>10.7/8.3</f>
        <v>1.2891566265060239</v>
      </c>
      <c r="AF5" s="1">
        <v>560</v>
      </c>
      <c r="AG5" s="1">
        <v>25.6</v>
      </c>
      <c r="AH5" s="1">
        <f>1/0.0056</f>
        <v>178.57142857142858</v>
      </c>
      <c r="AI5" s="1">
        <f>1/0.009825</f>
        <v>101.78117048346056</v>
      </c>
      <c r="AJ5" s="1">
        <f t="shared" si="1"/>
        <v>0.56997455470737912</v>
      </c>
      <c r="AK5" s="1" t="s">
        <v>70</v>
      </c>
      <c r="AL5" s="1" t="s">
        <v>8</v>
      </c>
      <c r="AM5" s="1">
        <v>4</v>
      </c>
      <c r="AN5" s="1" t="s">
        <v>9</v>
      </c>
      <c r="AO5" s="1">
        <v>4</v>
      </c>
      <c r="AP5" s="1" t="s">
        <v>71</v>
      </c>
    </row>
    <row r="6" spans="1:42" x14ac:dyDescent="0.3">
      <c r="A6" s="1" t="s">
        <v>76</v>
      </c>
      <c r="B6" s="1" t="s">
        <v>23</v>
      </c>
      <c r="C6" s="1" t="s">
        <v>69</v>
      </c>
      <c r="D6" s="1" t="s">
        <v>15</v>
      </c>
      <c r="E6" s="1" t="s">
        <v>29</v>
      </c>
      <c r="F6" s="1" t="s">
        <v>21</v>
      </c>
      <c r="G6" s="1">
        <v>0</v>
      </c>
      <c r="H6" s="1">
        <v>74</v>
      </c>
      <c r="I6" s="1">
        <v>-66</v>
      </c>
      <c r="J6" s="1">
        <v>170</v>
      </c>
      <c r="K6" s="1">
        <v>31</v>
      </c>
      <c r="L6" s="1">
        <v>200</v>
      </c>
      <c r="M6" s="7">
        <v>19.399999999999999</v>
      </c>
      <c r="N6" s="1">
        <v>61.9</v>
      </c>
      <c r="O6" s="1">
        <v>0.7</v>
      </c>
      <c r="P6" s="1">
        <v>38.5</v>
      </c>
      <c r="Q6" s="1">
        <v>-36.799999999999997</v>
      </c>
      <c r="R6" s="1">
        <v>0.365643471</v>
      </c>
      <c r="S6" s="1">
        <v>0.66841989800000001</v>
      </c>
      <c r="T6" s="1">
        <v>187.11843870000001</v>
      </c>
      <c r="U6" s="1">
        <v>-96.095176699999996</v>
      </c>
      <c r="V6" s="1">
        <f t="shared" si="0"/>
        <v>-1.9472198826811671</v>
      </c>
      <c r="W6" s="1">
        <f>(J6*K6)/1000</f>
        <v>5.27</v>
      </c>
      <c r="X6" s="1">
        <v>3</v>
      </c>
      <c r="Y6" s="1">
        <v>-9.4</v>
      </c>
      <c r="Z6" s="1">
        <v>1.7000000000000028</v>
      </c>
      <c r="AA6" s="1">
        <v>8</v>
      </c>
      <c r="AB6" s="1">
        <v>14</v>
      </c>
      <c r="AC6" s="1">
        <f>62/0.5</f>
        <v>124</v>
      </c>
      <c r="AD6" s="1">
        <f>44.4/63</f>
        <v>0.7047619047619047</v>
      </c>
      <c r="AE6" s="1">
        <f>8.9/6.4</f>
        <v>1.390625</v>
      </c>
      <c r="AF6" s="1">
        <v>480</v>
      </c>
      <c r="AG6" s="1">
        <v>17.399999999999999</v>
      </c>
      <c r="AH6" s="1">
        <f>1/0.0057</f>
        <v>175.43859649122805</v>
      </c>
      <c r="AI6" s="1">
        <f>1/0.00915</f>
        <v>109.2896174863388</v>
      </c>
      <c r="AJ6" s="1">
        <f t="shared" si="1"/>
        <v>0.62295081967213117</v>
      </c>
      <c r="AK6" s="1" t="s">
        <v>70</v>
      </c>
      <c r="AL6" s="1" t="s">
        <v>8</v>
      </c>
      <c r="AM6" s="1">
        <v>4</v>
      </c>
      <c r="AN6" s="1" t="s">
        <v>9</v>
      </c>
      <c r="AO6" s="1">
        <v>14</v>
      </c>
      <c r="AP6" s="1" t="s">
        <v>77</v>
      </c>
    </row>
    <row r="7" spans="1:42" x14ac:dyDescent="0.3">
      <c r="A7" s="1" t="s">
        <v>78</v>
      </c>
      <c r="B7" s="1" t="s">
        <v>79</v>
      </c>
      <c r="C7" s="1" t="s">
        <v>69</v>
      </c>
      <c r="D7" s="1" t="s">
        <v>15</v>
      </c>
      <c r="E7" s="1" t="s">
        <v>29</v>
      </c>
      <c r="F7" s="1" t="s">
        <v>26</v>
      </c>
      <c r="G7" s="2" t="s">
        <v>80</v>
      </c>
      <c r="H7" s="1">
        <v>82</v>
      </c>
      <c r="I7" s="1">
        <v>-73</v>
      </c>
      <c r="J7" s="1">
        <v>200</v>
      </c>
      <c r="K7" s="1">
        <v>30</v>
      </c>
      <c r="L7" s="1">
        <v>160</v>
      </c>
      <c r="M7" s="7">
        <v>18.3</v>
      </c>
      <c r="N7" s="1">
        <v>59.7</v>
      </c>
      <c r="O7" s="1">
        <v>0.68</v>
      </c>
      <c r="P7" s="1">
        <v>27.4</v>
      </c>
      <c r="Q7" s="1">
        <v>-36.6</v>
      </c>
      <c r="R7" s="1">
        <v>0.324232519</v>
      </c>
      <c r="S7" s="1">
        <v>0.51816505199999996</v>
      </c>
      <c r="T7" s="1">
        <v>201.7704468</v>
      </c>
      <c r="U7" s="1">
        <v>-104.09035489999999</v>
      </c>
      <c r="V7" s="1">
        <f t="shared" si="0"/>
        <v>-1.9384163594584882</v>
      </c>
      <c r="W7" s="1">
        <f>(J7*K7)/1000</f>
        <v>6</v>
      </c>
      <c r="X7" s="1">
        <v>2.7</v>
      </c>
      <c r="Y7" s="1">
        <v>-21</v>
      </c>
      <c r="Z7" s="1">
        <v>1.2000000000000028</v>
      </c>
      <c r="AA7" s="1">
        <v>34</v>
      </c>
      <c r="AB7" s="1">
        <v>3</v>
      </c>
      <c r="AC7" s="1">
        <v>92</v>
      </c>
      <c r="AD7" s="1">
        <f>46.6/65.9</f>
        <v>0.70713201820940819</v>
      </c>
      <c r="AE7" s="1">
        <f>11.4/8.4</f>
        <v>1.3571428571428572</v>
      </c>
      <c r="AF7" s="1" t="s">
        <v>75</v>
      </c>
      <c r="AH7" s="1">
        <f>1/0.0061</f>
        <v>163.93442622950818</v>
      </c>
      <c r="AI7" s="1">
        <f>1/0.01005</f>
        <v>99.50248756218906</v>
      </c>
      <c r="AJ7" s="1">
        <f t="shared" si="1"/>
        <v>0.60696517412935336</v>
      </c>
      <c r="AK7" s="1" t="s">
        <v>70</v>
      </c>
      <c r="AL7" s="1" t="s">
        <v>8</v>
      </c>
      <c r="AM7" s="1">
        <v>4</v>
      </c>
      <c r="AN7" s="1" t="s">
        <v>9</v>
      </c>
      <c r="AO7" s="1">
        <v>3</v>
      </c>
      <c r="AP7" s="1" t="s">
        <v>81</v>
      </c>
    </row>
    <row r="8" spans="1:42" x14ac:dyDescent="0.3">
      <c r="A8" s="1" t="s">
        <v>82</v>
      </c>
      <c r="B8" s="1" t="s">
        <v>83</v>
      </c>
      <c r="C8" s="1" t="s">
        <v>69</v>
      </c>
      <c r="D8" s="1" t="s">
        <v>15</v>
      </c>
      <c r="E8" s="1" t="s">
        <v>29</v>
      </c>
      <c r="F8" s="1" t="s">
        <v>26</v>
      </c>
      <c r="G8" s="2" t="s">
        <v>27</v>
      </c>
      <c r="H8" s="1">
        <v>83</v>
      </c>
      <c r="I8" s="1">
        <v>-70</v>
      </c>
      <c r="J8" s="1">
        <v>260</v>
      </c>
      <c r="K8" s="1">
        <v>25</v>
      </c>
      <c r="L8" s="1">
        <v>120</v>
      </c>
      <c r="M8" s="7">
        <v>20.8</v>
      </c>
      <c r="N8" s="1">
        <v>67.400000000000006</v>
      </c>
      <c r="O8" s="1">
        <v>0.69</v>
      </c>
      <c r="P8" s="1">
        <v>42.3</v>
      </c>
      <c r="Q8" s="1">
        <v>-42.6</v>
      </c>
      <c r="R8" s="1">
        <v>0.35030159399999999</v>
      </c>
      <c r="S8" s="1">
        <v>0.54010760800000002</v>
      </c>
      <c r="T8" s="1">
        <v>206.04396059999999</v>
      </c>
      <c r="U8" s="1">
        <v>-116.60561370000001</v>
      </c>
      <c r="V8" s="1">
        <f t="shared" si="0"/>
        <v>-1.7670157899096068</v>
      </c>
      <c r="W8" s="1">
        <f>(J8*K8)/1000</f>
        <v>6.5</v>
      </c>
      <c r="X8" s="1">
        <v>2.6</v>
      </c>
      <c r="Y8" s="1">
        <v>-16.8</v>
      </c>
      <c r="Z8" s="1">
        <v>1</v>
      </c>
      <c r="AA8" s="1">
        <v>30</v>
      </c>
      <c r="AB8" s="1">
        <v>1</v>
      </c>
      <c r="AC8" s="1">
        <v>102</v>
      </c>
      <c r="AD8" s="1">
        <f>58.8/74.4</f>
        <v>0.79032258064516114</v>
      </c>
      <c r="AE8" s="1">
        <f>9.5/8.2</f>
        <v>1.1585365853658538</v>
      </c>
      <c r="AL8" s="1" t="s">
        <v>8</v>
      </c>
      <c r="AM8" s="1">
        <v>4</v>
      </c>
      <c r="AN8" s="1" t="s">
        <v>9</v>
      </c>
      <c r="AO8" s="1">
        <v>1</v>
      </c>
      <c r="AP8" s="1" t="s">
        <v>71</v>
      </c>
    </row>
    <row r="9" spans="1:42" x14ac:dyDescent="0.3">
      <c r="A9" s="1" t="s">
        <v>82</v>
      </c>
      <c r="B9" s="1" t="s">
        <v>84</v>
      </c>
      <c r="C9" s="1" t="s">
        <v>69</v>
      </c>
      <c r="D9" s="1" t="s">
        <v>15</v>
      </c>
      <c r="E9" s="1" t="s">
        <v>29</v>
      </c>
      <c r="F9" s="1" t="s">
        <v>26</v>
      </c>
      <c r="G9" s="2" t="s">
        <v>27</v>
      </c>
      <c r="H9" s="1">
        <v>83</v>
      </c>
      <c r="I9" s="1">
        <v>-77</v>
      </c>
      <c r="J9" s="1">
        <v>240</v>
      </c>
      <c r="K9" s="1">
        <v>38</v>
      </c>
      <c r="L9" s="1">
        <v>160</v>
      </c>
      <c r="M9" s="7">
        <v>72.3</v>
      </c>
      <c r="N9" s="1">
        <v>66.599999999999994</v>
      </c>
      <c r="O9" s="1">
        <v>0.59</v>
      </c>
      <c r="P9" s="1">
        <v>30</v>
      </c>
      <c r="Q9" s="1">
        <v>-42.6</v>
      </c>
      <c r="R9" s="1">
        <v>0.31213566700000001</v>
      </c>
      <c r="S9" s="1">
        <v>0.463234276</v>
      </c>
      <c r="T9" s="1">
        <v>228.63247680000001</v>
      </c>
      <c r="U9" s="1">
        <v>-133.3943787</v>
      </c>
      <c r="V9" s="1">
        <f t="shared" si="0"/>
        <v>-1.7139588566485824</v>
      </c>
      <c r="W9" s="1">
        <f>(J9*K9)/1000</f>
        <v>9.1199999999999992</v>
      </c>
      <c r="X9" s="1">
        <v>2.2000000000000002</v>
      </c>
      <c r="Y9" s="1">
        <v>-17.5</v>
      </c>
      <c r="Z9" s="1">
        <v>0.60000000000000853</v>
      </c>
      <c r="AA9" s="1">
        <v>26</v>
      </c>
      <c r="AB9" s="1">
        <v>3</v>
      </c>
      <c r="AC9" s="1">
        <v>112</v>
      </c>
      <c r="AD9" s="1">
        <f>61.2/68.6</f>
        <v>0.89212827988338206</v>
      </c>
      <c r="AE9" s="1">
        <f>8.8/8.3</f>
        <v>1.0602409638554218</v>
      </c>
      <c r="AF9" s="1" t="s">
        <v>75</v>
      </c>
      <c r="AH9" s="1">
        <f>1/0.0054</f>
        <v>185.18518518518516</v>
      </c>
      <c r="AI9" s="1">
        <f>1/0.0066</f>
        <v>151.51515151515153</v>
      </c>
      <c r="AJ9" s="1">
        <f t="shared" ref="AJ9:AJ25" si="2">AI9/AH9</f>
        <v>0.81818181818181834</v>
      </c>
      <c r="AK9" s="1" t="s">
        <v>70</v>
      </c>
      <c r="AL9" s="1" t="s">
        <v>8</v>
      </c>
      <c r="AM9" s="1">
        <v>4</v>
      </c>
      <c r="AN9" s="1" t="s">
        <v>9</v>
      </c>
      <c r="AO9" s="1">
        <v>3</v>
      </c>
      <c r="AP9" s="1" t="s">
        <v>71</v>
      </c>
    </row>
    <row r="10" spans="1:42" x14ac:dyDescent="0.3">
      <c r="A10" s="1" t="s">
        <v>85</v>
      </c>
      <c r="B10" s="1" t="s">
        <v>86</v>
      </c>
      <c r="C10" s="1" t="s">
        <v>69</v>
      </c>
      <c r="D10" s="1" t="s">
        <v>15</v>
      </c>
      <c r="E10" s="1" t="s">
        <v>29</v>
      </c>
      <c r="F10" s="1" t="s">
        <v>26</v>
      </c>
      <c r="G10" s="2" t="s">
        <v>87</v>
      </c>
      <c r="H10" s="1">
        <v>87</v>
      </c>
      <c r="I10" s="1">
        <v>-70</v>
      </c>
      <c r="J10" s="1">
        <v>320</v>
      </c>
      <c r="K10" s="1">
        <v>29</v>
      </c>
      <c r="L10" s="1">
        <v>80</v>
      </c>
      <c r="M10" s="7">
        <v>47.5</v>
      </c>
      <c r="N10" s="1">
        <v>63.3</v>
      </c>
      <c r="O10" s="1">
        <v>0.73</v>
      </c>
      <c r="P10" s="1">
        <v>31.3</v>
      </c>
      <c r="Q10" s="1">
        <v>-45.9</v>
      </c>
      <c r="R10" s="1">
        <v>0.340069175</v>
      </c>
      <c r="S10" s="1">
        <v>0.61146265300000002</v>
      </c>
      <c r="T10" s="1">
        <v>194.1391907</v>
      </c>
      <c r="U10" s="1">
        <v>-95.848594669999997</v>
      </c>
      <c r="V10" s="1">
        <f t="shared" si="0"/>
        <v>-2.0254776960309919</v>
      </c>
      <c r="W10" s="1">
        <f>(J10*K10)/1000</f>
        <v>9.2799999999999994</v>
      </c>
      <c r="X10" s="1">
        <v>3</v>
      </c>
      <c r="Y10" s="1">
        <v>-16.100000000000001</v>
      </c>
      <c r="Z10" s="1">
        <v>9.9999999999994316E-2</v>
      </c>
      <c r="AA10" s="1">
        <v>18</v>
      </c>
      <c r="AB10" s="1">
        <v>19</v>
      </c>
      <c r="AC10" s="1">
        <v>66</v>
      </c>
      <c r="AD10" s="1">
        <f>61.6/67.3</f>
        <v>0.9153046062407133</v>
      </c>
      <c r="AE10" s="1">
        <f>15.5/12</f>
        <v>1.2916666666666667</v>
      </c>
      <c r="AF10" s="1" t="s">
        <v>75</v>
      </c>
      <c r="AH10" s="1">
        <f>1/0.0053</f>
        <v>188.67924528301887</v>
      </c>
      <c r="AI10" s="1">
        <f>1/0.009225</f>
        <v>108.40108401084011</v>
      </c>
      <c r="AJ10" s="1">
        <f>AI10/AH10</f>
        <v>0.57452574525745259</v>
      </c>
      <c r="AK10" s="1" t="s">
        <v>88</v>
      </c>
      <c r="AL10" s="1" t="s">
        <v>8</v>
      </c>
      <c r="AM10" s="1">
        <v>4</v>
      </c>
      <c r="AN10" s="1" t="s">
        <v>9</v>
      </c>
      <c r="AO10" s="1">
        <v>19</v>
      </c>
      <c r="AP10" s="1" t="s">
        <v>89</v>
      </c>
    </row>
    <row r="11" spans="1:42" x14ac:dyDescent="0.3">
      <c r="A11" s="1" t="s">
        <v>90</v>
      </c>
      <c r="B11" s="1" t="s">
        <v>91</v>
      </c>
      <c r="C11" s="1" t="s">
        <v>69</v>
      </c>
      <c r="D11" s="1" t="s">
        <v>15</v>
      </c>
      <c r="E11" s="1" t="s">
        <v>29</v>
      </c>
      <c r="F11" s="1" t="s">
        <v>25</v>
      </c>
      <c r="G11" s="2">
        <v>0</v>
      </c>
      <c r="H11" s="1">
        <v>74</v>
      </c>
      <c r="I11" s="1">
        <v>-80</v>
      </c>
      <c r="J11" s="1">
        <v>240</v>
      </c>
      <c r="K11" s="1">
        <v>41</v>
      </c>
      <c r="L11" s="1">
        <v>80</v>
      </c>
      <c r="M11" s="7">
        <v>10.199999999999999</v>
      </c>
      <c r="N11" s="1">
        <v>69</v>
      </c>
      <c r="O11" s="1">
        <v>0.71</v>
      </c>
      <c r="P11" s="1">
        <v>45.3</v>
      </c>
      <c r="Q11" s="1">
        <v>-55.6</v>
      </c>
      <c r="R11" s="1">
        <v>0.35099875899999999</v>
      </c>
      <c r="S11" s="1">
        <v>0.61500275100000001</v>
      </c>
      <c r="T11" s="1">
        <v>211.84370419999999</v>
      </c>
      <c r="U11" s="1">
        <v>-109.27960969999999</v>
      </c>
      <c r="V11" s="1">
        <f t="shared" si="0"/>
        <v>-1.9385474086296997</v>
      </c>
      <c r="W11" s="1">
        <f>(J11*K11)/1000</f>
        <v>9.84</v>
      </c>
      <c r="X11" s="1">
        <v>2.4</v>
      </c>
      <c r="Y11" s="1">
        <v>-13.7</v>
      </c>
      <c r="Z11" s="1">
        <v>0.90000000000000568</v>
      </c>
      <c r="AA11" s="1">
        <v>54</v>
      </c>
      <c r="AB11" s="1">
        <v>0</v>
      </c>
      <c r="AC11" s="1">
        <v>94</v>
      </c>
      <c r="AD11" s="1">
        <f>60.9/69.3</f>
        <v>0.87878787878787878</v>
      </c>
      <c r="AE11" s="1">
        <f>12.7/7.5</f>
        <v>1.6933333333333331</v>
      </c>
      <c r="AF11" s="1" t="s">
        <v>75</v>
      </c>
      <c r="AH11" s="1">
        <f>1/0.0046</f>
        <v>217.39130434782609</v>
      </c>
      <c r="AI11" s="1">
        <f>1/0.008425</f>
        <v>118.69436201780415</v>
      </c>
      <c r="AJ11" s="1">
        <f t="shared" si="2"/>
        <v>0.54599406528189909</v>
      </c>
      <c r="AK11" s="1" t="s">
        <v>70</v>
      </c>
      <c r="AL11" s="1" t="s">
        <v>8</v>
      </c>
      <c r="AM11" s="1">
        <v>4</v>
      </c>
      <c r="AN11" s="1" t="s">
        <v>9</v>
      </c>
      <c r="AO11" s="1">
        <v>0</v>
      </c>
      <c r="AP11" s="1" t="s">
        <v>71</v>
      </c>
    </row>
    <row r="12" spans="1:42" x14ac:dyDescent="0.3">
      <c r="A12" s="1" t="s">
        <v>92</v>
      </c>
      <c r="B12" s="1" t="s">
        <v>24</v>
      </c>
      <c r="C12" s="1" t="s">
        <v>69</v>
      </c>
      <c r="D12" s="1" t="s">
        <v>15</v>
      </c>
      <c r="E12" s="1" t="s">
        <v>29</v>
      </c>
      <c r="F12" s="1" t="s">
        <v>25</v>
      </c>
      <c r="G12" s="2">
        <v>1</v>
      </c>
      <c r="H12" s="1">
        <v>75</v>
      </c>
      <c r="I12" s="1">
        <v>-70</v>
      </c>
      <c r="J12" s="1">
        <v>210</v>
      </c>
      <c r="K12" s="1">
        <v>35</v>
      </c>
      <c r="L12" s="1">
        <v>80</v>
      </c>
      <c r="M12" s="7">
        <v>25.5</v>
      </c>
      <c r="N12" s="1">
        <v>71.400000000000006</v>
      </c>
      <c r="O12" s="1">
        <v>0.64</v>
      </c>
      <c r="P12" s="1">
        <v>38.799999999999997</v>
      </c>
      <c r="Q12" s="1">
        <v>-52.2</v>
      </c>
      <c r="R12" s="1">
        <v>0.329846472</v>
      </c>
      <c r="S12" s="1">
        <v>0.54599797699999997</v>
      </c>
      <c r="T12" s="1">
        <v>234.59426880000001</v>
      </c>
      <c r="U12" s="1">
        <v>-123.24588009999999</v>
      </c>
      <c r="V12" s="1">
        <f t="shared" si="0"/>
        <v>-1.9034654027351947</v>
      </c>
      <c r="W12" s="1">
        <f>(J12*K12)/1000</f>
        <v>7.35</v>
      </c>
      <c r="X12" s="1">
        <v>2.5</v>
      </c>
      <c r="Y12" s="1">
        <v>-13.6</v>
      </c>
      <c r="Z12" s="1">
        <v>0.19999999999998863</v>
      </c>
      <c r="AA12" s="1">
        <v>30</v>
      </c>
      <c r="AB12" s="1">
        <v>6</v>
      </c>
      <c r="AC12" s="1">
        <v>90</v>
      </c>
      <c r="AD12" s="1">
        <f>66.8/73.2</f>
        <v>0.91256830601092886</v>
      </c>
      <c r="AE12" s="1">
        <f>11.3/9.5</f>
        <v>1.1894736842105265</v>
      </c>
      <c r="AF12" s="1" t="s">
        <v>75</v>
      </c>
      <c r="AH12" s="1">
        <f>1/0.0047</f>
        <v>212.7659574468085</v>
      </c>
      <c r="AI12" s="1">
        <f>1/0.007</f>
        <v>142.85714285714286</v>
      </c>
      <c r="AJ12" s="1">
        <f t="shared" si="2"/>
        <v>0.67142857142857149</v>
      </c>
      <c r="AK12" s="1" t="s">
        <v>70</v>
      </c>
      <c r="AL12" s="1" t="s">
        <v>8</v>
      </c>
      <c r="AM12" s="1">
        <v>4</v>
      </c>
      <c r="AN12" s="1" t="s">
        <v>9</v>
      </c>
      <c r="AO12" s="1" t="s">
        <v>93</v>
      </c>
      <c r="AP12" s="1" t="s">
        <v>73</v>
      </c>
    </row>
    <row r="13" spans="1:42" x14ac:dyDescent="0.3">
      <c r="A13" s="1" t="s">
        <v>10</v>
      </c>
      <c r="B13" s="1" t="s">
        <v>94</v>
      </c>
      <c r="C13" s="1" t="s">
        <v>96</v>
      </c>
      <c r="D13" s="1" t="s">
        <v>15</v>
      </c>
      <c r="E13" s="1" t="s">
        <v>29</v>
      </c>
      <c r="F13" s="1" t="s">
        <v>95</v>
      </c>
      <c r="G13" s="1">
        <v>8</v>
      </c>
      <c r="H13" s="1">
        <v>72</v>
      </c>
      <c r="I13" s="1">
        <v>-70</v>
      </c>
      <c r="J13" s="1">
        <v>170</v>
      </c>
      <c r="K13" s="1">
        <v>37</v>
      </c>
      <c r="L13" s="1">
        <v>200</v>
      </c>
      <c r="M13" s="7">
        <v>96.9</v>
      </c>
      <c r="N13" s="1">
        <v>59.5</v>
      </c>
      <c r="O13" s="1">
        <v>0.69</v>
      </c>
      <c r="P13" s="1">
        <v>31.2</v>
      </c>
      <c r="Q13" s="1">
        <v>-41.9</v>
      </c>
      <c r="R13" s="1">
        <v>0.32736971999999998</v>
      </c>
      <c r="S13" s="1">
        <v>0.59151506399999998</v>
      </c>
      <c r="T13" s="1">
        <v>189.86569209999999</v>
      </c>
      <c r="U13" s="1">
        <v>-99.206352229999993</v>
      </c>
      <c r="V13" s="1">
        <f>T13/U13</f>
        <v>-1.9138461180370325</v>
      </c>
      <c r="W13" s="1">
        <f>(J13*K13)/1000</f>
        <v>6.29</v>
      </c>
      <c r="X13" s="1">
        <v>2.8</v>
      </c>
      <c r="Y13" s="1">
        <v>-13.4</v>
      </c>
      <c r="Z13" s="1">
        <v>0.67</v>
      </c>
      <c r="AA13" s="1">
        <v>6</v>
      </c>
      <c r="AB13" s="1">
        <v>4</v>
      </c>
      <c r="AC13" s="1">
        <v>74</v>
      </c>
      <c r="AD13" s="1">
        <f>55.6/60.2</f>
        <v>0.92358803986710958</v>
      </c>
      <c r="AE13" s="1">
        <f>11.6/11.6</f>
        <v>1</v>
      </c>
      <c r="AF13" s="1" t="s">
        <v>75</v>
      </c>
      <c r="AH13" s="1">
        <f>1/0.0069</f>
        <v>144.92753623188406</v>
      </c>
      <c r="AI13" s="1">
        <f>1/0.009966</f>
        <v>100.34115994380896</v>
      </c>
      <c r="AJ13" s="1">
        <f>AH13/AI13</f>
        <v>1.4443478260869564</v>
      </c>
      <c r="AK13" s="1" t="s">
        <v>97</v>
      </c>
      <c r="AL13" s="1" t="s">
        <v>8</v>
      </c>
      <c r="AM13" s="1">
        <v>4</v>
      </c>
      <c r="AN13" s="1" t="s">
        <v>9</v>
      </c>
      <c r="AO13" s="1">
        <v>4</v>
      </c>
      <c r="AP13" s="1" t="s">
        <v>148</v>
      </c>
    </row>
    <row r="14" spans="1:42" s="4" customFormat="1" x14ac:dyDescent="0.3">
      <c r="A14" s="4" t="s">
        <v>98</v>
      </c>
      <c r="B14" s="4" t="s">
        <v>99</v>
      </c>
      <c r="C14" s="4" t="s">
        <v>69</v>
      </c>
      <c r="D14" s="4" t="s">
        <v>11</v>
      </c>
      <c r="E14" s="4" t="s">
        <v>29</v>
      </c>
      <c r="F14" s="4" t="s">
        <v>32</v>
      </c>
      <c r="G14" s="4">
        <v>1</v>
      </c>
      <c r="H14" s="4">
        <v>71</v>
      </c>
      <c r="I14" s="4">
        <v>-71</v>
      </c>
      <c r="J14" s="4">
        <v>180</v>
      </c>
      <c r="K14" s="4">
        <v>38</v>
      </c>
      <c r="L14" s="4">
        <v>180</v>
      </c>
      <c r="M14" s="9">
        <v>19.100000000000001</v>
      </c>
      <c r="N14" s="4">
        <v>47.5</v>
      </c>
      <c r="O14" s="4">
        <v>0.34</v>
      </c>
      <c r="P14" s="4">
        <v>2.2200000000000002</v>
      </c>
      <c r="Q14" s="4">
        <v>-30.23</v>
      </c>
      <c r="R14" s="4">
        <v>0.22264185547828699</v>
      </c>
      <c r="S14" s="4">
        <v>0.259089976549149</v>
      </c>
      <c r="T14" s="4">
        <v>270.38986210000002</v>
      </c>
      <c r="U14" s="4">
        <v>-180.05645749999999</v>
      </c>
      <c r="V14" s="4">
        <f t="shared" si="0"/>
        <v>-1.5016948897820008</v>
      </c>
      <c r="W14" s="4">
        <f>(J14*K14)/1000</f>
        <v>6.84</v>
      </c>
      <c r="X14" s="4">
        <v>1.5</v>
      </c>
      <c r="Y14" s="4">
        <v>-23.16</v>
      </c>
      <c r="Z14" s="4">
        <v>1.3299999999999983</v>
      </c>
      <c r="AA14" s="4">
        <v>12</v>
      </c>
      <c r="AB14" s="4">
        <v>2</v>
      </c>
      <c r="AC14" s="4">
        <f>91/0.8</f>
        <v>113.75</v>
      </c>
      <c r="AD14" s="4">
        <f>38.7/57.7</f>
        <v>0.6707105719237435</v>
      </c>
      <c r="AE14" s="4">
        <f>10.8/6.2</f>
        <v>1.7419354838709677</v>
      </c>
      <c r="AF14" s="4">
        <v>700</v>
      </c>
      <c r="AG14" s="4">
        <v>30.2</v>
      </c>
      <c r="AH14" s="4">
        <f>1/0.0033</f>
        <v>303.03030303030306</v>
      </c>
      <c r="AI14" s="4">
        <f>1/0.0055</f>
        <v>181.81818181818184</v>
      </c>
      <c r="AJ14" s="4">
        <f t="shared" si="2"/>
        <v>0.6</v>
      </c>
      <c r="AK14" s="4" t="s">
        <v>70</v>
      </c>
      <c r="AL14" s="4" t="s">
        <v>8</v>
      </c>
      <c r="AM14" s="4">
        <v>4</v>
      </c>
      <c r="AN14" s="4" t="s">
        <v>9</v>
      </c>
      <c r="AO14" s="4">
        <v>2</v>
      </c>
      <c r="AP14" s="4" t="s">
        <v>100</v>
      </c>
    </row>
    <row r="15" spans="1:42" s="4" customFormat="1" x14ac:dyDescent="0.3">
      <c r="A15" s="4" t="s">
        <v>98</v>
      </c>
      <c r="B15" s="4" t="s">
        <v>31</v>
      </c>
      <c r="C15" s="4" t="s">
        <v>69</v>
      </c>
      <c r="D15" s="4" t="s">
        <v>11</v>
      </c>
      <c r="E15" s="4" t="s">
        <v>29</v>
      </c>
      <c r="F15" s="4" t="s">
        <v>32</v>
      </c>
      <c r="G15" s="4">
        <v>1</v>
      </c>
      <c r="H15" s="4">
        <v>71</v>
      </c>
      <c r="I15" s="4">
        <v>-60</v>
      </c>
      <c r="J15" s="4">
        <v>117</v>
      </c>
      <c r="K15" s="4">
        <v>38</v>
      </c>
      <c r="L15" s="4">
        <v>320</v>
      </c>
      <c r="M15" s="9">
        <v>10.9</v>
      </c>
      <c r="N15" s="4">
        <v>42.3</v>
      </c>
      <c r="O15" s="4">
        <v>0.37</v>
      </c>
      <c r="P15" s="4">
        <v>4.83</v>
      </c>
      <c r="Q15" s="4">
        <v>-26.6</v>
      </c>
      <c r="R15" s="4">
        <v>0.22183042764663699</v>
      </c>
      <c r="S15" s="4">
        <v>0.28121790289878801</v>
      </c>
      <c r="T15" s="4">
        <v>231.02159119999999</v>
      </c>
      <c r="U15" s="4">
        <v>-143.12962340000001</v>
      </c>
      <c r="V15" s="4">
        <f t="shared" si="0"/>
        <v>-1.614072514914477</v>
      </c>
      <c r="W15" s="4">
        <f>(J15*K15)/1000</f>
        <v>4.4459999999999997</v>
      </c>
      <c r="X15" s="4">
        <v>1.6</v>
      </c>
      <c r="Y15" s="4">
        <v>-22.2</v>
      </c>
      <c r="Z15" s="4">
        <v>1.3900000000000006</v>
      </c>
      <c r="AA15" s="4">
        <v>2</v>
      </c>
      <c r="AB15" s="4">
        <v>5</v>
      </c>
      <c r="AC15" s="4">
        <f>94/0.8</f>
        <v>117.5</v>
      </c>
      <c r="AD15" s="4">
        <f>32/51.8</f>
        <v>0.61776061776061775</v>
      </c>
      <c r="AE15" s="4">
        <f>7.8/4.9</f>
        <v>1.5918367346938773</v>
      </c>
      <c r="AF15" s="4">
        <v>380</v>
      </c>
      <c r="AG15" s="4">
        <v>28.9</v>
      </c>
      <c r="AH15" s="4">
        <f>1/0.0076</f>
        <v>131.57894736842104</v>
      </c>
      <c r="AI15" s="4">
        <f>1/0.011175</f>
        <v>89.485458612975393</v>
      </c>
      <c r="AJ15" s="4">
        <f t="shared" si="2"/>
        <v>0.68008948545861303</v>
      </c>
      <c r="AK15" s="4" t="s">
        <v>70</v>
      </c>
      <c r="AL15" s="4" t="s">
        <v>8</v>
      </c>
      <c r="AM15" s="4">
        <v>4</v>
      </c>
      <c r="AN15" s="4" t="s">
        <v>9</v>
      </c>
      <c r="AO15" s="4">
        <v>5</v>
      </c>
      <c r="AP15" s="4" t="s">
        <v>89</v>
      </c>
    </row>
    <row r="16" spans="1:42" s="4" customFormat="1" x14ac:dyDescent="0.3">
      <c r="A16" s="4" t="s">
        <v>98</v>
      </c>
      <c r="B16" s="4" t="s">
        <v>101</v>
      </c>
      <c r="C16" s="4" t="s">
        <v>69</v>
      </c>
      <c r="D16" s="4" t="s">
        <v>11</v>
      </c>
      <c r="E16" s="4" t="s">
        <v>29</v>
      </c>
      <c r="F16" s="4" t="s">
        <v>32</v>
      </c>
      <c r="G16" s="4">
        <v>1</v>
      </c>
      <c r="H16" s="4">
        <v>71</v>
      </c>
      <c r="I16" s="4">
        <v>-60</v>
      </c>
      <c r="J16" s="4">
        <v>240</v>
      </c>
      <c r="K16" s="4">
        <v>25</v>
      </c>
      <c r="L16" s="4">
        <v>160</v>
      </c>
      <c r="M16" s="9">
        <v>182.7</v>
      </c>
      <c r="N16" s="4">
        <v>49.1</v>
      </c>
      <c r="O16" s="4">
        <v>0.51</v>
      </c>
      <c r="P16" s="4">
        <v>16.899999999999999</v>
      </c>
      <c r="Q16" s="4">
        <v>-34.1</v>
      </c>
      <c r="R16" s="4">
        <v>0.25106516499999998</v>
      </c>
      <c r="S16" s="4">
        <v>0.40519171999999998</v>
      </c>
      <c r="T16" s="4">
        <v>216.6781158</v>
      </c>
      <c r="U16" s="4">
        <v>-114.7478409</v>
      </c>
      <c r="V16" s="4">
        <f t="shared" si="0"/>
        <v>-1.8882979766811456</v>
      </c>
      <c r="W16" s="4">
        <f>(J16*K16)/1000</f>
        <v>6</v>
      </c>
      <c r="X16" s="4">
        <v>2</v>
      </c>
      <c r="Y16" s="4">
        <v>-15.2</v>
      </c>
      <c r="Z16" s="4">
        <v>2.0100000000000051</v>
      </c>
      <c r="AA16" s="4">
        <v>2</v>
      </c>
      <c r="AB16" s="4">
        <v>8</v>
      </c>
      <c r="AC16" s="4">
        <f>7/0.8</f>
        <v>8.75</v>
      </c>
      <c r="AD16" s="4">
        <f>30.5/52.7</f>
        <v>0.57874762808349145</v>
      </c>
      <c r="AE16" s="4">
        <f>6/4.6</f>
        <v>1.3043478260869565</v>
      </c>
      <c r="AF16" s="4">
        <v>160</v>
      </c>
      <c r="AG16" s="4">
        <v>32.299999999999997</v>
      </c>
      <c r="AH16" s="4">
        <f>1/0.0066</f>
        <v>151.51515151515153</v>
      </c>
      <c r="AI16" s="4">
        <f>1/0.0083</f>
        <v>120.48192771084337</v>
      </c>
      <c r="AJ16" s="4">
        <f t="shared" si="2"/>
        <v>0.79518072289156616</v>
      </c>
      <c r="AK16" s="4" t="s">
        <v>88</v>
      </c>
      <c r="AL16" s="4" t="s">
        <v>8</v>
      </c>
      <c r="AM16" s="4">
        <v>4</v>
      </c>
      <c r="AN16" s="4" t="s">
        <v>9</v>
      </c>
      <c r="AO16" s="4">
        <v>8</v>
      </c>
      <c r="AP16" s="4" t="s">
        <v>102</v>
      </c>
    </row>
    <row r="17" spans="1:42" s="4" customFormat="1" x14ac:dyDescent="0.3">
      <c r="A17" s="4" t="s">
        <v>103</v>
      </c>
      <c r="B17" s="4" t="s">
        <v>33</v>
      </c>
      <c r="C17" s="4" t="s">
        <v>69</v>
      </c>
      <c r="D17" s="4" t="s">
        <v>11</v>
      </c>
      <c r="E17" s="4" t="s">
        <v>29</v>
      </c>
      <c r="F17" s="4" t="s">
        <v>34</v>
      </c>
      <c r="G17" s="4">
        <v>3</v>
      </c>
      <c r="H17" s="4">
        <v>73</v>
      </c>
      <c r="I17" s="4">
        <v>-67</v>
      </c>
      <c r="J17" s="4">
        <v>170</v>
      </c>
      <c r="K17" s="4">
        <v>35</v>
      </c>
      <c r="L17" s="4">
        <v>210</v>
      </c>
      <c r="M17" s="9">
        <v>446.3</v>
      </c>
      <c r="N17" s="4">
        <v>43.4</v>
      </c>
      <c r="O17" s="4">
        <v>0.39</v>
      </c>
      <c r="P17" s="4">
        <v>8.9</v>
      </c>
      <c r="Q17" s="4">
        <v>-30.6</v>
      </c>
      <c r="R17" s="4">
        <v>0.22819919899999999</v>
      </c>
      <c r="S17" s="4">
        <v>0.30672732000000003</v>
      </c>
      <c r="T17" s="4">
        <v>234.7374878</v>
      </c>
      <c r="U17" s="4">
        <v>-129.65222170000001</v>
      </c>
      <c r="V17" s="4">
        <f t="shared" si="0"/>
        <v>-1.810516508873677</v>
      </c>
      <c r="W17" s="4">
        <f>(J17*K17)/1000</f>
        <v>5.95</v>
      </c>
      <c r="X17" s="4">
        <v>1.7</v>
      </c>
      <c r="Y17" s="4">
        <v>-17.7</v>
      </c>
      <c r="Z17" s="4">
        <v>0.69999999999998863</v>
      </c>
      <c r="AA17" s="4">
        <v>6</v>
      </c>
      <c r="AB17" s="4">
        <v>5</v>
      </c>
      <c r="AC17" s="4">
        <f>86/0.5</f>
        <v>172</v>
      </c>
      <c r="AD17" s="4">
        <f>39/41.8</f>
        <v>0.93301435406698574</v>
      </c>
      <c r="AE17" s="4">
        <f>6.3/6</f>
        <v>1.05</v>
      </c>
      <c r="AF17" s="4" t="s">
        <v>104</v>
      </c>
      <c r="AH17" s="4">
        <f>1/0.0039</f>
        <v>256.41025641025641</v>
      </c>
      <c r="AI17" s="4">
        <f>1/0.0047</f>
        <v>212.7659574468085</v>
      </c>
      <c r="AJ17" s="4">
        <f t="shared" si="2"/>
        <v>0.82978723404255317</v>
      </c>
      <c r="AK17" s="4" t="s">
        <v>70</v>
      </c>
      <c r="AL17" s="4" t="s">
        <v>8</v>
      </c>
      <c r="AM17" s="4">
        <v>4</v>
      </c>
      <c r="AN17" s="4" t="s">
        <v>9</v>
      </c>
      <c r="AO17" s="4">
        <v>5</v>
      </c>
      <c r="AP17" s="4" t="s">
        <v>81</v>
      </c>
    </row>
    <row r="18" spans="1:42" s="4" customFormat="1" x14ac:dyDescent="0.3">
      <c r="A18" s="4" t="s">
        <v>103</v>
      </c>
      <c r="B18" s="4" t="s">
        <v>35</v>
      </c>
      <c r="C18" s="4" t="s">
        <v>69</v>
      </c>
      <c r="D18" s="4" t="s">
        <v>11</v>
      </c>
      <c r="E18" s="4" t="s">
        <v>29</v>
      </c>
      <c r="F18" s="4" t="s">
        <v>34</v>
      </c>
      <c r="G18" s="4">
        <v>3</v>
      </c>
      <c r="H18" s="4">
        <v>73</v>
      </c>
      <c r="I18" s="10">
        <v>-72</v>
      </c>
      <c r="J18" s="4">
        <v>240</v>
      </c>
      <c r="K18" s="4">
        <v>25</v>
      </c>
      <c r="L18" s="4">
        <v>200</v>
      </c>
      <c r="M18" s="9">
        <v>17.7</v>
      </c>
      <c r="N18" s="4">
        <v>48.7</v>
      </c>
      <c r="O18" s="4">
        <v>0.46</v>
      </c>
      <c r="P18" s="4">
        <v>14.8</v>
      </c>
      <c r="Q18" s="4">
        <v>-27.1</v>
      </c>
      <c r="R18" s="4">
        <v>0.314077198505402</v>
      </c>
      <c r="S18" s="4">
        <v>0.38454115390777599</v>
      </c>
      <c r="T18" s="4">
        <v>206.95970149999999</v>
      </c>
      <c r="U18" s="4">
        <v>-131.78767400000001</v>
      </c>
      <c r="V18" s="4">
        <f t="shared" si="0"/>
        <v>-1.5704025666315347</v>
      </c>
      <c r="W18" s="4">
        <f>(J18*K18)/1000</f>
        <v>6</v>
      </c>
      <c r="X18" s="4">
        <v>1.8</v>
      </c>
      <c r="Y18" s="4">
        <v>-18.899999999999999</v>
      </c>
      <c r="Z18" s="4">
        <v>1.2000000000000028</v>
      </c>
      <c r="AA18" s="4">
        <v>4</v>
      </c>
      <c r="AB18" s="4">
        <v>10</v>
      </c>
      <c r="AC18" s="4">
        <f>90/0.5</f>
        <v>180</v>
      </c>
      <c r="AD18" s="4">
        <f>41.4/53.2</f>
        <v>0.77819548872180444</v>
      </c>
      <c r="AE18" s="4">
        <f>6.6/4.7</f>
        <v>1.404255319148936</v>
      </c>
      <c r="AF18" s="4" t="s">
        <v>104</v>
      </c>
      <c r="AH18" s="4">
        <f>1/0.004</f>
        <v>250</v>
      </c>
      <c r="AI18" s="4">
        <f>1/0.00615</f>
        <v>162.60162601626016</v>
      </c>
      <c r="AJ18" s="4">
        <f t="shared" si="2"/>
        <v>0.65040650406504064</v>
      </c>
      <c r="AK18" s="4" t="s">
        <v>70</v>
      </c>
      <c r="AL18" s="4" t="s">
        <v>8</v>
      </c>
      <c r="AM18" s="4">
        <v>4</v>
      </c>
      <c r="AN18" s="4" t="s">
        <v>9</v>
      </c>
      <c r="AO18" s="4">
        <v>10</v>
      </c>
      <c r="AP18" s="4" t="s">
        <v>71</v>
      </c>
    </row>
    <row r="19" spans="1:42" s="4" customFormat="1" x14ac:dyDescent="0.3">
      <c r="A19" s="4" t="s">
        <v>105</v>
      </c>
      <c r="B19" s="4" t="s">
        <v>106</v>
      </c>
      <c r="C19" s="4" t="s">
        <v>69</v>
      </c>
      <c r="D19" s="4" t="s">
        <v>11</v>
      </c>
      <c r="E19" s="4" t="s">
        <v>29</v>
      </c>
      <c r="F19" s="4" t="s">
        <v>34</v>
      </c>
      <c r="G19" s="4">
        <v>1</v>
      </c>
      <c r="H19" s="4">
        <v>77</v>
      </c>
      <c r="I19" s="4">
        <v>-70</v>
      </c>
      <c r="J19" s="4">
        <v>170</v>
      </c>
      <c r="K19" s="4">
        <v>37</v>
      </c>
      <c r="L19" s="4">
        <v>170</v>
      </c>
      <c r="M19" s="9">
        <v>68.3</v>
      </c>
      <c r="N19" s="4">
        <v>51.2</v>
      </c>
      <c r="O19" s="4">
        <v>0.36</v>
      </c>
      <c r="P19" s="4">
        <v>5.0999999999999996</v>
      </c>
      <c r="Q19" s="4">
        <v>-30.9</v>
      </c>
      <c r="R19" s="4">
        <v>0.21767629699999999</v>
      </c>
      <c r="S19" s="4">
        <v>0.31129449599999998</v>
      </c>
      <c r="T19" s="4">
        <v>286.6300354</v>
      </c>
      <c r="U19" s="4">
        <v>-159.3406525</v>
      </c>
      <c r="V19" s="4">
        <f t="shared" si="0"/>
        <v>-1.7988506442196224</v>
      </c>
      <c r="W19" s="4">
        <f>(J19*K19)/1000</f>
        <v>6.29</v>
      </c>
      <c r="X19" s="4">
        <v>1.8</v>
      </c>
      <c r="Y19" s="4">
        <v>-18.2</v>
      </c>
      <c r="Z19" s="4">
        <v>3</v>
      </c>
      <c r="AA19" s="4">
        <v>34</v>
      </c>
      <c r="AB19" s="4">
        <v>6</v>
      </c>
      <c r="AC19" s="4">
        <f>67/0.5</f>
        <v>134</v>
      </c>
      <c r="AD19" s="4">
        <f>48.8/54.6</f>
        <v>0.89377289377289371</v>
      </c>
      <c r="AE19" s="4">
        <f>7.8/6.4</f>
        <v>1.21875</v>
      </c>
      <c r="AF19" s="4">
        <v>600</v>
      </c>
      <c r="AH19" s="4">
        <f>1/0.0032</f>
        <v>312.5</v>
      </c>
      <c r="AI19" s="4">
        <f>1/0.004575</f>
        <v>218.5792349726776</v>
      </c>
      <c r="AJ19" s="4">
        <f t="shared" si="2"/>
        <v>0.69945355191256831</v>
      </c>
      <c r="AK19" s="4" t="s">
        <v>70</v>
      </c>
      <c r="AL19" s="4" t="s">
        <v>8</v>
      </c>
      <c r="AM19" s="4">
        <v>4</v>
      </c>
      <c r="AN19" s="4" t="s">
        <v>9</v>
      </c>
      <c r="AO19" s="4">
        <v>6</v>
      </c>
      <c r="AP19" s="4" t="s">
        <v>89</v>
      </c>
    </row>
    <row r="20" spans="1:42" s="4" customFormat="1" x14ac:dyDescent="0.3">
      <c r="A20" s="4" t="s">
        <v>105</v>
      </c>
      <c r="B20" s="4" t="s">
        <v>107</v>
      </c>
      <c r="C20" s="4" t="s">
        <v>69</v>
      </c>
      <c r="D20" s="4" t="s">
        <v>11</v>
      </c>
      <c r="E20" s="4" t="s">
        <v>29</v>
      </c>
      <c r="F20" s="4" t="s">
        <v>34</v>
      </c>
      <c r="G20" s="4">
        <v>1</v>
      </c>
      <c r="H20" s="4">
        <v>77</v>
      </c>
      <c r="I20" s="4">
        <v>-70</v>
      </c>
      <c r="J20" s="4">
        <v>350</v>
      </c>
      <c r="K20" s="4">
        <v>23</v>
      </c>
      <c r="L20" s="4">
        <v>120</v>
      </c>
      <c r="M20" s="9">
        <v>23.6</v>
      </c>
      <c r="N20" s="4">
        <v>47.4</v>
      </c>
      <c r="O20" s="4">
        <v>0.62</v>
      </c>
      <c r="P20" s="4">
        <v>13.9</v>
      </c>
      <c r="Q20" s="4">
        <v>-29.6</v>
      </c>
      <c r="R20" s="4">
        <v>0.31479421257972701</v>
      </c>
      <c r="S20" s="4">
        <v>0.44715821743011502</v>
      </c>
      <c r="T20" s="4">
        <v>166.66667179999999</v>
      </c>
      <c r="U20" s="4">
        <v>-104.0268478</v>
      </c>
      <c r="V20" s="4">
        <f t="shared" si="0"/>
        <v>-1.6021505536765865</v>
      </c>
      <c r="W20" s="4">
        <f>(J20*K20)/1000</f>
        <v>8.0500000000000007</v>
      </c>
      <c r="X20" s="4">
        <v>2.5</v>
      </c>
      <c r="Y20" s="4">
        <v>-24.7</v>
      </c>
      <c r="Z20" s="4">
        <v>0.15000000000000568</v>
      </c>
      <c r="AA20" s="4">
        <v>44</v>
      </c>
      <c r="AB20" s="4">
        <v>8</v>
      </c>
      <c r="AC20" s="4">
        <f>55/0.5</f>
        <v>110</v>
      </c>
      <c r="AD20" s="4">
        <f>43.6/58.2</f>
        <v>0.74914089347079038</v>
      </c>
      <c r="AE20" s="4">
        <f>9.3/7.1</f>
        <v>1.3098591549295777</v>
      </c>
      <c r="AF20" s="4">
        <v>440</v>
      </c>
      <c r="AG20" s="4">
        <v>24.05</v>
      </c>
      <c r="AH20" s="4">
        <f>1/0.0055</f>
        <v>181.81818181818184</v>
      </c>
      <c r="AI20" s="4">
        <f>1/0.0076</f>
        <v>131.57894736842104</v>
      </c>
      <c r="AJ20" s="4">
        <f t="shared" si="2"/>
        <v>0.7236842105263156</v>
      </c>
      <c r="AK20" s="4" t="s">
        <v>70</v>
      </c>
      <c r="AL20" s="4" t="s">
        <v>8</v>
      </c>
      <c r="AM20" s="4">
        <v>4</v>
      </c>
      <c r="AN20" s="4" t="s">
        <v>9</v>
      </c>
      <c r="AO20" s="4">
        <v>8</v>
      </c>
      <c r="AP20" s="4" t="s">
        <v>81</v>
      </c>
    </row>
    <row r="21" spans="1:42" s="4" customFormat="1" x14ac:dyDescent="0.3">
      <c r="A21" s="4" t="s">
        <v>108</v>
      </c>
      <c r="B21" s="4" t="s">
        <v>36</v>
      </c>
      <c r="C21" s="4" t="s">
        <v>69</v>
      </c>
      <c r="D21" s="4" t="s">
        <v>11</v>
      </c>
      <c r="E21" s="4" t="s">
        <v>29</v>
      </c>
      <c r="F21" s="4" t="s">
        <v>37</v>
      </c>
      <c r="G21" s="4">
        <v>2</v>
      </c>
      <c r="H21" s="4">
        <v>66</v>
      </c>
      <c r="I21" s="4">
        <v>-67</v>
      </c>
      <c r="J21" s="4">
        <v>190</v>
      </c>
      <c r="K21" s="4">
        <v>32</v>
      </c>
      <c r="L21" s="4">
        <v>200</v>
      </c>
      <c r="M21" s="9">
        <v>24</v>
      </c>
      <c r="N21" s="4">
        <v>43.9</v>
      </c>
      <c r="O21" s="4">
        <v>0.57999999999999996</v>
      </c>
      <c r="P21" s="4">
        <v>7.8</v>
      </c>
      <c r="Q21" s="4">
        <v>-25.2</v>
      </c>
      <c r="R21" s="4">
        <v>0.30688926577568099</v>
      </c>
      <c r="S21" s="4">
        <v>0.526816666126251</v>
      </c>
      <c r="T21" s="4">
        <v>154.7619019</v>
      </c>
      <c r="U21" s="4">
        <v>-85.775337219999997</v>
      </c>
      <c r="V21" s="4">
        <f t="shared" si="0"/>
        <v>-1.8042703988800477</v>
      </c>
      <c r="W21" s="4">
        <f>(J21*K21)/1000</f>
        <v>6.08</v>
      </c>
      <c r="X21" s="4">
        <v>2.7</v>
      </c>
      <c r="Y21" s="4">
        <v>-15.7</v>
      </c>
      <c r="Z21" s="4">
        <v>0.89999999999999147</v>
      </c>
      <c r="AA21" s="4">
        <v>8</v>
      </c>
      <c r="AB21" s="4">
        <v>11</v>
      </c>
      <c r="AC21" s="4">
        <f>62/0.5</f>
        <v>124</v>
      </c>
      <c r="AD21" s="4">
        <f>24.07/46.3</f>
        <v>0.51987041036717063</v>
      </c>
      <c r="AE21" s="4">
        <f>9/6.2</f>
        <v>1.4516129032258065</v>
      </c>
      <c r="AF21" s="4">
        <v>440</v>
      </c>
      <c r="AG21" s="4">
        <v>11.02</v>
      </c>
      <c r="AH21" s="4">
        <f>1/0.0062</f>
        <v>161.29032258064515</v>
      </c>
      <c r="AI21" s="4">
        <f>1/0.0093</f>
        <v>107.52688172043011</v>
      </c>
      <c r="AJ21" s="4">
        <f t="shared" si="2"/>
        <v>0.66666666666666674</v>
      </c>
      <c r="AK21" s="4" t="s">
        <v>109</v>
      </c>
      <c r="AL21" s="4" t="s">
        <v>8</v>
      </c>
      <c r="AM21" s="4">
        <v>4</v>
      </c>
      <c r="AN21" s="4" t="s">
        <v>9</v>
      </c>
      <c r="AO21" s="4">
        <v>11</v>
      </c>
      <c r="AP21" s="4" t="s">
        <v>110</v>
      </c>
    </row>
    <row r="22" spans="1:42" s="4" customFormat="1" x14ac:dyDescent="0.3">
      <c r="A22" s="4" t="s">
        <v>111</v>
      </c>
      <c r="B22" s="4" t="s">
        <v>112</v>
      </c>
      <c r="C22" s="4" t="s">
        <v>69</v>
      </c>
      <c r="D22" s="4" t="s">
        <v>11</v>
      </c>
      <c r="E22" s="4" t="s">
        <v>29</v>
      </c>
      <c r="F22" s="4" t="s">
        <v>19</v>
      </c>
      <c r="G22" s="4">
        <v>0</v>
      </c>
      <c r="H22" s="4">
        <v>65</v>
      </c>
      <c r="I22" s="4">
        <v>-72</v>
      </c>
      <c r="J22" s="4">
        <v>360</v>
      </c>
      <c r="K22" s="4">
        <v>27</v>
      </c>
      <c r="L22" s="4">
        <v>120</v>
      </c>
      <c r="M22" s="9">
        <v>12.3</v>
      </c>
      <c r="N22" s="4">
        <v>45.5</v>
      </c>
      <c r="O22" s="4">
        <v>0.51</v>
      </c>
      <c r="P22" s="4">
        <v>15.6</v>
      </c>
      <c r="Q22" s="4">
        <v>-40.299999999999997</v>
      </c>
      <c r="R22" s="4">
        <v>0.29987558722495999</v>
      </c>
      <c r="S22" s="4">
        <v>0.50026762485504195</v>
      </c>
      <c r="T22" s="4">
        <v>190.3599701</v>
      </c>
      <c r="U22" s="4">
        <v>-97.315437320000001</v>
      </c>
      <c r="V22" s="4">
        <f t="shared" si="0"/>
        <v>-1.9561127745235722</v>
      </c>
      <c r="W22" s="4">
        <f>(J22*K22)/1000</f>
        <v>9.7200000000000006</v>
      </c>
      <c r="X22" s="4">
        <v>2.2000000000000002</v>
      </c>
      <c r="Y22" s="4">
        <v>-13.2</v>
      </c>
      <c r="Z22" s="4">
        <v>1.7000000000000028</v>
      </c>
      <c r="AA22" s="4">
        <v>2</v>
      </c>
      <c r="AB22" s="4">
        <v>0</v>
      </c>
      <c r="AC22" s="4">
        <f>79/0.5</f>
        <v>158</v>
      </c>
      <c r="AD22" s="4">
        <f>34.8/47.3</f>
        <v>0.73572938689217759</v>
      </c>
      <c r="AE22" s="4">
        <f>7/5</f>
        <v>1.4</v>
      </c>
      <c r="AF22" s="4">
        <v>320</v>
      </c>
      <c r="AG22" s="4">
        <v>27.07</v>
      </c>
      <c r="AH22" s="4">
        <f>1/0.0043</f>
        <v>232.55813953488371</v>
      </c>
      <c r="AI22" s="4">
        <f>1/0.007075</f>
        <v>141.34275618374559</v>
      </c>
      <c r="AJ22" s="4">
        <f t="shared" si="2"/>
        <v>0.60777385159010611</v>
      </c>
      <c r="AK22" s="4" t="s">
        <v>88</v>
      </c>
      <c r="AL22" s="4" t="s">
        <v>8</v>
      </c>
      <c r="AM22" s="4">
        <v>4</v>
      </c>
      <c r="AN22" s="4" t="s">
        <v>9</v>
      </c>
      <c r="AO22" s="4">
        <v>0</v>
      </c>
      <c r="AP22" s="4" t="s">
        <v>71</v>
      </c>
    </row>
    <row r="23" spans="1:42" s="4" customFormat="1" x14ac:dyDescent="0.3">
      <c r="A23" s="4" t="s">
        <v>113</v>
      </c>
      <c r="B23" s="4" t="s">
        <v>30</v>
      </c>
      <c r="C23" s="4" t="s">
        <v>69</v>
      </c>
      <c r="D23" s="4" t="s">
        <v>11</v>
      </c>
      <c r="E23" s="4" t="s">
        <v>29</v>
      </c>
      <c r="F23" s="4" t="s">
        <v>21</v>
      </c>
      <c r="G23" s="4">
        <v>12</v>
      </c>
      <c r="H23" s="4">
        <v>78</v>
      </c>
      <c r="I23" s="4">
        <v>-62</v>
      </c>
      <c r="J23" s="4">
        <v>170</v>
      </c>
      <c r="K23" s="4">
        <v>34</v>
      </c>
      <c r="L23" s="4">
        <v>160</v>
      </c>
      <c r="M23" s="9">
        <v>16.3</v>
      </c>
      <c r="N23" s="4">
        <v>72.400000000000006</v>
      </c>
      <c r="O23" s="4">
        <v>0.59</v>
      </c>
      <c r="P23" s="4">
        <v>30.7</v>
      </c>
      <c r="Q23" s="4">
        <v>-47.6</v>
      </c>
      <c r="R23" s="4">
        <v>0.3256675</v>
      </c>
      <c r="S23" s="4">
        <v>0.44830995800000001</v>
      </c>
      <c r="T23" s="4">
        <v>263.12576289999998</v>
      </c>
      <c r="U23" s="4">
        <v>-147.1306458</v>
      </c>
      <c r="V23" s="4">
        <f t="shared" si="0"/>
        <v>-1.7883817573782443</v>
      </c>
      <c r="W23" s="4">
        <f>(J23*K23)/1000</f>
        <v>5.78</v>
      </c>
      <c r="X23" s="4">
        <v>2.2999999999999998</v>
      </c>
      <c r="Y23" s="4">
        <v>-19.100000000000001</v>
      </c>
      <c r="Z23" s="4">
        <v>0.26000000000000512</v>
      </c>
      <c r="AA23" s="4">
        <v>22</v>
      </c>
      <c r="AB23" s="4">
        <v>11</v>
      </c>
      <c r="AC23" s="4">
        <f>56/0.5</f>
        <v>112</v>
      </c>
      <c r="AD23" s="4">
        <f>60.9/77</f>
        <v>0.79090909090909089</v>
      </c>
      <c r="AE23" s="4">
        <f>8.7/7.3</f>
        <v>1.1917808219178081</v>
      </c>
      <c r="AF23" s="4" t="s">
        <v>104</v>
      </c>
      <c r="AH23" s="4">
        <f>1/0.0048</f>
        <v>208.33333333333334</v>
      </c>
      <c r="AI23" s="4">
        <f>1/0.008575</f>
        <v>116.61807580174928</v>
      </c>
      <c r="AJ23" s="4">
        <f t="shared" si="2"/>
        <v>0.55976676384839652</v>
      </c>
      <c r="AK23" s="4" t="s">
        <v>70</v>
      </c>
      <c r="AL23" s="4" t="s">
        <v>8</v>
      </c>
      <c r="AM23" s="4">
        <v>4</v>
      </c>
      <c r="AN23" s="4" t="s">
        <v>9</v>
      </c>
      <c r="AO23" s="4">
        <v>11</v>
      </c>
      <c r="AP23" s="4" t="s">
        <v>100</v>
      </c>
    </row>
    <row r="24" spans="1:42" s="4" customFormat="1" x14ac:dyDescent="0.3">
      <c r="A24" s="4" t="s">
        <v>114</v>
      </c>
      <c r="B24" s="4" t="s">
        <v>115</v>
      </c>
      <c r="C24" s="4" t="s">
        <v>69</v>
      </c>
      <c r="D24" s="4" t="s">
        <v>11</v>
      </c>
      <c r="E24" s="4" t="s">
        <v>29</v>
      </c>
      <c r="F24" s="4" t="s">
        <v>37</v>
      </c>
      <c r="G24" s="4">
        <v>4</v>
      </c>
      <c r="H24" s="4">
        <v>68</v>
      </c>
      <c r="I24" s="4">
        <v>-67</v>
      </c>
      <c r="J24" s="4">
        <v>266</v>
      </c>
      <c r="K24" s="4">
        <v>26</v>
      </c>
      <c r="L24" s="4">
        <v>120</v>
      </c>
      <c r="M24" s="9">
        <v>20.7</v>
      </c>
      <c r="N24" s="4">
        <v>50.9</v>
      </c>
      <c r="O24" s="4">
        <v>0.75</v>
      </c>
      <c r="P24" s="4">
        <v>15.5</v>
      </c>
      <c r="Q24" s="4">
        <v>-34.799999999999997</v>
      </c>
      <c r="R24" s="4">
        <v>0.35992631316184998</v>
      </c>
      <c r="S24" s="4">
        <v>0.65513128042221103</v>
      </c>
      <c r="T24" s="4">
        <v>166.66667179999999</v>
      </c>
      <c r="U24" s="4">
        <v>-79.975578310000003</v>
      </c>
      <c r="V24" s="4">
        <f t="shared" si="0"/>
        <v>-2.0839695732360872</v>
      </c>
      <c r="W24" s="4">
        <f>(J24*K24)/1000</f>
        <v>6.9160000000000004</v>
      </c>
      <c r="X24" s="4">
        <v>3.8</v>
      </c>
      <c r="Y24" s="4">
        <v>-19.899999999999999</v>
      </c>
      <c r="Z24" s="4">
        <v>1.2000000000000028</v>
      </c>
      <c r="AA24" s="4">
        <v>32</v>
      </c>
      <c r="AB24" s="4">
        <v>8</v>
      </c>
      <c r="AC24" s="4">
        <f>41/0.5</f>
        <v>82</v>
      </c>
      <c r="AD24" s="4">
        <f>45.5/56</f>
        <v>0.8125</v>
      </c>
      <c r="AE24" s="4">
        <f>11.9/10</f>
        <v>1.19</v>
      </c>
      <c r="AF24" s="4">
        <v>520</v>
      </c>
      <c r="AG24" s="4">
        <v>18.7</v>
      </c>
      <c r="AH24" s="4">
        <f>1/0.0073</f>
        <v>136.98630136986301</v>
      </c>
      <c r="AI24" s="4">
        <f>1/0.01033</f>
        <v>96.805421103581793</v>
      </c>
      <c r="AJ24" s="4">
        <f t="shared" si="2"/>
        <v>0.70667957405614712</v>
      </c>
      <c r="AK24" s="4" t="s">
        <v>88</v>
      </c>
      <c r="AL24" s="4" t="s">
        <v>8</v>
      </c>
      <c r="AM24" s="4">
        <v>4</v>
      </c>
      <c r="AN24" s="4" t="s">
        <v>9</v>
      </c>
      <c r="AO24" s="4">
        <v>8</v>
      </c>
      <c r="AP24" s="4" t="s">
        <v>116</v>
      </c>
    </row>
    <row r="25" spans="1:42" s="4" customFormat="1" x14ac:dyDescent="0.3">
      <c r="A25" s="4" t="s">
        <v>114</v>
      </c>
      <c r="B25" s="4" t="s">
        <v>117</v>
      </c>
      <c r="C25" s="4" t="s">
        <v>69</v>
      </c>
      <c r="D25" s="4" t="s">
        <v>11</v>
      </c>
      <c r="E25" s="4" t="s">
        <v>29</v>
      </c>
      <c r="F25" s="4" t="s">
        <v>37</v>
      </c>
      <c r="G25" s="4">
        <v>4</v>
      </c>
      <c r="H25" s="4">
        <v>68</v>
      </c>
      <c r="I25" s="4">
        <v>-72</v>
      </c>
      <c r="J25" s="4">
        <v>200</v>
      </c>
      <c r="K25" s="4">
        <v>27</v>
      </c>
      <c r="L25" s="4">
        <v>240</v>
      </c>
      <c r="M25" s="9">
        <v>14.3</v>
      </c>
      <c r="N25" s="4">
        <v>59.5</v>
      </c>
      <c r="O25" s="4">
        <v>0.74</v>
      </c>
      <c r="P25" s="4">
        <v>38.9</v>
      </c>
      <c r="Q25" s="4">
        <v>-27.4</v>
      </c>
      <c r="R25" s="4">
        <v>0.33196392655372597</v>
      </c>
      <c r="S25" s="4">
        <v>0.67987549304962203</v>
      </c>
      <c r="T25" s="4">
        <v>195.85113530000001</v>
      </c>
      <c r="U25" s="4">
        <v>-88.522590640000004</v>
      </c>
      <c r="V25" s="4">
        <f t="shared" si="0"/>
        <v>-2.2124424272271841</v>
      </c>
      <c r="W25" s="4">
        <f>(J25*K25)/1000</f>
        <v>5.4</v>
      </c>
      <c r="X25" s="4">
        <v>2.6</v>
      </c>
      <c r="Y25" s="4">
        <v>-12.8</v>
      </c>
      <c r="Z25" s="4">
        <v>0.40000000000000568</v>
      </c>
      <c r="AA25" s="4">
        <v>56</v>
      </c>
      <c r="AB25" s="4" t="s">
        <v>118</v>
      </c>
      <c r="AC25" s="4">
        <f>59/0.5</f>
        <v>118</v>
      </c>
      <c r="AD25" s="4">
        <f>17.2/60.7</f>
        <v>0.28336079077429982</v>
      </c>
      <c r="AE25" s="4">
        <f>10.3/5.7</f>
        <v>1.8070175438596492</v>
      </c>
      <c r="AF25" s="4">
        <v>520</v>
      </c>
      <c r="AG25" s="4">
        <v>5</v>
      </c>
      <c r="AH25" s="4">
        <f>1/0.0062</f>
        <v>161.29032258064515</v>
      </c>
      <c r="AI25" s="4">
        <f>1/0.01</f>
        <v>100</v>
      </c>
      <c r="AJ25" s="4">
        <f t="shared" si="2"/>
        <v>0.62</v>
      </c>
      <c r="AK25" s="4" t="s">
        <v>88</v>
      </c>
      <c r="AL25" s="4" t="s">
        <v>8</v>
      </c>
      <c r="AM25" s="4">
        <v>4</v>
      </c>
      <c r="AN25" s="4" t="s">
        <v>9</v>
      </c>
      <c r="AO25" s="4" t="s">
        <v>118</v>
      </c>
      <c r="AP25" s="4" t="s">
        <v>119</v>
      </c>
    </row>
    <row r="26" spans="1:42" s="4" customFormat="1" x14ac:dyDescent="0.3">
      <c r="A26" s="4" t="s">
        <v>120</v>
      </c>
      <c r="B26" s="4" t="s">
        <v>121</v>
      </c>
      <c r="C26" s="4" t="s">
        <v>96</v>
      </c>
      <c r="D26" s="4" t="s">
        <v>11</v>
      </c>
      <c r="E26" s="4" t="s">
        <v>29</v>
      </c>
      <c r="F26" s="4" t="s">
        <v>122</v>
      </c>
      <c r="G26" s="4">
        <v>1</v>
      </c>
      <c r="H26" s="4">
        <v>93</v>
      </c>
      <c r="I26" s="4">
        <v>-82</v>
      </c>
      <c r="J26" s="4">
        <v>280</v>
      </c>
      <c r="K26" s="4">
        <v>35</v>
      </c>
      <c r="L26" s="4">
        <v>40</v>
      </c>
      <c r="M26" s="9">
        <v>35.5</v>
      </c>
      <c r="N26" s="4">
        <v>70.7</v>
      </c>
      <c r="O26" s="4">
        <v>0.7</v>
      </c>
      <c r="P26" s="4">
        <v>35</v>
      </c>
      <c r="Q26" s="4">
        <v>-58.2</v>
      </c>
      <c r="R26" s="4">
        <v>0.35215556599999998</v>
      </c>
      <c r="S26" s="4">
        <v>0.53769785199999998</v>
      </c>
      <c r="T26" s="4">
        <v>213.06471250000001</v>
      </c>
      <c r="U26" s="4">
        <v>-115.0793686</v>
      </c>
      <c r="V26" s="4">
        <v>-1.8514588243926116</v>
      </c>
      <c r="W26" s="4">
        <f>(J26*K26)/1000</f>
        <v>9.8000000000000007</v>
      </c>
      <c r="X26" s="4">
        <v>2.8</v>
      </c>
      <c r="Y26" s="4">
        <v>-20.6</v>
      </c>
      <c r="Z26" s="4">
        <v>0.32</v>
      </c>
      <c r="AA26" s="4">
        <v>6</v>
      </c>
      <c r="AB26" s="4">
        <v>5</v>
      </c>
      <c r="AC26" s="4">
        <v>54</v>
      </c>
      <c r="AD26" s="4">
        <v>0.91160949868073871</v>
      </c>
      <c r="AE26" s="4">
        <v>1.0683229813664594</v>
      </c>
      <c r="AF26" s="4">
        <v>400</v>
      </c>
      <c r="AG26" s="4">
        <v>43.4</v>
      </c>
      <c r="AH26" s="4">
        <v>172.41379310344828</v>
      </c>
      <c r="AI26" s="4">
        <v>115.2073732718894</v>
      </c>
      <c r="AJ26" s="4">
        <v>1.4965517241379311</v>
      </c>
      <c r="AK26" s="4" t="s">
        <v>123</v>
      </c>
      <c r="AL26" s="4" t="s">
        <v>8</v>
      </c>
      <c r="AM26" s="4">
        <v>4</v>
      </c>
      <c r="AN26" s="4" t="s">
        <v>9</v>
      </c>
      <c r="AO26" s="4">
        <v>5</v>
      </c>
      <c r="AP26" s="4" t="s">
        <v>124</v>
      </c>
    </row>
    <row r="27" spans="1:42" s="4" customFormat="1" x14ac:dyDescent="0.3">
      <c r="A27" s="4" t="s">
        <v>125</v>
      </c>
      <c r="B27" s="4" t="s">
        <v>126</v>
      </c>
      <c r="C27" s="4" t="s">
        <v>96</v>
      </c>
      <c r="D27" s="4" t="s">
        <v>11</v>
      </c>
      <c r="E27" s="4" t="s">
        <v>29</v>
      </c>
      <c r="F27" s="4" t="s">
        <v>127</v>
      </c>
      <c r="G27" s="4">
        <v>10</v>
      </c>
      <c r="H27" s="4">
        <v>75</v>
      </c>
      <c r="I27" s="4">
        <v>-66</v>
      </c>
      <c r="J27" s="4">
        <v>250</v>
      </c>
      <c r="K27" s="4">
        <v>35</v>
      </c>
      <c r="L27" s="4">
        <v>240</v>
      </c>
      <c r="M27" s="9">
        <v>14.6</v>
      </c>
      <c r="N27" s="4">
        <v>54.9</v>
      </c>
      <c r="O27" s="4">
        <v>0.72</v>
      </c>
      <c r="P27" s="4">
        <v>31</v>
      </c>
      <c r="Q27" s="4">
        <v>-32.9</v>
      </c>
      <c r="R27" s="4">
        <v>0.33410495499999998</v>
      </c>
      <c r="S27" s="4">
        <v>0.57220417300000004</v>
      </c>
      <c r="T27" s="4">
        <v>174.60317989999999</v>
      </c>
      <c r="U27" s="4">
        <v>-94.017097469999996</v>
      </c>
      <c r="V27" s="4">
        <v>-1.8571428452757146</v>
      </c>
      <c r="W27" s="4">
        <f>(J27*K27)/1000</f>
        <v>8.75</v>
      </c>
      <c r="X27" s="4">
        <v>2.7</v>
      </c>
      <c r="Y27" s="4">
        <v>-15.3</v>
      </c>
      <c r="Z27" s="4">
        <v>0.52</v>
      </c>
      <c r="AA27" s="4">
        <v>70</v>
      </c>
      <c r="AB27" s="4">
        <v>0</v>
      </c>
      <c r="AC27" s="4">
        <v>130</v>
      </c>
      <c r="AD27" s="4">
        <v>0.49557522123893805</v>
      </c>
      <c r="AE27" s="4">
        <v>1.5818181818181818</v>
      </c>
      <c r="AF27" s="4" t="s">
        <v>75</v>
      </c>
      <c r="AH27" s="4">
        <v>181.81818181818184</v>
      </c>
      <c r="AI27" s="4">
        <v>120.48192771084337</v>
      </c>
      <c r="AJ27" s="4">
        <v>1.5090909090909095</v>
      </c>
      <c r="AK27" s="4" t="s">
        <v>97</v>
      </c>
      <c r="AL27" s="4" t="s">
        <v>8</v>
      </c>
      <c r="AM27" s="4">
        <v>4</v>
      </c>
      <c r="AN27" s="4" t="s">
        <v>9</v>
      </c>
      <c r="AO27" s="4">
        <v>0</v>
      </c>
      <c r="AP27" s="4" t="s">
        <v>77</v>
      </c>
    </row>
    <row r="28" spans="1:42" s="4" customFormat="1" x14ac:dyDescent="0.3">
      <c r="A28" s="4" t="s">
        <v>128</v>
      </c>
      <c r="B28" s="4" t="s">
        <v>129</v>
      </c>
      <c r="C28" s="4" t="s">
        <v>96</v>
      </c>
      <c r="D28" s="4" t="s">
        <v>11</v>
      </c>
      <c r="E28" s="4" t="s">
        <v>29</v>
      </c>
      <c r="F28" s="4" t="s">
        <v>130</v>
      </c>
      <c r="G28" s="4">
        <v>2</v>
      </c>
      <c r="H28" s="4">
        <v>66</v>
      </c>
      <c r="I28" s="4">
        <v>-73</v>
      </c>
      <c r="J28" s="4">
        <v>340</v>
      </c>
      <c r="K28" s="4">
        <v>26</v>
      </c>
      <c r="L28" s="4">
        <v>120</v>
      </c>
      <c r="M28" s="9">
        <v>27.5</v>
      </c>
      <c r="N28" s="4">
        <v>53.7</v>
      </c>
      <c r="O28" s="4">
        <v>0.72</v>
      </c>
      <c r="P28" s="4">
        <v>22.6</v>
      </c>
      <c r="Q28" s="4">
        <v>-40.4</v>
      </c>
      <c r="R28" s="4">
        <v>0.31876069299999998</v>
      </c>
      <c r="S28" s="4">
        <v>0.59457320000000002</v>
      </c>
      <c r="T28" s="4">
        <v>186.5079346</v>
      </c>
      <c r="U28" s="4">
        <v>-86.996337890000007</v>
      </c>
      <c r="V28" s="4">
        <f t="shared" ref="V28:V37" si="3">T28/U28</f>
        <v>-2.14385960516895</v>
      </c>
      <c r="W28" s="4">
        <f>(J28*K28)/1000</f>
        <v>8.84</v>
      </c>
      <c r="X28" s="4">
        <v>3</v>
      </c>
      <c r="Y28" s="4">
        <v>-18.100000000000001</v>
      </c>
      <c r="Z28" s="4">
        <v>0.61</v>
      </c>
      <c r="AA28" s="4">
        <v>4</v>
      </c>
      <c r="AB28" s="4">
        <v>0</v>
      </c>
      <c r="AC28" s="4">
        <v>92</v>
      </c>
      <c r="AD28" s="4">
        <f>49.7/59.6</f>
        <v>0.83389261744966447</v>
      </c>
      <c r="AE28" s="4">
        <f>11/9.2</f>
        <v>1.1956521739130437</v>
      </c>
      <c r="AF28" s="4">
        <v>560</v>
      </c>
      <c r="AG28" s="4">
        <v>-23.9</v>
      </c>
      <c r="AH28" s="4">
        <f>1/0.006</f>
        <v>166.66666666666666</v>
      </c>
      <c r="AI28" s="4">
        <f>1/0.0086</f>
        <v>116.27906976744185</v>
      </c>
      <c r="AJ28" s="4">
        <f t="shared" ref="AJ28:AJ37" si="4">AH28/AI28</f>
        <v>1.4333333333333333</v>
      </c>
      <c r="AK28" s="4" t="s">
        <v>123</v>
      </c>
      <c r="AL28" s="4" t="s">
        <v>8</v>
      </c>
      <c r="AM28" s="4">
        <v>4</v>
      </c>
      <c r="AN28" s="4" t="s">
        <v>9</v>
      </c>
      <c r="AO28" s="4">
        <v>0</v>
      </c>
      <c r="AP28" s="4" t="s">
        <v>89</v>
      </c>
    </row>
    <row r="29" spans="1:42" s="4" customFormat="1" x14ac:dyDescent="0.3">
      <c r="A29" s="4" t="s">
        <v>128</v>
      </c>
      <c r="B29" s="4" t="s">
        <v>131</v>
      </c>
      <c r="C29" s="4" t="s">
        <v>96</v>
      </c>
      <c r="D29" s="4" t="s">
        <v>11</v>
      </c>
      <c r="E29" s="4" t="s">
        <v>29</v>
      </c>
      <c r="F29" s="4" t="s">
        <v>130</v>
      </c>
      <c r="G29" s="4">
        <v>2</v>
      </c>
      <c r="H29" s="4">
        <v>66</v>
      </c>
      <c r="I29" s="4">
        <v>-73</v>
      </c>
      <c r="J29" s="4">
        <v>190</v>
      </c>
      <c r="K29" s="4">
        <v>28</v>
      </c>
      <c r="L29" s="4">
        <v>240</v>
      </c>
      <c r="M29" s="9">
        <v>19</v>
      </c>
      <c r="N29" s="4">
        <v>50.2</v>
      </c>
      <c r="O29" s="4">
        <v>0.68</v>
      </c>
      <c r="P29" s="4">
        <v>19.3</v>
      </c>
      <c r="Q29" s="4">
        <v>-39.299999999999997</v>
      </c>
      <c r="R29" s="4">
        <v>0.31423363100000001</v>
      </c>
      <c r="S29" s="4">
        <v>0.55241370199999995</v>
      </c>
      <c r="T29" s="4">
        <v>171.85592650000001</v>
      </c>
      <c r="U29" s="4">
        <v>-89.133087160000002</v>
      </c>
      <c r="V29" s="4">
        <f t="shared" si="3"/>
        <v>-1.9280822865644365</v>
      </c>
      <c r="W29" s="4">
        <f>(J29*K29)/1000</f>
        <v>5.32</v>
      </c>
      <c r="X29" s="4">
        <v>2.8</v>
      </c>
      <c r="Y29" s="4">
        <v>-17.399999999999999</v>
      </c>
      <c r="Z29" s="4">
        <v>0.27</v>
      </c>
      <c r="AA29" s="4">
        <v>50</v>
      </c>
      <c r="AB29" s="4">
        <v>8</v>
      </c>
      <c r="AC29" s="4">
        <v>134</v>
      </c>
      <c r="AD29" s="4">
        <f>33.3/54.3</f>
        <v>0.61325966850828728</v>
      </c>
      <c r="AE29" s="4">
        <f>7.6/6.1</f>
        <v>1.2459016393442623</v>
      </c>
      <c r="AF29" s="4" t="s">
        <v>75</v>
      </c>
      <c r="AH29" s="4">
        <f>1/0.0061</f>
        <v>163.93442622950818</v>
      </c>
      <c r="AI29" s="4">
        <f>1/0.0077</f>
        <v>129.87012987012986</v>
      </c>
      <c r="AJ29" s="4">
        <f t="shared" si="4"/>
        <v>1.262295081967213</v>
      </c>
      <c r="AK29" s="4" t="s">
        <v>97</v>
      </c>
      <c r="AL29" s="4" t="s">
        <v>8</v>
      </c>
      <c r="AM29" s="4">
        <v>4</v>
      </c>
      <c r="AN29" s="4" t="s">
        <v>9</v>
      </c>
      <c r="AO29" s="4">
        <v>8</v>
      </c>
      <c r="AP29" s="4" t="s">
        <v>81</v>
      </c>
    </row>
    <row r="30" spans="1:42" s="4" customFormat="1" x14ac:dyDescent="0.3">
      <c r="A30" s="4" t="s">
        <v>132</v>
      </c>
      <c r="B30" s="4" t="s">
        <v>133</v>
      </c>
      <c r="C30" s="4" t="s">
        <v>96</v>
      </c>
      <c r="D30" s="4" t="s">
        <v>11</v>
      </c>
      <c r="E30" s="4" t="s">
        <v>29</v>
      </c>
      <c r="F30" s="4" t="s">
        <v>130</v>
      </c>
      <c r="G30" s="4">
        <v>1</v>
      </c>
      <c r="H30" s="4">
        <v>70</v>
      </c>
      <c r="I30" s="4">
        <v>-64</v>
      </c>
      <c r="J30" s="4">
        <v>220</v>
      </c>
      <c r="K30" s="4">
        <v>31</v>
      </c>
      <c r="L30" s="4">
        <v>280</v>
      </c>
      <c r="M30" s="9">
        <v>97.1</v>
      </c>
      <c r="N30" s="4">
        <v>65.099999999999994</v>
      </c>
      <c r="O30" s="4">
        <v>0.65</v>
      </c>
      <c r="P30" s="4">
        <v>25.5</v>
      </c>
      <c r="Q30" s="4">
        <v>-20.6</v>
      </c>
      <c r="R30" s="4">
        <v>0.31468308</v>
      </c>
      <c r="S30" s="4">
        <v>0.54053831100000005</v>
      </c>
      <c r="T30" s="4">
        <v>233.6790771</v>
      </c>
      <c r="U30" s="4">
        <v>-112.6373596</v>
      </c>
      <c r="V30" s="4">
        <f t="shared" si="3"/>
        <v>-2.0746143014169163</v>
      </c>
      <c r="W30" s="4">
        <f>(J30*K30)/1000</f>
        <v>6.82</v>
      </c>
      <c r="X30" s="4">
        <v>2.7</v>
      </c>
      <c r="Y30" s="4">
        <v>-19.600000000000001</v>
      </c>
      <c r="Z30" s="4">
        <v>1.04</v>
      </c>
      <c r="AA30" s="4">
        <v>26</v>
      </c>
      <c r="AB30" s="4">
        <v>0</v>
      </c>
      <c r="AC30" s="4">
        <v>114</v>
      </c>
      <c r="AD30" s="4">
        <f>44.2/67.9</f>
        <v>0.65095729013254788</v>
      </c>
      <c r="AE30" s="4">
        <f>8.9/7.7</f>
        <v>1.1558441558441559</v>
      </c>
      <c r="AF30" s="4" t="s">
        <v>75</v>
      </c>
      <c r="AH30" s="4">
        <f>1/0.0071</f>
        <v>140.8450704225352</v>
      </c>
      <c r="AI30" s="4">
        <f>1/0.0091</f>
        <v>109.89010989010988</v>
      </c>
      <c r="AJ30" s="4">
        <f t="shared" si="4"/>
        <v>1.2816901408450705</v>
      </c>
      <c r="AK30" s="4" t="s">
        <v>97</v>
      </c>
      <c r="AL30" s="4" t="s">
        <v>8</v>
      </c>
      <c r="AM30" s="4">
        <v>4</v>
      </c>
      <c r="AN30" s="4" t="s">
        <v>9</v>
      </c>
      <c r="AO30" s="4">
        <v>0</v>
      </c>
      <c r="AP30" s="4" t="s">
        <v>110</v>
      </c>
    </row>
    <row r="31" spans="1:42" s="4" customFormat="1" x14ac:dyDescent="0.3">
      <c r="A31" s="4" t="s">
        <v>132</v>
      </c>
      <c r="B31" s="4" t="s">
        <v>134</v>
      </c>
      <c r="C31" s="4" t="s">
        <v>96</v>
      </c>
      <c r="D31" s="4" t="s">
        <v>11</v>
      </c>
      <c r="E31" s="4" t="s">
        <v>29</v>
      </c>
      <c r="F31" s="4" t="s">
        <v>130</v>
      </c>
      <c r="G31" s="4">
        <v>1</v>
      </c>
      <c r="H31" s="4">
        <v>70</v>
      </c>
      <c r="I31" s="4">
        <v>-75</v>
      </c>
      <c r="J31" s="4">
        <v>375</v>
      </c>
      <c r="K31" s="4">
        <v>25</v>
      </c>
      <c r="L31" s="4">
        <v>120</v>
      </c>
      <c r="M31" s="9">
        <v>51</v>
      </c>
      <c r="N31" s="4">
        <v>65.5</v>
      </c>
      <c r="O31" s="4">
        <v>0.65</v>
      </c>
      <c r="P31" s="4">
        <v>34</v>
      </c>
      <c r="Q31" s="4">
        <v>-43.4</v>
      </c>
      <c r="R31" s="4">
        <v>0.35130813700000002</v>
      </c>
      <c r="S31" s="4">
        <v>0.54723286599999998</v>
      </c>
      <c r="T31" s="4">
        <v>205.43345640000001</v>
      </c>
      <c r="U31" s="4">
        <v>-115.31421659999999</v>
      </c>
      <c r="V31" s="4">
        <f t="shared" si="3"/>
        <v>-1.7815102288090299</v>
      </c>
      <c r="W31" s="4">
        <f>(J31*K31)/1000</f>
        <v>9.375</v>
      </c>
      <c r="X31" s="4">
        <v>2.6</v>
      </c>
      <c r="Y31" s="4">
        <v>-14.3</v>
      </c>
      <c r="Z31" s="4">
        <v>0.1</v>
      </c>
      <c r="AA31" s="4">
        <v>24</v>
      </c>
      <c r="AB31" s="4">
        <v>6</v>
      </c>
      <c r="AC31" s="4">
        <v>108</v>
      </c>
      <c r="AD31" s="4">
        <f>62.1/66.6</f>
        <v>0.93243243243243257</v>
      </c>
      <c r="AE31" s="4">
        <f>9.4/8.4</f>
        <v>1.1190476190476191</v>
      </c>
      <c r="AF31" s="4" t="s">
        <v>75</v>
      </c>
      <c r="AH31" s="4">
        <f>1/0.0044</f>
        <v>227.27272727272725</v>
      </c>
      <c r="AI31" s="4">
        <f>1/0.0062</f>
        <v>161.29032258064515</v>
      </c>
      <c r="AJ31" s="4">
        <f t="shared" si="4"/>
        <v>1.4090909090909089</v>
      </c>
      <c r="AK31" s="4" t="s">
        <v>135</v>
      </c>
      <c r="AL31" s="4" t="s">
        <v>8</v>
      </c>
      <c r="AM31" s="4">
        <v>4</v>
      </c>
      <c r="AN31" s="4" t="s">
        <v>9</v>
      </c>
      <c r="AO31" s="4">
        <v>6</v>
      </c>
      <c r="AP31" s="4" t="s">
        <v>71</v>
      </c>
    </row>
    <row r="32" spans="1:42" s="4" customFormat="1" x14ac:dyDescent="0.3">
      <c r="A32" s="4" t="s">
        <v>132</v>
      </c>
      <c r="B32" s="4" t="s">
        <v>136</v>
      </c>
      <c r="C32" s="4" t="s">
        <v>96</v>
      </c>
      <c r="D32" s="4" t="s">
        <v>11</v>
      </c>
      <c r="E32" s="4" t="s">
        <v>29</v>
      </c>
      <c r="F32" s="4" t="s">
        <v>130</v>
      </c>
      <c r="G32" s="4">
        <v>1</v>
      </c>
      <c r="H32" s="4">
        <v>70</v>
      </c>
      <c r="I32" s="4">
        <v>-71</v>
      </c>
      <c r="J32" s="4">
        <v>270</v>
      </c>
      <c r="K32" s="4">
        <v>21</v>
      </c>
      <c r="L32" s="4">
        <v>160</v>
      </c>
      <c r="M32" s="9">
        <v>30.2</v>
      </c>
      <c r="N32" s="4">
        <v>53.7</v>
      </c>
      <c r="O32" s="4">
        <v>0.66</v>
      </c>
      <c r="P32" s="4">
        <v>26.3</v>
      </c>
      <c r="Q32" s="4">
        <v>-35.5</v>
      </c>
      <c r="R32" s="4">
        <v>0.29708263299999998</v>
      </c>
      <c r="S32" s="4">
        <v>0.54013675500000002</v>
      </c>
      <c r="T32" s="4">
        <v>183.03843689999999</v>
      </c>
      <c r="U32" s="4">
        <v>-91.575088500000007</v>
      </c>
      <c r="V32" s="4">
        <f t="shared" si="3"/>
        <v>-1.9987797980670254</v>
      </c>
      <c r="W32" s="4">
        <f>(J32*K32)/1000</f>
        <v>5.67</v>
      </c>
      <c r="X32" s="4">
        <v>3.6</v>
      </c>
      <c r="Y32" s="4">
        <v>-20.7</v>
      </c>
      <c r="Z32" s="4">
        <v>0.73</v>
      </c>
      <c r="AA32" s="4">
        <v>2</v>
      </c>
      <c r="AB32" s="4">
        <v>9</v>
      </c>
      <c r="AC32" s="4">
        <v>102</v>
      </c>
      <c r="AD32" s="4">
        <f>51.6/60.7</f>
        <v>0.85008237232289952</v>
      </c>
      <c r="AE32" s="4">
        <f>9.6/7.9</f>
        <v>1.2151898734177213</v>
      </c>
      <c r="AF32" s="4" t="s">
        <v>75</v>
      </c>
      <c r="AH32" s="4">
        <f>1/0.0051</f>
        <v>196.07843137254901</v>
      </c>
      <c r="AI32" s="4">
        <f>1/0.0082</f>
        <v>121.95121951219511</v>
      </c>
      <c r="AJ32" s="4">
        <f t="shared" si="4"/>
        <v>1.607843137254902</v>
      </c>
      <c r="AK32" s="4" t="s">
        <v>135</v>
      </c>
      <c r="AL32" s="4" t="s">
        <v>8</v>
      </c>
      <c r="AM32" s="4">
        <v>4</v>
      </c>
      <c r="AN32" s="4" t="s">
        <v>9</v>
      </c>
      <c r="AO32" s="4">
        <v>9</v>
      </c>
      <c r="AP32" s="4" t="s">
        <v>100</v>
      </c>
    </row>
    <row r="33" spans="1:42" s="4" customFormat="1" ht="13.8" customHeight="1" x14ac:dyDescent="0.3">
      <c r="A33" s="4" t="s">
        <v>137</v>
      </c>
      <c r="B33" s="4" t="s">
        <v>138</v>
      </c>
      <c r="C33" s="4" t="s">
        <v>96</v>
      </c>
      <c r="D33" s="4" t="s">
        <v>11</v>
      </c>
      <c r="E33" s="4" t="s">
        <v>29</v>
      </c>
      <c r="F33" s="4" t="s">
        <v>95</v>
      </c>
      <c r="G33" s="4">
        <v>11</v>
      </c>
      <c r="H33" s="4">
        <v>70</v>
      </c>
      <c r="I33" s="4">
        <v>-72</v>
      </c>
      <c r="J33" s="4">
        <v>200</v>
      </c>
      <c r="K33" s="4">
        <v>37</v>
      </c>
      <c r="L33" s="4">
        <v>240</v>
      </c>
      <c r="M33" s="9">
        <v>101.6</v>
      </c>
      <c r="N33" s="4">
        <v>65.2</v>
      </c>
      <c r="O33" s="4">
        <v>0.72</v>
      </c>
      <c r="P33" s="4">
        <v>38.5</v>
      </c>
      <c r="Q33" s="4">
        <v>-42.1</v>
      </c>
      <c r="R33" s="4">
        <v>0.454414278</v>
      </c>
      <c r="S33" s="4">
        <v>0.58949977200000003</v>
      </c>
      <c r="T33" s="4">
        <v>178.4624786</v>
      </c>
      <c r="U33" s="4">
        <v>-104.94203950000001</v>
      </c>
      <c r="V33" s="4">
        <f t="shared" si="3"/>
        <v>-1.7005813823543994</v>
      </c>
      <c r="W33" s="4">
        <f>(J33*K33)/1000</f>
        <v>7.4</v>
      </c>
      <c r="X33" s="4">
        <v>2.9</v>
      </c>
      <c r="Y33" s="4">
        <v>-13.9</v>
      </c>
      <c r="Z33" s="4">
        <v>0.15</v>
      </c>
      <c r="AA33" s="4">
        <v>40</v>
      </c>
      <c r="AB33" s="4">
        <v>4</v>
      </c>
      <c r="AC33" s="4">
        <v>120</v>
      </c>
      <c r="AD33" s="4">
        <f>47.2/65.9</f>
        <v>0.71623672230652502</v>
      </c>
      <c r="AE33" s="4">
        <f>8.5/7.2</f>
        <v>1.1805555555555556</v>
      </c>
      <c r="AF33" s="4" t="s">
        <v>75</v>
      </c>
      <c r="AH33" s="4">
        <f>1/0.0065</f>
        <v>153.84615384615384</v>
      </c>
      <c r="AI33" s="4">
        <f>1/0.00895</f>
        <v>111.73184357541899</v>
      </c>
      <c r="AJ33" s="4">
        <f t="shared" si="4"/>
        <v>1.3769230769230769</v>
      </c>
      <c r="AK33" s="4" t="s">
        <v>97</v>
      </c>
      <c r="AL33" s="4" t="s">
        <v>8</v>
      </c>
      <c r="AM33" s="4">
        <v>4</v>
      </c>
      <c r="AN33" s="4" t="s">
        <v>9</v>
      </c>
      <c r="AO33" s="4">
        <v>4</v>
      </c>
      <c r="AP33" s="4" t="s">
        <v>89</v>
      </c>
    </row>
    <row r="34" spans="1:42" s="4" customFormat="1" x14ac:dyDescent="0.3">
      <c r="A34" s="4" t="s">
        <v>139</v>
      </c>
      <c r="B34" s="4" t="s">
        <v>140</v>
      </c>
      <c r="C34" s="4" t="s">
        <v>96</v>
      </c>
      <c r="D34" s="4" t="s">
        <v>11</v>
      </c>
      <c r="E34" s="4" t="s">
        <v>29</v>
      </c>
      <c r="F34" s="4" t="s">
        <v>95</v>
      </c>
      <c r="G34" s="4">
        <v>7</v>
      </c>
      <c r="H34" s="4">
        <v>71</v>
      </c>
      <c r="I34" s="4">
        <v>-71</v>
      </c>
      <c r="J34" s="4">
        <v>200</v>
      </c>
      <c r="K34" s="4">
        <v>26</v>
      </c>
      <c r="L34" s="4">
        <v>280</v>
      </c>
      <c r="M34" s="9">
        <v>324.5</v>
      </c>
      <c r="N34" s="4">
        <v>59.5</v>
      </c>
      <c r="O34" s="4">
        <v>0.63</v>
      </c>
      <c r="P34" s="4">
        <v>33.4</v>
      </c>
      <c r="Q34" s="4">
        <v>-28.4</v>
      </c>
      <c r="R34" s="4">
        <v>0.338517815</v>
      </c>
      <c r="S34" s="4">
        <v>0.573724389</v>
      </c>
      <c r="T34" s="4">
        <v>197.3764496</v>
      </c>
      <c r="U34" s="4">
        <v>-108.6691055</v>
      </c>
      <c r="V34" s="4">
        <f t="shared" si="3"/>
        <v>-1.8163069318721869</v>
      </c>
      <c r="W34" s="4">
        <f>(J34*K34)/1000</f>
        <v>5.2</v>
      </c>
      <c r="X34" s="4">
        <v>2.5</v>
      </c>
      <c r="Y34" s="4">
        <v>-10.1</v>
      </c>
      <c r="Z34" s="4">
        <v>0.15</v>
      </c>
      <c r="AA34" s="4">
        <v>2</v>
      </c>
      <c r="AB34" s="4" t="s">
        <v>141</v>
      </c>
      <c r="AC34" s="4">
        <v>148</v>
      </c>
      <c r="AD34" s="4">
        <f>48.9/64.2</f>
        <v>0.76168224299065412</v>
      </c>
      <c r="AE34" s="4">
        <f>7.2/5.1</f>
        <v>1.411764705882353</v>
      </c>
      <c r="AF34" s="4" t="s">
        <v>75</v>
      </c>
      <c r="AH34" s="4">
        <f>1/0.0051</f>
        <v>196.07843137254901</v>
      </c>
      <c r="AI34" s="4">
        <f>1/0.0072</f>
        <v>138.88888888888889</v>
      </c>
      <c r="AJ34" s="4">
        <f t="shared" si="4"/>
        <v>1.4117647058823528</v>
      </c>
      <c r="AK34" s="4" t="s">
        <v>97</v>
      </c>
      <c r="AL34" s="4" t="s">
        <v>8</v>
      </c>
      <c r="AM34" s="4">
        <v>4</v>
      </c>
      <c r="AN34" s="4" t="s">
        <v>9</v>
      </c>
      <c r="AO34" s="4" t="s">
        <v>141</v>
      </c>
      <c r="AP34" s="4" t="s">
        <v>81</v>
      </c>
    </row>
    <row r="35" spans="1:42" s="4" customFormat="1" x14ac:dyDescent="0.3">
      <c r="A35" s="4" t="s">
        <v>139</v>
      </c>
      <c r="B35" s="4" t="s">
        <v>142</v>
      </c>
      <c r="C35" s="4" t="s">
        <v>96</v>
      </c>
      <c r="D35" s="4" t="s">
        <v>11</v>
      </c>
      <c r="E35" s="4" t="s">
        <v>29</v>
      </c>
      <c r="F35" s="4" t="s">
        <v>95</v>
      </c>
      <c r="G35" s="4">
        <v>7</v>
      </c>
      <c r="H35" s="4">
        <v>71</v>
      </c>
      <c r="I35" s="4">
        <v>-73</v>
      </c>
      <c r="J35" s="4">
        <v>280</v>
      </c>
      <c r="K35" s="4">
        <v>26</v>
      </c>
      <c r="L35" s="4">
        <v>200</v>
      </c>
      <c r="M35" s="9">
        <v>231.7</v>
      </c>
      <c r="N35" s="4">
        <v>52</v>
      </c>
      <c r="O35" s="4">
        <v>0.66</v>
      </c>
      <c r="P35" s="4">
        <v>9.2200000000000006</v>
      </c>
      <c r="Q35" s="4">
        <v>-32.6</v>
      </c>
      <c r="R35" s="4">
        <v>0.281445801</v>
      </c>
      <c r="S35" s="4">
        <v>0.55206060400000001</v>
      </c>
      <c r="T35" s="4">
        <v>193.71568300000001</v>
      </c>
      <c r="U35" s="4">
        <v>-88.522590640000004</v>
      </c>
      <c r="V35" s="4">
        <f t="shared" si="3"/>
        <v>-2.1883191804428197</v>
      </c>
      <c r="W35" s="4">
        <f>(J35*K35)/1000</f>
        <v>7.28</v>
      </c>
      <c r="X35" s="4">
        <v>2.7</v>
      </c>
      <c r="Y35" s="4">
        <v>-17.3</v>
      </c>
      <c r="Z35" s="4">
        <v>0.31</v>
      </c>
      <c r="AA35" s="4">
        <v>20</v>
      </c>
      <c r="AB35" s="4" t="s">
        <v>143</v>
      </c>
      <c r="AC35" s="4">
        <v>106</v>
      </c>
      <c r="AD35" s="4">
        <f>36.3/53</f>
        <v>0.68490566037735845</v>
      </c>
      <c r="AE35" s="4">
        <f>10/7.4</f>
        <v>1.3513513513513513</v>
      </c>
      <c r="AF35" s="4">
        <v>520</v>
      </c>
      <c r="AG35" s="4">
        <v>-15.8</v>
      </c>
      <c r="AH35" s="4">
        <f>1/0.0069</f>
        <v>144.92753623188406</v>
      </c>
      <c r="AI35" s="4">
        <f>1/0.0104</f>
        <v>96.15384615384616</v>
      </c>
      <c r="AJ35" s="4">
        <f t="shared" si="4"/>
        <v>1.5072463768115942</v>
      </c>
      <c r="AK35" s="4" t="s">
        <v>123</v>
      </c>
      <c r="AL35" s="4" t="s">
        <v>8</v>
      </c>
      <c r="AM35" s="4">
        <v>4</v>
      </c>
      <c r="AN35" s="4" t="s">
        <v>9</v>
      </c>
      <c r="AO35" s="4" t="s">
        <v>143</v>
      </c>
      <c r="AP35" s="4" t="s">
        <v>110</v>
      </c>
    </row>
    <row r="36" spans="1:42" s="4" customFormat="1" x14ac:dyDescent="0.3">
      <c r="A36" s="4" t="s">
        <v>139</v>
      </c>
      <c r="B36" s="4" t="s">
        <v>144</v>
      </c>
      <c r="C36" s="4" t="s">
        <v>96</v>
      </c>
      <c r="D36" s="4" t="s">
        <v>11</v>
      </c>
      <c r="E36" s="4" t="s">
        <v>29</v>
      </c>
      <c r="F36" s="4" t="s">
        <v>95</v>
      </c>
      <c r="G36" s="4">
        <v>7</v>
      </c>
      <c r="H36" s="4">
        <v>71</v>
      </c>
      <c r="I36" s="4">
        <v>-66</v>
      </c>
      <c r="J36" s="4">
        <v>320</v>
      </c>
      <c r="K36" s="4">
        <v>22</v>
      </c>
      <c r="L36" s="4">
        <v>200</v>
      </c>
      <c r="M36" s="9">
        <v>42.5</v>
      </c>
      <c r="N36" s="4">
        <v>48.7</v>
      </c>
      <c r="O36" s="4">
        <v>0.65</v>
      </c>
      <c r="P36" s="4">
        <v>3.87</v>
      </c>
      <c r="Q36" s="4">
        <v>-16.5</v>
      </c>
      <c r="R36" s="4">
        <v>0.316752374</v>
      </c>
      <c r="S36" s="4">
        <v>0.50185018800000003</v>
      </c>
      <c r="T36" s="4">
        <v>161.477417</v>
      </c>
      <c r="U36" s="4">
        <v>-90.298965449999997</v>
      </c>
      <c r="V36" s="4">
        <f t="shared" si="3"/>
        <v>-1.7882532340795496</v>
      </c>
      <c r="W36" s="4">
        <f>(J36*K36)/1000</f>
        <v>7.04</v>
      </c>
      <c r="X36" s="4">
        <v>3</v>
      </c>
      <c r="Y36" s="4">
        <v>-22.6</v>
      </c>
      <c r="Z36" s="4">
        <v>0.76</v>
      </c>
      <c r="AA36" s="4">
        <v>28</v>
      </c>
      <c r="AB36" s="4">
        <v>10</v>
      </c>
      <c r="AC36" s="4">
        <v>124</v>
      </c>
      <c r="AD36" s="4">
        <f>36.9/55.6</f>
        <v>0.66366906474820142</v>
      </c>
      <c r="AE36" s="4">
        <f>8.8/6.4</f>
        <v>1.375</v>
      </c>
      <c r="AF36" s="4">
        <v>600</v>
      </c>
      <c r="AG36" s="4">
        <v>3.78</v>
      </c>
      <c r="AH36" s="4">
        <f>1/0.006</f>
        <v>166.66666666666666</v>
      </c>
      <c r="AI36" s="4">
        <f>1/0.008</f>
        <v>125</v>
      </c>
      <c r="AJ36" s="4">
        <f t="shared" si="4"/>
        <v>1.3333333333333333</v>
      </c>
      <c r="AK36" s="4" t="s">
        <v>123</v>
      </c>
      <c r="AL36" s="4" t="s">
        <v>8</v>
      </c>
      <c r="AM36" s="4">
        <v>4</v>
      </c>
      <c r="AN36" s="4" t="s">
        <v>9</v>
      </c>
      <c r="AO36" s="4">
        <v>10</v>
      </c>
      <c r="AP36" s="4" t="s">
        <v>71</v>
      </c>
    </row>
    <row r="37" spans="1:42" s="4" customFormat="1" x14ac:dyDescent="0.3">
      <c r="A37" s="4" t="s">
        <v>139</v>
      </c>
      <c r="B37" s="4" t="s">
        <v>145</v>
      </c>
      <c r="C37" s="4" t="s">
        <v>96</v>
      </c>
      <c r="D37" s="4" t="s">
        <v>11</v>
      </c>
      <c r="E37" s="4" t="s">
        <v>29</v>
      </c>
      <c r="F37" s="4" t="s">
        <v>95</v>
      </c>
      <c r="G37" s="4">
        <v>7</v>
      </c>
      <c r="H37" s="4">
        <v>71</v>
      </c>
      <c r="I37" s="4">
        <v>-79</v>
      </c>
      <c r="J37" s="4">
        <v>230</v>
      </c>
      <c r="K37" s="4">
        <v>36</v>
      </c>
      <c r="L37" s="4">
        <v>240</v>
      </c>
      <c r="M37" s="9">
        <v>18.7</v>
      </c>
      <c r="N37" s="4">
        <v>69.400000000000006</v>
      </c>
      <c r="O37" s="4">
        <v>0.61</v>
      </c>
      <c r="P37" s="4">
        <v>35.799999999999997</v>
      </c>
      <c r="Q37" s="4">
        <v>-40.700000000000003</v>
      </c>
      <c r="R37" s="4">
        <v>0.289634734</v>
      </c>
      <c r="S37" s="4">
        <v>0.56331378200000004</v>
      </c>
      <c r="T37" s="4">
        <v>261.90475459999999</v>
      </c>
      <c r="U37" s="4">
        <v>-120.87911990000001</v>
      </c>
      <c r="V37" s="4">
        <f t="shared" si="3"/>
        <v>-2.1666666237863632</v>
      </c>
      <c r="W37" s="4">
        <f>(J37*K37)/1000</f>
        <v>8.2799999999999994</v>
      </c>
      <c r="X37" s="4">
        <v>2.4</v>
      </c>
      <c r="Y37" s="4">
        <v>-11.8</v>
      </c>
      <c r="Z37" s="4">
        <v>0.1</v>
      </c>
      <c r="AA37" s="4">
        <v>28</v>
      </c>
      <c r="AB37" s="4">
        <v>13</v>
      </c>
      <c r="AC37" s="4">
        <v>138</v>
      </c>
      <c r="AD37" s="4">
        <f>59.6/70.4</f>
        <v>0.84659090909090906</v>
      </c>
      <c r="AE37" s="4">
        <f>7.6/5.4</f>
        <v>1.4074074074074072</v>
      </c>
      <c r="AH37" s="4">
        <f>1/0.0049</f>
        <v>204.08163265306123</v>
      </c>
      <c r="AI37" s="4">
        <f>1/0.0074</f>
        <v>135.13513513513513</v>
      </c>
      <c r="AJ37" s="4">
        <f t="shared" si="4"/>
        <v>1.5102040816326532</v>
      </c>
      <c r="AK37" s="4" t="s">
        <v>135</v>
      </c>
      <c r="AL37" s="4" t="s">
        <v>8</v>
      </c>
      <c r="AM37" s="4">
        <v>4</v>
      </c>
      <c r="AN37" s="4" t="s">
        <v>9</v>
      </c>
      <c r="AO37" s="4">
        <v>13</v>
      </c>
      <c r="AP37" s="4" t="s">
        <v>100</v>
      </c>
    </row>
    <row r="39" spans="1:42" x14ac:dyDescent="0.3">
      <c r="G39" s="1" t="s">
        <v>149</v>
      </c>
      <c r="I39" s="1">
        <f t="shared" ref="I39:AJ39" si="5">AVERAGE(I2:I13)</f>
        <v>-72.333333333333329</v>
      </c>
      <c r="J39" s="1">
        <f t="shared" si="5"/>
        <v>237.66666666666666</v>
      </c>
      <c r="K39" s="1">
        <f t="shared" si="5"/>
        <v>33.083333333333336</v>
      </c>
      <c r="L39" s="1">
        <f t="shared" si="5"/>
        <v>138.33333333333334</v>
      </c>
      <c r="M39" s="1">
        <f t="shared" si="5"/>
        <v>36.366666666666667</v>
      </c>
      <c r="N39" s="1">
        <f t="shared" si="5"/>
        <v>61.43333333333333</v>
      </c>
      <c r="O39" s="1">
        <f t="shared" si="5"/>
        <v>0.62999999999999989</v>
      </c>
      <c r="P39" s="1">
        <f t="shared" si="5"/>
        <v>29.700000000000003</v>
      </c>
      <c r="Q39" s="1">
        <f t="shared" si="5"/>
        <v>-43.383333333333333</v>
      </c>
      <c r="R39" s="1">
        <f t="shared" si="5"/>
        <v>0.31302059206772614</v>
      </c>
      <c r="S39" s="1">
        <f t="shared" si="5"/>
        <v>0.52879755703489295</v>
      </c>
      <c r="T39" s="1">
        <f t="shared" si="5"/>
        <v>214.76981734166668</v>
      </c>
      <c r="U39" s="1">
        <f t="shared" si="5"/>
        <v>-114.09158452000001</v>
      </c>
      <c r="V39" s="1">
        <f t="shared" si="5"/>
        <v>-1.902110258586835</v>
      </c>
      <c r="W39" s="1">
        <f t="shared" si="5"/>
        <v>7.7576666666666663</v>
      </c>
      <c r="X39" s="1">
        <f t="shared" si="5"/>
        <v>2.5249999999999999</v>
      </c>
      <c r="Y39" s="1">
        <f t="shared" si="5"/>
        <v>-16.058333333333334</v>
      </c>
      <c r="Z39" s="1">
        <f t="shared" si="5"/>
        <v>0.72500000000000131</v>
      </c>
      <c r="AA39" s="1">
        <f t="shared" si="5"/>
        <v>29.666666666666668</v>
      </c>
      <c r="AB39" s="1">
        <f t="shared" si="5"/>
        <v>5.5</v>
      </c>
      <c r="AC39" s="1">
        <f t="shared" si="5"/>
        <v>100.83333333333333</v>
      </c>
      <c r="AD39" s="1">
        <f t="shared" si="5"/>
        <v>0.81428250262185087</v>
      </c>
      <c r="AE39" s="1">
        <f t="shared" si="5"/>
        <v>1.3122060011147483</v>
      </c>
      <c r="AF39" s="1">
        <f t="shared" si="5"/>
        <v>475</v>
      </c>
      <c r="AG39" s="1">
        <f t="shared" si="5"/>
        <v>28.15</v>
      </c>
      <c r="AH39" s="1">
        <f t="shared" si="5"/>
        <v>191.97043859709385</v>
      </c>
      <c r="AI39" s="1">
        <f t="shared" si="5"/>
        <v>124.2344732589011</v>
      </c>
      <c r="AJ39" s="1">
        <f t="shared" si="5"/>
        <v>0.71342928900252955</v>
      </c>
    </row>
    <row r="40" spans="1:42" x14ac:dyDescent="0.3">
      <c r="G40" s="1" t="s">
        <v>12</v>
      </c>
      <c r="I40" s="1">
        <f t="shared" ref="I40:AJ40" si="6">STDEV(I2:I13)</f>
        <v>5.8826916123540416</v>
      </c>
      <c r="J40" s="1">
        <f t="shared" si="6"/>
        <v>69.228650576232212</v>
      </c>
      <c r="K40" s="1">
        <f t="shared" si="6"/>
        <v>4.5218325595901536</v>
      </c>
      <c r="L40" s="1">
        <f t="shared" si="6"/>
        <v>43.029236008964304</v>
      </c>
      <c r="M40" s="1">
        <f t="shared" si="6"/>
        <v>27.413610864059134</v>
      </c>
      <c r="N40" s="1">
        <f t="shared" si="6"/>
        <v>6.7452789326156815</v>
      </c>
      <c r="O40" s="1">
        <f t="shared" si="6"/>
        <v>9.21461290066449E-2</v>
      </c>
      <c r="P40" s="1">
        <f t="shared" si="6"/>
        <v>10.313539203837394</v>
      </c>
      <c r="Q40" s="1">
        <f t="shared" si="6"/>
        <v>5.6619677487494</v>
      </c>
      <c r="R40" s="1">
        <f t="shared" si="6"/>
        <v>4.0259927454055391E-2</v>
      </c>
      <c r="S40" s="1">
        <f t="shared" si="6"/>
        <v>9.400449459566991E-2</v>
      </c>
      <c r="T40" s="1">
        <f t="shared" si="6"/>
        <v>26.49666100677188</v>
      </c>
      <c r="U40" s="1">
        <f t="shared" si="6"/>
        <v>20.379006328417802</v>
      </c>
      <c r="V40" s="1">
        <f t="shared" si="6"/>
        <v>0.16810617059320426</v>
      </c>
      <c r="W40" s="1">
        <f t="shared" si="6"/>
        <v>2.0326677201663017</v>
      </c>
      <c r="X40" s="1">
        <f t="shared" si="6"/>
        <v>0.34935004586439283</v>
      </c>
      <c r="Y40" s="1">
        <f t="shared" si="6"/>
        <v>3.7041643232088646</v>
      </c>
      <c r="Z40" s="1">
        <f t="shared" si="6"/>
        <v>0.44110398691547725</v>
      </c>
      <c r="AA40" s="1">
        <f t="shared" si="6"/>
        <v>20.623611064344026</v>
      </c>
      <c r="AB40" s="1">
        <f t="shared" si="6"/>
        <v>5.6809090181701798</v>
      </c>
      <c r="AC40" s="1">
        <f t="shared" si="6"/>
        <v>26.166714919855149</v>
      </c>
      <c r="AD40" s="1">
        <f t="shared" si="6"/>
        <v>9.7591905749997543E-2</v>
      </c>
      <c r="AE40" s="1">
        <f t="shared" si="6"/>
        <v>0.20839259819568179</v>
      </c>
      <c r="AF40" s="1">
        <f t="shared" si="6"/>
        <v>136.99148392023011</v>
      </c>
      <c r="AG40" s="1">
        <f t="shared" si="6"/>
        <v>9.5045603089604693</v>
      </c>
      <c r="AH40" s="1">
        <f t="shared" si="6"/>
        <v>34.784250748545603</v>
      </c>
      <c r="AI40" s="1">
        <f t="shared" si="6"/>
        <v>30.923200099934931</v>
      </c>
      <c r="AJ40" s="1">
        <f t="shared" si="6"/>
        <v>0.25562753446090825</v>
      </c>
    </row>
    <row r="41" spans="1:42" x14ac:dyDescent="0.3">
      <c r="G41" s="1" t="s">
        <v>13</v>
      </c>
      <c r="I41" s="1">
        <f>I40/SQRT(12)</f>
        <v>1.6981867929760799</v>
      </c>
      <c r="J41" s="1">
        <f t="shared" ref="J41:AJ41" si="7">J40/SQRT(12)</f>
        <v>19.984590022911107</v>
      </c>
      <c r="K41" s="1">
        <f t="shared" si="7"/>
        <v>1.3053406227548949</v>
      </c>
      <c r="L41" s="1">
        <f t="shared" si="7"/>
        <v>12.42147049639974</v>
      </c>
      <c r="M41" s="1">
        <f t="shared" si="7"/>
        <v>7.9136278059120952</v>
      </c>
      <c r="N41" s="1">
        <f t="shared" si="7"/>
        <v>1.9471943037523878</v>
      </c>
      <c r="O41" s="1">
        <f t="shared" si="7"/>
        <v>2.660029619338421E-2</v>
      </c>
      <c r="P41" s="1">
        <f t="shared" si="7"/>
        <v>2.9772623178166389</v>
      </c>
      <c r="Q41" s="1">
        <f>Q40/SQRT(12)</f>
        <v>1.6344693019417229</v>
      </c>
      <c r="R41" s="1">
        <f t="shared" si="7"/>
        <v>1.1622039976576843E-2</v>
      </c>
      <c r="S41" s="1">
        <f t="shared" si="7"/>
        <v>2.7136760129922374E-2</v>
      </c>
      <c r="T41" s="1">
        <f t="shared" si="7"/>
        <v>7.6489271824430034</v>
      </c>
      <c r="U41" s="1">
        <f t="shared" si="7"/>
        <v>5.8829123947645527</v>
      </c>
      <c r="V41" s="1">
        <f t="shared" si="7"/>
        <v>4.852807142221182E-2</v>
      </c>
      <c r="W41" s="1">
        <f t="shared" si="7"/>
        <v>0.58678062770553863</v>
      </c>
      <c r="X41" s="1">
        <f t="shared" si="7"/>
        <v>0.10084867151060765</v>
      </c>
      <c r="Y41" s="1">
        <f t="shared" si="7"/>
        <v>1.0693001345636231</v>
      </c>
      <c r="Z41" s="1">
        <f t="shared" si="7"/>
        <v>0.12733575279313397</v>
      </c>
      <c r="AA41" s="1">
        <f t="shared" si="7"/>
        <v>5.9535236998305843</v>
      </c>
      <c r="AB41" s="1">
        <f t="shared" si="7"/>
        <v>1.6399371754411631</v>
      </c>
      <c r="AC41" s="1">
        <f t="shared" si="7"/>
        <v>7.553679951393284</v>
      </c>
      <c r="AD41" s="1">
        <f t="shared" si="7"/>
        <v>2.8172356527744837E-2</v>
      </c>
      <c r="AE41" s="1">
        <f t="shared" si="7"/>
        <v>6.0157761332701204E-2</v>
      </c>
      <c r="AF41" s="1">
        <f t="shared" si="7"/>
        <v>39.546035059015573</v>
      </c>
      <c r="AG41" s="1">
        <f t="shared" si="7"/>
        <v>2.74373022645368</v>
      </c>
      <c r="AH41" s="1">
        <f>AH40/SQRT(11)</f>
        <v>10.487846213324065</v>
      </c>
      <c r="AI41" s="1">
        <f>AI40/SQRT(11)</f>
        <v>9.3236956407786149</v>
      </c>
      <c r="AJ41" s="1">
        <f t="shared" si="7"/>
        <v>7.3793312916642859E-2</v>
      </c>
    </row>
    <row r="42" spans="1:42" x14ac:dyDescent="0.3">
      <c r="W42" s="1">
        <f>W39+W41</f>
        <v>8.3444472943722054</v>
      </c>
      <c r="Z42" s="1">
        <f>Z39+Z41</f>
        <v>0.85233575279313523</v>
      </c>
    </row>
    <row r="44" spans="1:42" x14ac:dyDescent="0.3">
      <c r="G44" s="1" t="s">
        <v>38</v>
      </c>
      <c r="I44" s="1">
        <f>AVERAGE(I14:I37)</f>
        <v>-69.791666666666671</v>
      </c>
      <c r="J44" s="1">
        <f>AVERAGE(J14:J37)</f>
        <v>242</v>
      </c>
      <c r="K44" s="1">
        <f>AVERAGE(K14:K37)</f>
        <v>29.791666666666668</v>
      </c>
      <c r="L44" s="1">
        <f>AVERAGE(L14:L37)</f>
        <v>190</v>
      </c>
      <c r="M44" s="1">
        <f>AVERAGE(M14:M37)</f>
        <v>77.087499999999991</v>
      </c>
      <c r="N44" s="1">
        <f>AVERAGE(N14:N37)</f>
        <v>54.600000000000016</v>
      </c>
      <c r="O44" s="1">
        <f>AVERAGE(O14:O37)</f>
        <v>0.59458333333333335</v>
      </c>
      <c r="P44" s="1">
        <f>AVERAGE(P14:P37)</f>
        <v>20.401666666666667</v>
      </c>
      <c r="Q44" s="1">
        <f>AVERAGE(Q14:Q37)</f>
        <v>-33.959583333333335</v>
      </c>
      <c r="R44" s="1">
        <f>AVERAGE(R14:R37)</f>
        <v>0.30657086020526125</v>
      </c>
      <c r="S44" s="1">
        <f>AVERAGE(S14:S37)</f>
        <v>0.49461947513495647</v>
      </c>
      <c r="T44" s="1">
        <f>AVERAGE(T14:T37)</f>
        <v>206.04035059583339</v>
      </c>
      <c r="U44" s="1">
        <f>AVERAGE(U14:U37)</f>
        <v>-111.6468868291667</v>
      </c>
      <c r="V44" s="1">
        <f>AVERAGE(V14:V37)</f>
        <v>-1.8719474095105906</v>
      </c>
      <c r="W44" s="1">
        <f>AVERAGE(W14:W37)</f>
        <v>6.9686249999999994</v>
      </c>
      <c r="X44" s="1">
        <f>AVERAGE(X14:X37)</f>
        <v>2.5083333333333337</v>
      </c>
      <c r="Y44" s="1">
        <f>AVERAGE(Y14:Y37)</f>
        <v>-17.602500000000003</v>
      </c>
      <c r="Z44" s="1">
        <f>AVERAGE(Z14:Z37)</f>
        <v>0.80416666666666703</v>
      </c>
      <c r="AA44" s="1">
        <f>AVERAGE(AA14:AA37)</f>
        <v>21.833333333333332</v>
      </c>
      <c r="AB44" s="1">
        <f>AVERAGE(AB14:AB37)</f>
        <v>6.1428571428571432</v>
      </c>
      <c r="AC44" s="1">
        <f>AVERAGE(AC14:AC37)</f>
        <v>116.66666666666667</v>
      </c>
      <c r="AD44" s="1">
        <f>AVERAGE(AD14:AD37)</f>
        <v>0.72185857612592608</v>
      </c>
      <c r="AE44" s="1">
        <f>AVERAGE(AE14:AE37)</f>
        <v>1.3320521430284038</v>
      </c>
      <c r="AF44" s="1">
        <f>AVERAGE(AF14:AF37)</f>
        <v>473.84615384615387</v>
      </c>
      <c r="AG44" s="1">
        <f>AVERAGE(AG14:AG37)</f>
        <v>15.393333333333331</v>
      </c>
      <c r="AH44" s="1">
        <f>AVERAGE(AH14:AH37)</f>
        <v>191.74754071656733</v>
      </c>
      <c r="AI44" s="1">
        <f>AVERAGE(AI14:AI37)</f>
        <v>131.72851396300908</v>
      </c>
      <c r="AJ44" s="1">
        <f>AVERAGE(AJ14:AJ37)</f>
        <v>1.0532856406400521</v>
      </c>
    </row>
    <row r="45" spans="1:42" x14ac:dyDescent="0.3">
      <c r="G45" s="1" t="s">
        <v>12</v>
      </c>
      <c r="I45" s="1">
        <f>STDEV(I14:I37)</f>
        <v>5.3322575907857974</v>
      </c>
      <c r="J45" s="1">
        <f>STDEV(J14:J37)</f>
        <v>69.041260505395712</v>
      </c>
      <c r="K45" s="1">
        <f>STDEV(K14:K37)</f>
        <v>5.5636957272057463</v>
      </c>
      <c r="L45" s="1">
        <f>STDEV(L14:L37)</f>
        <v>64.807406984078597</v>
      </c>
      <c r="M45" s="1">
        <f>STDEV(M14:M37)</f>
        <v>111.23493864828154</v>
      </c>
      <c r="N45" s="1">
        <f>STDEV(N14:N37)</f>
        <v>9.1217847223960646</v>
      </c>
      <c r="O45" s="1">
        <f>STDEV(O14:O37)</f>
        <v>0.12778988075426137</v>
      </c>
      <c r="P45" s="1">
        <f>STDEV(P14:P37)</f>
        <v>12.138047499554828</v>
      </c>
      <c r="Q45" s="1">
        <f>STDEV(Q14:Q37)</f>
        <v>9.0398001512955055</v>
      </c>
      <c r="R45" s="1">
        <f>STDEV(R14:R37)</f>
        <v>5.2946306182620188E-2</v>
      </c>
      <c r="S45" s="1">
        <f>STDEV(S14:S37)</f>
        <v>0.11554692176598112</v>
      </c>
      <c r="T45" s="1">
        <f>STDEV(T14:T37)</f>
        <v>37.014047166816141</v>
      </c>
      <c r="U45" s="1">
        <f>STDEV(U14:U37)</f>
        <v>25.874970164426173</v>
      </c>
      <c r="V45" s="1">
        <f>STDEV(V14:V37)</f>
        <v>0.20061976318085784</v>
      </c>
      <c r="W45" s="1">
        <f>STDEV(W14:W37)</f>
        <v>1.5209418081227353</v>
      </c>
      <c r="X45" s="1">
        <f>STDEV(X14:X37)</f>
        <v>0.58004247720517577</v>
      </c>
      <c r="Y45" s="1">
        <f>STDEV(Y14:Y37)</f>
        <v>3.7970437585505503</v>
      </c>
      <c r="Z45" s="1">
        <f>STDEV(Z14:Z37)</f>
        <v>0.71358809618329078</v>
      </c>
      <c r="AA45" s="1">
        <f>STDEV(AA14:AA37)</f>
        <v>19.612920911140868</v>
      </c>
      <c r="AB45" s="1">
        <f>STDEV(AB14:AB37)</f>
        <v>4.0160392712934749</v>
      </c>
      <c r="AC45" s="1">
        <f>STDEV(AC14:AC37)</f>
        <v>35.500893028163397</v>
      </c>
      <c r="AD45" s="1">
        <f>STDEV(AD14:AD37)</f>
        <v>0.15569483885962093</v>
      </c>
      <c r="AE45" s="1">
        <f>STDEV(AE14:AE37)</f>
        <v>0.1982484041686825</v>
      </c>
      <c r="AF45" s="1">
        <f>STDEV(AF14:AF37)</f>
        <v>140.09154516115896</v>
      </c>
      <c r="AG45" s="1">
        <f>STDEV(AG14:AG37)</f>
        <v>20.165451253131536</v>
      </c>
      <c r="AH45" s="1">
        <f>STDEV(AH14:AH37)</f>
        <v>49.715372746504102</v>
      </c>
      <c r="AI45" s="1">
        <f>STDEV(AI14:AI37)</f>
        <v>33.929324907653886</v>
      </c>
      <c r="AJ45" s="1">
        <f>STDEV(AJ14:AJ37)</f>
        <v>0.39353698730392167</v>
      </c>
    </row>
    <row r="46" spans="1:42" x14ac:dyDescent="0.3">
      <c r="G46" s="1" t="s">
        <v>13</v>
      </c>
      <c r="I46" s="1">
        <f>I45/SQRT(24)</f>
        <v>1.0884425228756294</v>
      </c>
      <c r="J46" s="1">
        <f t="shared" ref="J46:AJ46" si="8">J45/SQRT(24)</f>
        <v>14.092988286399013</v>
      </c>
      <c r="K46" s="1">
        <f t="shared" si="8"/>
        <v>1.1356846346464227</v>
      </c>
      <c r="L46" s="1">
        <f t="shared" si="8"/>
        <v>13.228756555322953</v>
      </c>
      <c r="M46" s="1">
        <f t="shared" si="8"/>
        <v>22.705736771506814</v>
      </c>
      <c r="N46" s="1">
        <f t="shared" si="8"/>
        <v>1.8619765094487886</v>
      </c>
      <c r="O46" s="1">
        <f t="shared" si="8"/>
        <v>2.6085000178254058E-2</v>
      </c>
      <c r="P46" s="1">
        <f t="shared" si="8"/>
        <v>2.4776685706312129</v>
      </c>
      <c r="Q46" s="1">
        <f t="shared" si="8"/>
        <v>1.8452414789506804</v>
      </c>
      <c r="R46" s="1">
        <f t="shared" si="8"/>
        <v>1.0807619492715477E-2</v>
      </c>
      <c r="S46" s="1">
        <f t="shared" si="8"/>
        <v>2.3585916639661759E-2</v>
      </c>
      <c r="T46" s="1">
        <f t="shared" si="8"/>
        <v>7.5554607395007416</v>
      </c>
      <c r="U46" s="1">
        <f t="shared" si="8"/>
        <v>5.2817061677152237</v>
      </c>
      <c r="V46" s="1">
        <f t="shared" si="8"/>
        <v>4.0951337675925133E-2</v>
      </c>
      <c r="W46" s="1">
        <f t="shared" si="8"/>
        <v>0.31046094653056172</v>
      </c>
      <c r="X46" s="1">
        <f t="shared" si="8"/>
        <v>0.11840067485771863</v>
      </c>
      <c r="Y46" s="1">
        <f t="shared" si="8"/>
        <v>0.77506831162237166</v>
      </c>
      <c r="Z46" s="1">
        <f t="shared" si="8"/>
        <v>0.14566056018109558</v>
      </c>
      <c r="AA46" s="1">
        <f t="shared" si="8"/>
        <v>4.0034707164881054</v>
      </c>
      <c r="AB46" s="1">
        <f t="shared" si="8"/>
        <v>0.81977058347064968</v>
      </c>
      <c r="AC46" s="1">
        <f t="shared" si="8"/>
        <v>7.2465894443440906</v>
      </c>
      <c r="AD46" s="1">
        <f t="shared" si="8"/>
        <v>3.1781075899243443E-2</v>
      </c>
      <c r="AE46" s="1">
        <f t="shared" si="8"/>
        <v>4.0467286044526804E-2</v>
      </c>
      <c r="AF46" s="1">
        <f t="shared" si="8"/>
        <v>28.596066910242108</v>
      </c>
      <c r="AG46" s="1">
        <f t="shared" si="8"/>
        <v>4.1162555002616577</v>
      </c>
      <c r="AH46" s="1">
        <f t="shared" si="8"/>
        <v>10.148107966767014</v>
      </c>
      <c r="AI46" s="1">
        <f t="shared" si="8"/>
        <v>6.9257944450713333</v>
      </c>
      <c r="AJ46" s="1">
        <f t="shared" si="8"/>
        <v>8.0330401150562503E-2</v>
      </c>
    </row>
    <row r="47" spans="1:42" x14ac:dyDescent="0.3">
      <c r="W47" s="1">
        <f>W44+W46</f>
        <v>7.2790859465305608</v>
      </c>
    </row>
    <row r="49" spans="7:36" x14ac:dyDescent="0.3">
      <c r="G49" s="1" t="s">
        <v>146</v>
      </c>
    </row>
    <row r="50" spans="7:36" x14ac:dyDescent="0.3">
      <c r="G50" s="1" t="s">
        <v>14</v>
      </c>
      <c r="I50" s="3">
        <v>1.798</v>
      </c>
      <c r="J50" s="3">
        <v>3.3000000000000002E-2</v>
      </c>
      <c r="K50" s="3">
        <v>3.331</v>
      </c>
      <c r="L50" s="3">
        <v>6.5730000000000004</v>
      </c>
      <c r="M50" s="3">
        <v>1.631</v>
      </c>
      <c r="N50" s="3">
        <v>5.57</v>
      </c>
      <c r="O50" s="3">
        <v>0.77900000000000003</v>
      </c>
      <c r="P50" s="3">
        <v>5.4619999999999997</v>
      </c>
      <c r="Q50" s="3">
        <v>11.458</v>
      </c>
      <c r="R50" s="3">
        <v>0.14599999999999999</v>
      </c>
      <c r="S50" s="3">
        <v>0.83199999999999996</v>
      </c>
      <c r="T50" s="3">
        <v>0.55900000000000005</v>
      </c>
      <c r="U50" s="3">
        <v>8.5999999999999993E-2</v>
      </c>
      <c r="V50" s="3"/>
      <c r="W50" s="3">
        <v>1.8180000000000001</v>
      </c>
      <c r="X50" s="3">
        <v>8.9999999999999993E-3</v>
      </c>
      <c r="Y50" s="3">
        <v>1.423</v>
      </c>
      <c r="Z50" s="3">
        <v>0.13</v>
      </c>
      <c r="AA50" s="3">
        <v>1.3069999999999999</v>
      </c>
      <c r="AB50" s="3"/>
      <c r="AC50" s="3">
        <v>1.9770000000000001</v>
      </c>
      <c r="AD50" s="3">
        <v>3.7149999999999999</v>
      </c>
      <c r="AE50" s="3">
        <v>8.2000000000000003E-2</v>
      </c>
      <c r="AF50" s="3"/>
      <c r="AG50" s="3"/>
      <c r="AH50" s="3">
        <v>0</v>
      </c>
      <c r="AI50" s="3">
        <v>0.41099999999999998</v>
      </c>
      <c r="AJ50" s="3">
        <v>7.2329999999999997</v>
      </c>
    </row>
    <row r="51" spans="7:36" x14ac:dyDescent="0.3">
      <c r="G51" s="1" t="s">
        <v>28</v>
      </c>
      <c r="I51" s="8">
        <v>0.189</v>
      </c>
      <c r="J51" s="1">
        <v>0.85599999999999998</v>
      </c>
      <c r="K51" s="1">
        <v>7.6999999999999999E-2</v>
      </c>
      <c r="L51" s="5" t="s">
        <v>150</v>
      </c>
      <c r="M51" s="1">
        <v>0.21</v>
      </c>
      <c r="N51" s="1">
        <v>2.4E-2</v>
      </c>
      <c r="O51" s="1">
        <v>0.38600000000000001</v>
      </c>
      <c r="P51" s="5" t="s">
        <v>151</v>
      </c>
      <c r="Q51" s="5" t="s">
        <v>152</v>
      </c>
      <c r="R51" s="1">
        <v>0.70499999999999996</v>
      </c>
      <c r="S51" s="1">
        <v>0.36799999999999999</v>
      </c>
      <c r="T51" s="1">
        <v>0.46</v>
      </c>
      <c r="U51" s="1">
        <v>0.77100000000000002</v>
      </c>
      <c r="W51" s="1">
        <v>0.187</v>
      </c>
      <c r="X51" s="1">
        <v>0.92600000000000005</v>
      </c>
      <c r="Y51" s="1">
        <v>0.24099999999999999</v>
      </c>
      <c r="Z51" s="1">
        <v>0.72</v>
      </c>
      <c r="AA51" s="1">
        <v>0.26100000000000001</v>
      </c>
      <c r="AC51" s="1">
        <v>0.16900000000000001</v>
      </c>
      <c r="AD51" s="1">
        <v>6.2E-2</v>
      </c>
      <c r="AE51" s="1">
        <v>0.77600000000000002</v>
      </c>
      <c r="AH51" s="1">
        <v>0.98899999999999999</v>
      </c>
      <c r="AI51" s="1">
        <v>0.52600000000000002</v>
      </c>
      <c r="AJ51" s="4" t="s">
        <v>153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Memb. props BC Sh. ctrl vs 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2025-07-12T12:47:37Z</dcterms:modified>
</cp:coreProperties>
</file>