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8_{E3A0BC70-CB9B-41D5-9217-40652FACA7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mb. props BC Sh. ctrl vs cHet" sheetId="1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5" i="13" l="1"/>
  <c r="AG46" i="13" s="1"/>
  <c r="AF45" i="13"/>
  <c r="AF46" i="13" s="1"/>
  <c r="AB45" i="13"/>
  <c r="AB46" i="13" s="1"/>
  <c r="AA45" i="13"/>
  <c r="AA46" i="13" s="1"/>
  <c r="Z45" i="13"/>
  <c r="Z46" i="13" s="1"/>
  <c r="Y45" i="13"/>
  <c r="Y46" i="13" s="1"/>
  <c r="X45" i="13"/>
  <c r="X46" i="13" s="1"/>
  <c r="U45" i="13"/>
  <c r="U46" i="13" s="1"/>
  <c r="T45" i="13"/>
  <c r="T46" i="13" s="1"/>
  <c r="S45" i="13"/>
  <c r="S46" i="13" s="1"/>
  <c r="R45" i="13"/>
  <c r="R46" i="13" s="1"/>
  <c r="Q45" i="13"/>
  <c r="Q46" i="13" s="1"/>
  <c r="P45" i="13"/>
  <c r="P46" i="13" s="1"/>
  <c r="O45" i="13"/>
  <c r="O46" i="13" s="1"/>
  <c r="N45" i="13"/>
  <c r="N46" i="13" s="1"/>
  <c r="M45" i="13"/>
  <c r="M46" i="13" s="1"/>
  <c r="L45" i="13"/>
  <c r="L46" i="13" s="1"/>
  <c r="K45" i="13"/>
  <c r="K46" i="13" s="1"/>
  <c r="J45" i="13"/>
  <c r="J46" i="13" s="1"/>
  <c r="I45" i="13"/>
  <c r="I46" i="13" s="1"/>
  <c r="AG44" i="13"/>
  <c r="AF44" i="13"/>
  <c r="AB44" i="13"/>
  <c r="AA44" i="13"/>
  <c r="Z44" i="13"/>
  <c r="Y44" i="13"/>
  <c r="X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AG41" i="13"/>
  <c r="AG42" i="13" s="1"/>
  <c r="AF41" i="13"/>
  <c r="AF42" i="13" s="1"/>
  <c r="AB41" i="13"/>
  <c r="AB42" i="13" s="1"/>
  <c r="Z41" i="13"/>
  <c r="Z42" i="13" s="1"/>
  <c r="Y41" i="13"/>
  <c r="Y42" i="13" s="1"/>
  <c r="X41" i="13"/>
  <c r="X42" i="13" s="1"/>
  <c r="U41" i="13"/>
  <c r="U42" i="13" s="1"/>
  <c r="T41" i="13"/>
  <c r="T42" i="13" s="1"/>
  <c r="S41" i="13"/>
  <c r="S42" i="13" s="1"/>
  <c r="R41" i="13"/>
  <c r="R42" i="13" s="1"/>
  <c r="Q41" i="13"/>
  <c r="Q42" i="13" s="1"/>
  <c r="P41" i="13"/>
  <c r="P42" i="13" s="1"/>
  <c r="O41" i="13"/>
  <c r="O42" i="13" s="1"/>
  <c r="N41" i="13"/>
  <c r="N42" i="13" s="1"/>
  <c r="M41" i="13"/>
  <c r="M42" i="13" s="1"/>
  <c r="L41" i="13"/>
  <c r="L42" i="13" s="1"/>
  <c r="K41" i="13"/>
  <c r="K42" i="13" s="1"/>
  <c r="J41" i="13"/>
  <c r="J42" i="13" s="1"/>
  <c r="I41" i="13"/>
  <c r="I42" i="13" s="1"/>
  <c r="AG40" i="13"/>
  <c r="AF40" i="13"/>
  <c r="AB40" i="13"/>
  <c r="Z40" i="13"/>
  <c r="Y40" i="13"/>
  <c r="X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AI38" i="13"/>
  <c r="AH38" i="13"/>
  <c r="AE38" i="13"/>
  <c r="AD38" i="13"/>
  <c r="W38" i="13"/>
  <c r="V38" i="13"/>
  <c r="AI37" i="13"/>
  <c r="AH37" i="13"/>
  <c r="AE37" i="13"/>
  <c r="AD37" i="13"/>
  <c r="W37" i="13"/>
  <c r="V37" i="13"/>
  <c r="AI36" i="13"/>
  <c r="AH36" i="13"/>
  <c r="AE36" i="13"/>
  <c r="AD36" i="13"/>
  <c r="W36" i="13"/>
  <c r="V36" i="13"/>
  <c r="AI35" i="13"/>
  <c r="AH35" i="13"/>
  <c r="AE35" i="13"/>
  <c r="AD35" i="13"/>
  <c r="W35" i="13"/>
  <c r="V35" i="13"/>
  <c r="AI34" i="13"/>
  <c r="AH34" i="13"/>
  <c r="AE34" i="13"/>
  <c r="AD34" i="13"/>
  <c r="W34" i="13"/>
  <c r="V34" i="13"/>
  <c r="W33" i="13"/>
  <c r="W32" i="13"/>
  <c r="W31" i="13"/>
  <c r="W30" i="13"/>
  <c r="W29" i="13"/>
  <c r="W28" i="13"/>
  <c r="AI27" i="13"/>
  <c r="AH27" i="13"/>
  <c r="AE27" i="13"/>
  <c r="AD27" i="13"/>
  <c r="AC27" i="13"/>
  <c r="W27" i="13"/>
  <c r="V27" i="13"/>
  <c r="AI26" i="13"/>
  <c r="AH26" i="13"/>
  <c r="AE26" i="13"/>
  <c r="AD26" i="13"/>
  <c r="AC26" i="13"/>
  <c r="W26" i="13"/>
  <c r="V26" i="13"/>
  <c r="AI25" i="13"/>
  <c r="AH25" i="13"/>
  <c r="AE25" i="13"/>
  <c r="AD25" i="13"/>
  <c r="AC25" i="13"/>
  <c r="W25" i="13"/>
  <c r="V25" i="13"/>
  <c r="AI24" i="13"/>
  <c r="AH24" i="13"/>
  <c r="AE24" i="13"/>
  <c r="AD24" i="13"/>
  <c r="AC24" i="13"/>
  <c r="W24" i="13"/>
  <c r="V24" i="13"/>
  <c r="AI23" i="13"/>
  <c r="AH23" i="13"/>
  <c r="AE23" i="13"/>
  <c r="AD23" i="13"/>
  <c r="AC23" i="13"/>
  <c r="W23" i="13"/>
  <c r="V23" i="13"/>
  <c r="AI22" i="13"/>
  <c r="AH22" i="13"/>
  <c r="AE22" i="13"/>
  <c r="AD22" i="13"/>
  <c r="W22" i="13"/>
  <c r="V22" i="13"/>
  <c r="AE21" i="13"/>
  <c r="AD21" i="13"/>
  <c r="W21" i="13"/>
  <c r="V21" i="13"/>
  <c r="AI20" i="13"/>
  <c r="AH20" i="13"/>
  <c r="AE20" i="13"/>
  <c r="AD20" i="13"/>
  <c r="W20" i="13"/>
  <c r="V20" i="13"/>
  <c r="AI19" i="13"/>
  <c r="AH19" i="13"/>
  <c r="AE19" i="13"/>
  <c r="AD19" i="13"/>
  <c r="W19" i="13"/>
  <c r="V19" i="13"/>
  <c r="AI18" i="13"/>
  <c r="AH18" i="13"/>
  <c r="AE18" i="13"/>
  <c r="AD18" i="13"/>
  <c r="W18" i="13"/>
  <c r="V18" i="13"/>
  <c r="W17" i="13"/>
  <c r="W16" i="13"/>
  <c r="W15" i="13"/>
  <c r="AI14" i="13"/>
  <c r="AH14" i="13"/>
  <c r="AE14" i="13"/>
  <c r="AD14" i="13"/>
  <c r="W14" i="13"/>
  <c r="V14" i="13"/>
  <c r="AI13" i="13"/>
  <c r="AH13" i="13"/>
  <c r="AE13" i="13"/>
  <c r="AD13" i="13"/>
  <c r="W13" i="13"/>
  <c r="V13" i="13"/>
  <c r="AI12" i="13"/>
  <c r="AH12" i="13"/>
  <c r="AE12" i="13"/>
  <c r="AD12" i="13"/>
  <c r="W12" i="13"/>
  <c r="V12" i="13"/>
  <c r="AI11" i="13"/>
  <c r="AH11" i="13"/>
  <c r="AE11" i="13"/>
  <c r="AD11" i="13"/>
  <c r="W11" i="13"/>
  <c r="V11" i="13"/>
  <c r="AI10" i="13"/>
  <c r="AH10" i="13"/>
  <c r="AE10" i="13"/>
  <c r="AD10" i="13"/>
  <c r="W10" i="13"/>
  <c r="V10" i="13"/>
  <c r="AI9" i="13"/>
  <c r="AH9" i="13"/>
  <c r="AE9" i="13"/>
  <c r="AD9" i="13"/>
  <c r="W9" i="13"/>
  <c r="V9" i="13"/>
  <c r="AE8" i="13"/>
  <c r="AD8" i="13"/>
  <c r="W8" i="13"/>
  <c r="V8" i="13"/>
  <c r="AI7" i="13"/>
  <c r="AH7" i="13"/>
  <c r="AE7" i="13"/>
  <c r="AD7" i="13"/>
  <c r="W7" i="13"/>
  <c r="V7" i="13"/>
  <c r="AI6" i="13"/>
  <c r="AH6" i="13"/>
  <c r="AE6" i="13"/>
  <c r="AD6" i="13"/>
  <c r="AC6" i="13"/>
  <c r="W6" i="13"/>
  <c r="V6" i="13"/>
  <c r="AI5" i="13"/>
  <c r="AH5" i="13"/>
  <c r="AE5" i="13"/>
  <c r="AD5" i="13"/>
  <c r="AC5" i="13"/>
  <c r="W5" i="13"/>
  <c r="V5" i="13"/>
  <c r="AI4" i="13"/>
  <c r="AH4" i="13"/>
  <c r="AE4" i="13"/>
  <c r="AD4" i="13"/>
  <c r="AC4" i="13"/>
  <c r="W4" i="13"/>
  <c r="V4" i="13"/>
  <c r="AI3" i="13"/>
  <c r="AH3" i="13"/>
  <c r="AE3" i="13"/>
  <c r="AD3" i="13"/>
  <c r="AC3" i="13"/>
  <c r="W3" i="13"/>
  <c r="V3" i="13"/>
  <c r="AC2" i="13"/>
  <c r="AA2" i="13"/>
  <c r="AA41" i="13" s="1"/>
  <c r="AA42" i="13" s="1"/>
  <c r="W2" i="13"/>
  <c r="V2" i="13"/>
  <c r="AJ36" i="13" l="1"/>
  <c r="AJ34" i="13"/>
  <c r="AJ4" i="13"/>
  <c r="AJ37" i="13"/>
  <c r="AJ24" i="13"/>
  <c r="AJ26" i="13"/>
  <c r="AJ27" i="13"/>
  <c r="AJ3" i="13"/>
  <c r="AJ5" i="13"/>
  <c r="AJ11" i="13"/>
  <c r="AJ20" i="13"/>
  <c r="AJ10" i="13"/>
  <c r="AJ19" i="13"/>
  <c r="AJ25" i="13"/>
  <c r="AI45" i="13"/>
  <c r="AI46" i="13" s="1"/>
  <c r="AJ35" i="13"/>
  <c r="AJ13" i="13"/>
  <c r="AC41" i="13"/>
  <c r="AC42" i="13" s="1"/>
  <c r="AJ9" i="13"/>
  <c r="AJ18" i="13"/>
  <c r="AE45" i="13"/>
  <c r="AE46" i="13" s="1"/>
  <c r="AI41" i="13"/>
  <c r="AI42" i="13" s="1"/>
  <c r="AJ6" i="13"/>
  <c r="AJ7" i="13"/>
  <c r="AJ12" i="13"/>
  <c r="AJ22" i="13"/>
  <c r="AH45" i="13"/>
  <c r="AH46" i="13" s="1"/>
  <c r="AJ38" i="13"/>
  <c r="V45" i="13"/>
  <c r="V46" i="13" s="1"/>
  <c r="V41" i="13"/>
  <c r="V42" i="13" s="1"/>
  <c r="W45" i="13"/>
  <c r="W46" i="13" s="1"/>
  <c r="AD41" i="13"/>
  <c r="AD42" i="13" s="1"/>
  <c r="AC44" i="13"/>
  <c r="W41" i="13"/>
  <c r="W42" i="13" s="1"/>
  <c r="AE41" i="13"/>
  <c r="AE42" i="13" s="1"/>
  <c r="AJ14" i="13"/>
  <c r="AD45" i="13"/>
  <c r="AD46" i="13" s="1"/>
  <c r="AD44" i="13"/>
  <c r="AC45" i="13"/>
  <c r="AC46" i="13" s="1"/>
  <c r="W44" i="13"/>
  <c r="AH40" i="13"/>
  <c r="AE44" i="13"/>
  <c r="V40" i="13"/>
  <c r="AA40" i="13"/>
  <c r="AI40" i="13"/>
  <c r="AH41" i="13"/>
  <c r="AH42" i="13" s="1"/>
  <c r="AJ23" i="13"/>
  <c r="AC40" i="13"/>
  <c r="AH44" i="13"/>
  <c r="W40" i="13"/>
  <c r="AD40" i="13"/>
  <c r="V44" i="13"/>
  <c r="AI44" i="13"/>
  <c r="AE40" i="13"/>
  <c r="AJ41" i="13" l="1"/>
  <c r="AJ42" i="13" s="1"/>
  <c r="AJ40" i="13"/>
  <c r="AJ45" i="13"/>
  <c r="AJ46" i="13" s="1"/>
  <c r="AJ44" i="13"/>
</calcChain>
</file>

<file path=xl/sharedStrings.xml><?xml version="1.0" encoding="utf-8"?>
<sst xmlns="http://schemas.openxmlformats.org/spreadsheetml/2006/main" count="391" uniqueCount="159">
  <si>
    <t>Cell</t>
  </si>
  <si>
    <t>Genotype</t>
  </si>
  <si>
    <t>Sex</t>
  </si>
  <si>
    <t>DOB</t>
  </si>
  <si>
    <t>Age</t>
  </si>
  <si>
    <t>Anatomy</t>
  </si>
  <si>
    <t>Layer</t>
  </si>
  <si>
    <t>BC</t>
  </si>
  <si>
    <t>Animal 12</t>
  </si>
  <si>
    <t>Animal 13</t>
  </si>
  <si>
    <t>Animal 14</t>
  </si>
  <si>
    <t>Animal 15</t>
  </si>
  <si>
    <t>cHet</t>
  </si>
  <si>
    <t>SD</t>
  </si>
  <si>
    <t>SE</t>
  </si>
  <si>
    <t>F value</t>
  </si>
  <si>
    <t>control</t>
  </si>
  <si>
    <t>ID</t>
  </si>
  <si>
    <t>Cm</t>
  </si>
  <si>
    <t>30.05.22</t>
  </si>
  <si>
    <t>06.06.22</t>
  </si>
  <si>
    <t>020822RF3</t>
  </si>
  <si>
    <t>190822RF4a</t>
  </si>
  <si>
    <t>220822RF1</t>
  </si>
  <si>
    <t>220822RF2</t>
  </si>
  <si>
    <t>220922RF2</t>
  </si>
  <si>
    <t>01.07.22</t>
  </si>
  <si>
    <t>N571</t>
  </si>
  <si>
    <t>p Value</t>
  </si>
  <si>
    <t>M</t>
  </si>
  <si>
    <t>230822RF1</t>
  </si>
  <si>
    <t>230822RF3</t>
  </si>
  <si>
    <t>230822RF4b</t>
  </si>
  <si>
    <t>250822RF2</t>
  </si>
  <si>
    <t>03.05.22</t>
  </si>
  <si>
    <t>20.05.22</t>
  </si>
  <si>
    <t>AVG control</t>
  </si>
  <si>
    <t>AVG cHet</t>
  </si>
  <si>
    <t>Subject ID</t>
  </si>
  <si>
    <t>Mouse Line</t>
  </si>
  <si>
    <t>Vm</t>
  </si>
  <si>
    <t>Rm</t>
  </si>
  <si>
    <t>Rheobase, pA</t>
  </si>
  <si>
    <t>Latency ms</t>
  </si>
  <si>
    <t>AP ampl, mV</t>
  </si>
  <si>
    <t>AP dur, ms</t>
  </si>
  <si>
    <t>Area AP</t>
  </si>
  <si>
    <t>AP thresh, mV</t>
  </si>
  <si>
    <t>Rise time (10-90%)</t>
  </si>
  <si>
    <t>Decay time (10-90%)</t>
  </si>
  <si>
    <t>Max, rise slop (mv/ms)</t>
  </si>
  <si>
    <t>Max, decay slope (mv/ms)</t>
  </si>
  <si>
    <t>Ratio max ris/max decay</t>
  </si>
  <si>
    <t>fAHP time (ms)</t>
  </si>
  <si>
    <t>AHP amplit,,  mV</t>
  </si>
  <si>
    <t>Sag Ih</t>
  </si>
  <si>
    <t>Firing frequ, At rheobase</t>
  </si>
  <si>
    <t>File #</t>
  </si>
  <si>
    <t>Firing freq, (n spikes in 500 ms) Hz at 2x rheobase</t>
  </si>
  <si>
    <t>spike amplit, AP index At 2x rheobase</t>
  </si>
  <si>
    <t xml:space="preserve">spike freq, AP index at 2x rheobase </t>
  </si>
  <si>
    <t>Current for depol, Block (pA)</t>
  </si>
  <si>
    <t>Mv depolariz, Block</t>
  </si>
  <si>
    <t>Adaptation ratio (dimensionless)</t>
  </si>
  <si>
    <t>Firing</t>
  </si>
  <si>
    <t>Injected current</t>
  </si>
  <si>
    <t>animal 1</t>
  </si>
  <si>
    <t>Nkx2.1cre RCE Syngap1 flox</t>
  </si>
  <si>
    <t>fast spiking</t>
  </si>
  <si>
    <t>0 pA</t>
  </si>
  <si>
    <t>60 pA</t>
  </si>
  <si>
    <t>not present</t>
  </si>
  <si>
    <t>animal 4</t>
  </si>
  <si>
    <t>50 pA</t>
  </si>
  <si>
    <t>animal 6</t>
  </si>
  <si>
    <t>N568</t>
  </si>
  <si>
    <t>10 pA</t>
  </si>
  <si>
    <t>animal 7</t>
  </si>
  <si>
    <t>animal 8</t>
  </si>
  <si>
    <t>N569</t>
  </si>
  <si>
    <t>fast spiking with depol. Block</t>
  </si>
  <si>
    <t>30 pA</t>
  </si>
  <si>
    <t>30.03.23</t>
  </si>
  <si>
    <t>Nkx2,1cre RCE Syngap1 flox</t>
  </si>
  <si>
    <t>regular no dep. Block</t>
  </si>
  <si>
    <t>80 pA</t>
  </si>
  <si>
    <t>20 pA</t>
  </si>
  <si>
    <t>40 pA</t>
  </si>
  <si>
    <t>not present at 600</t>
  </si>
  <si>
    <t>animal 21</t>
  </si>
  <si>
    <t>animal 23</t>
  </si>
  <si>
    <t>50 Pa</t>
  </si>
  <si>
    <t>0 Pa</t>
  </si>
  <si>
    <t>animal 24</t>
  </si>
  <si>
    <t>08.11.22</t>
  </si>
  <si>
    <t>regular with dep. Block</t>
  </si>
  <si>
    <t>Animal 28</t>
  </si>
  <si>
    <t>03.03.23</t>
  </si>
  <si>
    <t>27.03.23</t>
  </si>
  <si>
    <t>Animal 30</t>
  </si>
  <si>
    <t>Animal 32</t>
  </si>
  <si>
    <t>100 pA</t>
  </si>
  <si>
    <t xml:space="preserve">LMM Statistic </t>
  </si>
  <si>
    <t>20 Pa</t>
  </si>
  <si>
    <t>Fss</t>
  </si>
  <si>
    <t>140722RF3</t>
  </si>
  <si>
    <t>animal 2</t>
  </si>
  <si>
    <t>190822RF5</t>
  </si>
  <si>
    <t xml:space="preserve"> animal 5</t>
  </si>
  <si>
    <t>animal 5</t>
  </si>
  <si>
    <t>210922RF1a</t>
  </si>
  <si>
    <t>210922RF2d</t>
  </si>
  <si>
    <t>260922RF2c</t>
  </si>
  <si>
    <t>260922RF3a</t>
  </si>
  <si>
    <t>260922RF3c</t>
  </si>
  <si>
    <t>animal 11</t>
  </si>
  <si>
    <t>300922RF2c</t>
  </si>
  <si>
    <t>19.07.22</t>
  </si>
  <si>
    <t>150223RF1a</t>
  </si>
  <si>
    <t>20.11.22</t>
  </si>
  <si>
    <t>200323RF2a</t>
  </si>
  <si>
    <t>13.01.23</t>
  </si>
  <si>
    <t>200323RF2d</t>
  </si>
  <si>
    <t>230523RF1b</t>
  </si>
  <si>
    <t>18.03.23</t>
  </si>
  <si>
    <t>230523RF2</t>
  </si>
  <si>
    <t>80 Pa</t>
  </si>
  <si>
    <t>070623RF1c</t>
  </si>
  <si>
    <t>070623RF4a</t>
  </si>
  <si>
    <t>070623RF4b</t>
  </si>
  <si>
    <t>animal 22</t>
  </si>
  <si>
    <t>40 pa</t>
  </si>
  <si>
    <t>270722RF4B</t>
  </si>
  <si>
    <t>10 Pa</t>
  </si>
  <si>
    <t>090223RF2b</t>
  </si>
  <si>
    <t>70 pa</t>
  </si>
  <si>
    <t>Animal 25</t>
  </si>
  <si>
    <t>280223RF2</t>
  </si>
  <si>
    <t>22.12.22</t>
  </si>
  <si>
    <t>Animal 26</t>
  </si>
  <si>
    <t>220323RF1</t>
  </si>
  <si>
    <t>Animal 27</t>
  </si>
  <si>
    <t>230323RF1</t>
  </si>
  <si>
    <t>15.01.23</t>
  </si>
  <si>
    <t>230323RF2C</t>
  </si>
  <si>
    <t>170523RF5</t>
  </si>
  <si>
    <t>050623RF1b</t>
  </si>
  <si>
    <t>40 Pa</t>
  </si>
  <si>
    <t>Animal 31</t>
  </si>
  <si>
    <t>060623RF2a</t>
  </si>
  <si>
    <t>060623RF2c</t>
  </si>
  <si>
    <t>080623RF2a</t>
  </si>
  <si>
    <t>080623RF4</t>
  </si>
  <si>
    <t>70 pA</t>
  </si>
  <si>
    <t>Tau (Cm x Rm)/1000</t>
  </si>
  <si>
    <t xml:space="preserve">Fmax </t>
  </si>
  <si>
    <t>*0.023</t>
  </si>
  <si>
    <t>*0.035</t>
  </si>
  <si>
    <t>*0.01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</si>
</sst>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.##0"/>
    <numFmt numFmtId="166" formatCode="0.000"/>
    <numFmt numFmtId="168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166" fontId="0" fillId="0" borderId="0" xfId="0" applyNumberFormat="1" applyFont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168" fontId="0" fillId="0" borderId="0" xfId="0" applyNumberFormat="1" applyFont="1" applyFill="1"/>
    <xf numFmtId="168" fontId="0" fillId="2" borderId="0" xfId="0" applyNumberFormat="1" applyFont="1" applyFill="1"/>
    <xf numFmtId="2" fontId="0" fillId="0" borderId="0" xfId="0" applyNumberFormat="1" applyFont="1"/>
    <xf numFmtId="164" fontId="0" fillId="2" borderId="0" xfId="0" applyNumberFormat="1" applyFont="1" applyFill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F0066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w%20data/Database/MembSynPropsL4BC%20and%20MC%20011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Prop germline  P64-77"/>
      <sheetName val="Memb props BC germline P64-90"/>
      <sheetName val="Memb props BC germ short AP"/>
      <sheetName val="PCA germline adult BC"/>
      <sheetName val="Memb props BC germline P20 30"/>
      <sheetName val="PCA analysis BC germ p20 30"/>
      <sheetName val="Germline p20 30 sst "/>
      <sheetName val="Firing analysis p20 30 bc germl"/>
      <sheetName val="Firing analysis p20 30  SST Ger"/>
      <sheetName val="Foglio1"/>
      <sheetName val="PCA analysis germline"/>
      <sheetName val="Memb prop BC Germ P64 90 short"/>
      <sheetName val="Memb prop BC germ P64 90 broad"/>
      <sheetName val="firing analysis freq. germl"/>
      <sheetName val="fir analys freq. AP BC short"/>
      <sheetName val="fir analy freq. AP bc broad"/>
      <sheetName val="Memb props SST total 64-90 germ"/>
      <sheetName val="PCA germline ctrl P64 90"/>
      <sheetName val="Memb props SST GERML P64 90 "/>
      <sheetName val="Firing analysis SST P64 90 GERM"/>
      <sheetName val="Firing Analysis P64-77"/>
      <sheetName val="Memb props Cond P64 77 BC"/>
      <sheetName val="Finale tot cond p64 90 BC"/>
      <sheetName val="Memb props cutoff 0.73 ms ctrl"/>
      <sheetName val="Marker PV PCA het"/>
      <sheetName val="Finale Memb tot PCA new data"/>
      <sheetName val="Finale Memb tot SST BC new data"/>
      <sheetName val="Finale broad AP BC adult condit"/>
      <sheetName val="Finale Short AP BC 0.75 max"/>
      <sheetName val="Firing Finale short AP BC 0.73 "/>
      <sheetName val="Firing finale broad  BC"/>
      <sheetName val="Finale Broad spike BC"/>
      <sheetName val="Memb props 0.8 ms analysis"/>
      <sheetName val="PCA analysis 150323"/>
      <sheetName val="PCA analysis 150323 hET"/>
      <sheetName val="Cluster analysis 150323"/>
      <sheetName val="cluster analysis"/>
      <sheetName val="last PCA analysis 0.8 ms cutoff"/>
      <sheetName val="alpha dend experiments"/>
      <sheetName val="Delta for rheob and AP"/>
      <sheetName val="Fir analys al dend. BC P60 90 "/>
      <sheetName val="Delta for firing number"/>
      <sheetName val="0.7 ms cutoff Memb prop cond BC"/>
      <sheetName val="Memb props Con p64 77 SST tot"/>
      <sheetName val="Foglio12"/>
      <sheetName val="PCA analysis total bc ctrl het"/>
      <sheetName val="Foglio2"/>
      <sheetName val="PCA analysis CTRL pv and sst"/>
      <sheetName val="PCA analysis het pv and sst"/>
      <sheetName val="BC broad AP width"/>
      <sheetName val="Foglio3"/>
      <sheetName val="BC short AP width"/>
      <sheetName val="V C relationship AP short BC"/>
      <sheetName val="delay latency AP cur relation"/>
      <sheetName val="Tau membr potential relationshi"/>
      <sheetName val="AP threshold analysis BC"/>
      <sheetName val="AP threshold analysis Delta BC"/>
      <sheetName val="Firing Analysis BC AP number"/>
      <sheetName val="Firing Analysis BC ap freq"/>
      <sheetName val="table precise firing an. frequ"/>
      <sheetName val="table precise firing spik overs"/>
      <sheetName val="Finale tot bc firi spik overs "/>
      <sheetName val="short width bc fir spik overs"/>
      <sheetName val="broad width bc fir spik overs"/>
      <sheetName val="table mean instant freq. avg BC"/>
      <sheetName val="table inst. freq. 1st spike int"/>
      <sheetName val="same as previous sheet"/>
      <sheetName val="Firing Analysis BC Firing frequ"/>
      <sheetName val="Firing analysis BC AP width"/>
      <sheetName val="Instantenous frequency BC 40 AP"/>
      <sheetName val="mAHP voltage curr BC"/>
      <sheetName val="IV relationship steady state"/>
      <sheetName val="IV relat steady state BC"/>
      <sheetName val="IV relat stead stat BC"/>
      <sheetName val="Input resistance BC monitoring"/>
      <sheetName val="Sag ratio Current relationship"/>
      <sheetName val="Input resist current relationsh"/>
      <sheetName val="Memb prop Cond adult MC and sst"/>
      <sheetName val="Memb prop cond adult MC"/>
      <sheetName val="Memb prop cond adult sst"/>
      <sheetName val="Firing analysis sst mc AP freq"/>
      <sheetName val="sst total  firing analysis freq"/>
      <sheetName val="Firing analysis MC fir frequenc"/>
      <sheetName val="AP width firing analysis MC"/>
      <sheetName val="mAHP MC current volt relationsh"/>
      <sheetName val="Input resistance 300922RF2c"/>
      <sheetName val="Input resitance 260922RF3a"/>
      <sheetName val="Input resistance 260922RF2b"/>
      <sheetName val="Input resistance 260922RF2a"/>
      <sheetName val="Input resistance 260922RF1d"/>
      <sheetName val="Input resistance 260922RF1b"/>
      <sheetName val="Input resistance 260922RF1a"/>
      <sheetName val="Input resistance 180822RF4"/>
      <sheetName val="Input resistance 280922RF2"/>
      <sheetName val="Input resistance 280922RF1"/>
      <sheetName val="Input resistance 270922RF2"/>
      <sheetName val="Input resistance 270922RF1"/>
      <sheetName val="Input resistance 260922RF4"/>
      <sheetName val="Input resistance 260922RF3c"/>
      <sheetName val="Input resistance 260922RF2c"/>
      <sheetName val="Input resistance 220922RF3"/>
      <sheetName val="Input resistance 220922RF2"/>
      <sheetName val="Input resistance 220922RF1"/>
      <sheetName val="Input resistance 210922RF1d"/>
      <sheetName val="Input resistance 210922RF1c"/>
      <sheetName val="Input resistance 210922RF1a"/>
      <sheetName val="Input resistance 300822RF3"/>
      <sheetName val="Input resistance 300822RF2"/>
      <sheetName val="Input resistance 300822RF1"/>
      <sheetName val="Input resistance 250822RF4d"/>
      <sheetName val="Input resistance 250822RF3"/>
      <sheetName val="Input resistance 250822RF2"/>
      <sheetName val="Input resistance 250822RF1c"/>
      <sheetName val="Input resistance 230822RF4a"/>
      <sheetName val="Input resistance 230822RF2b"/>
      <sheetName val="Input resistance 220822RF4c"/>
      <sheetName val="Input resistance 220822RF3"/>
      <sheetName val="Input resistance 190822RF2b"/>
      <sheetName val="Input resistance 190822RF1"/>
      <sheetName val="Input resistance 290822RF6"/>
      <sheetName val="Input resistance 290822RF5"/>
      <sheetName val="Input resistance 140721RF1a"/>
      <sheetName val="Input resistance 140722RF1b"/>
      <sheetName val="Input resistance 140722RF4 "/>
      <sheetName val="Input resistance 150722RF4"/>
      <sheetName val="Input resistance 150722RF5b"/>
      <sheetName val="Input resistance 150722RF6"/>
      <sheetName val="Input resistance 190722RF2"/>
      <sheetName val="Input resistance 190722RF3"/>
      <sheetName val="Input resistance 140722RF2"/>
      <sheetName val="Input resistance 140722RF5"/>
      <sheetName val="Input resistance 150722RF1"/>
      <sheetName val="Input resistance 150722RF2"/>
      <sheetName val="Input resistance 150722RF3"/>
      <sheetName val="Input resistance 150722RF5a"/>
      <sheetName val="Input resistance 190722RF4"/>
      <sheetName val="Input resistance 250722RF2"/>
      <sheetName val="Input resistance 250722RF3b "/>
      <sheetName val="Input resistance 250722RF4 "/>
      <sheetName val="Input resistance 270722RF1"/>
      <sheetName val="Input resistance 270722RF3"/>
      <sheetName val="Input resistance 270722RF4b"/>
      <sheetName val="Input resistance 270722RF6"/>
      <sheetName val="Input resistance 250722RF1"/>
      <sheetName val="Input resistance 270722RF2"/>
      <sheetName val="Input resistance 270722RF5"/>
      <sheetName val="Input resistance 020822RF3"/>
      <sheetName val="Input resistance 020822RF1"/>
      <sheetName val="Input resistance 020822RF2 "/>
      <sheetName val="Input resistance 030822RF1"/>
      <sheetName val="Input resistance 030822RF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7">
          <cell r="P87">
            <v>0.52</v>
          </cell>
          <cell r="Q87">
            <v>185.18518518518516</v>
          </cell>
          <cell r="R87">
            <v>128.2051282051282</v>
          </cell>
          <cell r="U87">
            <v>120</v>
          </cell>
          <cell r="V87">
            <v>-50</v>
          </cell>
        </row>
        <row r="88">
          <cell r="P88">
            <v>0.52</v>
          </cell>
          <cell r="Q88">
            <v>181.81818181818184</v>
          </cell>
          <cell r="R88">
            <v>104.98687664041994</v>
          </cell>
          <cell r="U88">
            <v>120</v>
          </cell>
          <cell r="V88">
            <v>-42.5</v>
          </cell>
        </row>
        <row r="89">
          <cell r="P89">
            <v>0.92</v>
          </cell>
          <cell r="Q89">
            <v>103.09278350515464</v>
          </cell>
          <cell r="R89">
            <v>75.329566854990588</v>
          </cell>
          <cell r="U89">
            <v>160</v>
          </cell>
          <cell r="V89">
            <v>-36</v>
          </cell>
        </row>
        <row r="90">
          <cell r="P90">
            <v>0.44</v>
          </cell>
          <cell r="Q90">
            <v>277.77777777777777</v>
          </cell>
          <cell r="R90">
            <v>201.00502512562812</v>
          </cell>
          <cell r="U90">
            <v>140</v>
          </cell>
          <cell r="V90">
            <v>-44</v>
          </cell>
        </row>
        <row r="91">
          <cell r="P91">
            <v>0.65</v>
          </cell>
          <cell r="Q91">
            <v>178.57142857142858</v>
          </cell>
          <cell r="R91">
            <v>101.78117048346056</v>
          </cell>
          <cell r="U91">
            <v>120</v>
          </cell>
          <cell r="V91">
            <v>-40.299999999999997</v>
          </cell>
        </row>
        <row r="92">
          <cell r="P92">
            <v>0.84</v>
          </cell>
          <cell r="Q92">
            <v>169.49152542372883</v>
          </cell>
          <cell r="R92">
            <v>113.31444759206799</v>
          </cell>
          <cell r="U92">
            <v>160</v>
          </cell>
          <cell r="V92">
            <v>-40.9</v>
          </cell>
        </row>
        <row r="93">
          <cell r="P93">
            <v>0.7</v>
          </cell>
          <cell r="Q93">
            <v>175.43859649122805</v>
          </cell>
          <cell r="R93">
            <v>109.2896174863388</v>
          </cell>
          <cell r="U93">
            <v>160</v>
          </cell>
          <cell r="V93">
            <v>-39</v>
          </cell>
        </row>
        <row r="94">
          <cell r="P94">
            <v>0.8</v>
          </cell>
          <cell r="Q94">
            <v>196.07843137254901</v>
          </cell>
          <cell r="R94">
            <v>84.745762711864415</v>
          </cell>
          <cell r="U94">
            <v>120</v>
          </cell>
          <cell r="V94">
            <v>-41.5</v>
          </cell>
        </row>
        <row r="95">
          <cell r="P95">
            <v>1.02</v>
          </cell>
          <cell r="Q95">
            <v>138.88888888888889</v>
          </cell>
          <cell r="R95">
            <v>75.329566854990588</v>
          </cell>
          <cell r="U95">
            <v>200</v>
          </cell>
          <cell r="V95">
            <v>-36.799999999999997</v>
          </cell>
        </row>
        <row r="96">
          <cell r="P96">
            <v>0.97</v>
          </cell>
          <cell r="Q96">
            <v>119.04761904761905</v>
          </cell>
          <cell r="R96">
            <v>64.516129032258064</v>
          </cell>
          <cell r="U96">
            <v>80</v>
          </cell>
          <cell r="V96">
            <v>-33.700000000000003</v>
          </cell>
        </row>
        <row r="97">
          <cell r="P97">
            <v>0.68</v>
          </cell>
          <cell r="Q97">
            <v>163.93442622950818</v>
          </cell>
          <cell r="R97">
            <v>99.50248756218906</v>
          </cell>
          <cell r="U97">
            <v>120</v>
          </cell>
          <cell r="V97">
            <v>-45.2</v>
          </cell>
        </row>
        <row r="98">
          <cell r="P98">
            <v>0.84</v>
          </cell>
          <cell r="Q98">
            <v>153.84615384615384</v>
          </cell>
          <cell r="R98">
            <v>111.11111111111111</v>
          </cell>
          <cell r="U98">
            <v>80</v>
          </cell>
          <cell r="V98">
            <v>-43.9</v>
          </cell>
        </row>
        <row r="99">
          <cell r="P99">
            <v>0.84</v>
          </cell>
          <cell r="Q99">
            <v>136.98630136986301</v>
          </cell>
          <cell r="R99">
            <v>92.165898617511516</v>
          </cell>
          <cell r="U99">
            <v>120</v>
          </cell>
          <cell r="V99">
            <v>-46.1</v>
          </cell>
        </row>
        <row r="100">
          <cell r="P100">
            <v>0.59</v>
          </cell>
          <cell r="Q100">
            <v>185.18518518518516</v>
          </cell>
          <cell r="R100">
            <v>151.51515151515153</v>
          </cell>
          <cell r="U100">
            <v>160</v>
          </cell>
          <cell r="V100">
            <v>-36.6</v>
          </cell>
        </row>
        <row r="101">
          <cell r="P101">
            <v>0.89</v>
          </cell>
          <cell r="Q101">
            <v>142.85714285714286</v>
          </cell>
          <cell r="R101">
            <v>83.682008368200826</v>
          </cell>
          <cell r="U101">
            <v>120</v>
          </cell>
          <cell r="V101">
            <v>-41.8</v>
          </cell>
        </row>
        <row r="102">
          <cell r="P102">
            <v>0.94</v>
          </cell>
          <cell r="Q102">
            <v>123.4567901234568</v>
          </cell>
          <cell r="R102">
            <v>59.523809523809526</v>
          </cell>
          <cell r="U102">
            <v>120</v>
          </cell>
          <cell r="V102">
            <v>-42.6</v>
          </cell>
        </row>
        <row r="103">
          <cell r="P103">
            <v>0.88</v>
          </cell>
          <cell r="Q103">
            <v>147.05882352941177</v>
          </cell>
          <cell r="R103">
            <v>87.527352297592998</v>
          </cell>
          <cell r="U103">
            <v>160</v>
          </cell>
          <cell r="V103">
            <v>-41</v>
          </cell>
        </row>
        <row r="104">
          <cell r="P104">
            <v>0.73</v>
          </cell>
          <cell r="Q104">
            <v>188.67924528301887</v>
          </cell>
          <cell r="R104">
            <v>108.40108401084011</v>
          </cell>
          <cell r="U104">
            <v>160</v>
          </cell>
          <cell r="V104">
            <v>-42.6</v>
          </cell>
        </row>
        <row r="105">
          <cell r="P105">
            <v>0.71</v>
          </cell>
          <cell r="Q105">
            <v>217.39130434782609</v>
          </cell>
          <cell r="R105">
            <v>118.69436201780415</v>
          </cell>
          <cell r="U105">
            <v>120</v>
          </cell>
          <cell r="V105">
            <v>-39.5</v>
          </cell>
        </row>
        <row r="106">
          <cell r="P106">
            <v>0.59</v>
          </cell>
          <cell r="Q106">
            <v>227.27272727272725</v>
          </cell>
          <cell r="R106">
            <v>150.37593984962407</v>
          </cell>
          <cell r="U106">
            <v>120</v>
          </cell>
          <cell r="V106">
            <v>-40.4</v>
          </cell>
        </row>
        <row r="107">
          <cell r="P107">
            <v>0.85</v>
          </cell>
          <cell r="Q107">
            <v>138.88888888888889</v>
          </cell>
          <cell r="R107">
            <v>92.592592592592581</v>
          </cell>
          <cell r="U107">
            <v>120</v>
          </cell>
          <cell r="V107">
            <v>-41.1</v>
          </cell>
        </row>
        <row r="108">
          <cell r="P108">
            <v>0.64</v>
          </cell>
          <cell r="Q108">
            <v>212.7659574468085</v>
          </cell>
          <cell r="R108">
            <v>142.85714285714286</v>
          </cell>
          <cell r="U108">
            <v>80</v>
          </cell>
          <cell r="V108">
            <v>-45.9</v>
          </cell>
        </row>
        <row r="109">
          <cell r="P109">
            <v>0.79</v>
          </cell>
          <cell r="Q109">
            <v>169.49152542372883</v>
          </cell>
          <cell r="R109">
            <v>102.56410256410257</v>
          </cell>
          <cell r="U109">
            <v>80</v>
          </cell>
          <cell r="V109">
            <v>-55.6</v>
          </cell>
        </row>
        <row r="110">
          <cell r="P110">
            <v>1.31</v>
          </cell>
          <cell r="Q110">
            <v>89.285714285714292</v>
          </cell>
          <cell r="R110">
            <v>51.546391752577321</v>
          </cell>
          <cell r="U110">
            <v>80</v>
          </cell>
          <cell r="V110">
            <v>-38.799999999999997</v>
          </cell>
        </row>
        <row r="111">
          <cell r="P111">
            <v>1.1499999999999999</v>
          </cell>
          <cell r="Q111">
            <v>106.38297872340425</v>
          </cell>
          <cell r="R111">
            <v>64.935064935064929</v>
          </cell>
          <cell r="U111">
            <v>120</v>
          </cell>
          <cell r="V111">
            <v>-43.4</v>
          </cell>
        </row>
        <row r="112">
          <cell r="P112">
            <v>1.21</v>
          </cell>
          <cell r="Q112">
            <v>128.2051282051282</v>
          </cell>
          <cell r="R112">
            <v>73.152889539136794</v>
          </cell>
          <cell r="U112">
            <v>80</v>
          </cell>
          <cell r="V112">
            <v>-52.2</v>
          </cell>
        </row>
        <row r="113">
          <cell r="U113">
            <v>80</v>
          </cell>
          <cell r="V113">
            <v>-49.1</v>
          </cell>
        </row>
        <row r="114">
          <cell r="U114">
            <v>80</v>
          </cell>
          <cell r="V114">
            <v>-52.9</v>
          </cell>
        </row>
        <row r="115">
          <cell r="P115">
            <v>0.34</v>
          </cell>
          <cell r="Q115">
            <v>303.03030303030306</v>
          </cell>
          <cell r="R115">
            <v>181.81818181818184</v>
          </cell>
          <cell r="U115">
            <v>160</v>
          </cell>
          <cell r="V115">
            <v>-25.1</v>
          </cell>
        </row>
        <row r="116">
          <cell r="P116">
            <v>0.37</v>
          </cell>
          <cell r="Q116">
            <v>131.57894736842104</v>
          </cell>
          <cell r="R116">
            <v>89.485458612975393</v>
          </cell>
          <cell r="U116">
            <v>160</v>
          </cell>
          <cell r="V116">
            <v>-27.1</v>
          </cell>
        </row>
        <row r="117">
          <cell r="P117">
            <v>0.51</v>
          </cell>
          <cell r="Q117">
            <v>151.51515151515153</v>
          </cell>
          <cell r="R117">
            <v>120.48192771084337</v>
          </cell>
          <cell r="U117">
            <v>120</v>
          </cell>
          <cell r="V117">
            <v>-47.2</v>
          </cell>
        </row>
        <row r="118">
          <cell r="P118">
            <v>0.39</v>
          </cell>
          <cell r="Q118">
            <v>256.41025641025641</v>
          </cell>
          <cell r="R118">
            <v>212.7659574468085</v>
          </cell>
          <cell r="U118">
            <v>120</v>
          </cell>
          <cell r="V118">
            <v>-44.1</v>
          </cell>
        </row>
        <row r="119">
          <cell r="P119">
            <v>0.47</v>
          </cell>
          <cell r="Q119">
            <v>238.0952380952381</v>
          </cell>
          <cell r="R119">
            <v>176.99115044247787</v>
          </cell>
        </row>
        <row r="120">
          <cell r="P120">
            <v>0.46</v>
          </cell>
          <cell r="Q120">
            <v>250</v>
          </cell>
          <cell r="R120">
            <v>162.60162601626016</v>
          </cell>
        </row>
        <row r="121">
          <cell r="P121">
            <v>0.36</v>
          </cell>
          <cell r="Q121">
            <v>312.5</v>
          </cell>
          <cell r="R121">
            <v>218.5792349726776</v>
          </cell>
        </row>
        <row r="122">
          <cell r="P122">
            <v>0.62</v>
          </cell>
          <cell r="Q122">
            <v>181.81818181818184</v>
          </cell>
          <cell r="R122">
            <v>131.57894736842104</v>
          </cell>
        </row>
        <row r="123">
          <cell r="P123">
            <v>0.57999999999999996</v>
          </cell>
          <cell r="Q123">
            <v>161.29032258064515</v>
          </cell>
          <cell r="R123">
            <v>107.52688172043011</v>
          </cell>
        </row>
        <row r="124">
          <cell r="P124">
            <v>0.51</v>
          </cell>
          <cell r="Q124">
            <v>232.55813953488371</v>
          </cell>
          <cell r="R124">
            <v>141.34275618374559</v>
          </cell>
        </row>
        <row r="125">
          <cell r="P125">
            <v>0.82</v>
          </cell>
          <cell r="Q125">
            <v>151.51515151515153</v>
          </cell>
          <cell r="R125">
            <v>87.145969498910674</v>
          </cell>
        </row>
        <row r="126">
          <cell r="P126">
            <v>1.05</v>
          </cell>
          <cell r="Q126">
            <v>126.58227848101265</v>
          </cell>
          <cell r="R126">
            <v>70.422535211267601</v>
          </cell>
        </row>
        <row r="127">
          <cell r="P127">
            <v>0.92</v>
          </cell>
          <cell r="Q127">
            <v>200</v>
          </cell>
          <cell r="R127">
            <v>101.78117048346056</v>
          </cell>
        </row>
        <row r="128">
          <cell r="P128">
            <v>0.59</v>
          </cell>
          <cell r="Q128">
            <v>208.33333333333334</v>
          </cell>
          <cell r="R128">
            <v>116.61807580174928</v>
          </cell>
        </row>
        <row r="129">
          <cell r="P129">
            <v>0.79</v>
          </cell>
          <cell r="Q129">
            <v>163.93442622950818</v>
          </cell>
          <cell r="R129">
            <v>112.67605633802818</v>
          </cell>
        </row>
        <row r="130">
          <cell r="P130">
            <v>0.9</v>
          </cell>
          <cell r="Q130">
            <v>138.88888888888889</v>
          </cell>
          <cell r="R130">
            <v>76.48183556405354</v>
          </cell>
        </row>
        <row r="131">
          <cell r="P131">
            <v>0.68</v>
          </cell>
          <cell r="Q131">
            <v>161.29032258064515</v>
          </cell>
          <cell r="R131">
            <v>94.696969696969703</v>
          </cell>
        </row>
        <row r="132">
          <cell r="P132">
            <v>0.75</v>
          </cell>
          <cell r="Q132">
            <v>136.98630136986301</v>
          </cell>
          <cell r="R132">
            <v>96.805421103581793</v>
          </cell>
        </row>
        <row r="133">
          <cell r="P133">
            <v>0.78</v>
          </cell>
          <cell r="Q133">
            <v>114.94252873563219</v>
          </cell>
          <cell r="R133">
            <v>73.529411764705884</v>
          </cell>
        </row>
        <row r="134">
          <cell r="P134">
            <v>0.74</v>
          </cell>
          <cell r="Q134">
            <v>161.29032258064515</v>
          </cell>
          <cell r="R134">
            <v>100</v>
          </cell>
        </row>
        <row r="135">
          <cell r="P135">
            <v>0.7</v>
          </cell>
          <cell r="Q135">
            <v>172.41379310344828</v>
          </cell>
          <cell r="R135">
            <v>115.2073732718894</v>
          </cell>
        </row>
        <row r="136">
          <cell r="P136">
            <v>0.97</v>
          </cell>
          <cell r="Q136">
            <v>144.92753623188406</v>
          </cell>
          <cell r="R136">
            <v>92.592592592592581</v>
          </cell>
        </row>
        <row r="137">
          <cell r="P137">
            <v>1.0900000000000001</v>
          </cell>
          <cell r="Q137">
            <v>120.48192771084337</v>
          </cell>
          <cell r="R137">
            <v>54.644808743169399</v>
          </cell>
        </row>
        <row r="138">
          <cell r="P138">
            <v>0.84</v>
          </cell>
          <cell r="Q138">
            <v>147.05882352941177</v>
          </cell>
          <cell r="R138">
            <v>101.52284263959392</v>
          </cell>
        </row>
        <row r="139">
          <cell r="P139">
            <v>0.79</v>
          </cell>
          <cell r="Q139">
            <v>147.05882352941177</v>
          </cell>
          <cell r="R139">
            <v>120.91898428053204</v>
          </cell>
        </row>
        <row r="140">
          <cell r="P140">
            <v>1.29</v>
          </cell>
          <cell r="Q140">
            <v>103.09278350515464</v>
          </cell>
          <cell r="R140">
            <v>74.074074074074076</v>
          </cell>
        </row>
      </sheetData>
      <sheetData sheetId="23"/>
      <sheetData sheetId="24"/>
      <sheetData sheetId="25">
        <row r="58">
          <cell r="P58">
            <v>0.42307692307692307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DF8CD-8DDC-4897-8156-2CD0E9FC10FA}">
  <dimension ref="A1:AU50"/>
  <sheetViews>
    <sheetView tabSelected="1" workbookViewId="0">
      <selection activeCell="AM41" sqref="AM41:AQ54"/>
    </sheetView>
  </sheetViews>
  <sheetFormatPr defaultColWidth="9.109375" defaultRowHeight="14.4" x14ac:dyDescent="0.3"/>
  <cols>
    <col min="1" max="1" width="10.21875" style="2" customWidth="1"/>
    <col min="2" max="2" width="11.88671875" style="2" customWidth="1"/>
    <col min="3" max="3" width="23.77734375" style="2" customWidth="1"/>
    <col min="4" max="4" width="11.5546875" style="2" customWidth="1"/>
    <col min="5" max="5" width="6.5546875" style="2" customWidth="1"/>
    <col min="6" max="6" width="10.109375" style="2" customWidth="1"/>
    <col min="7" max="7" width="7.21875" style="2" customWidth="1"/>
    <col min="8" max="8" width="7.109375" style="2" customWidth="1"/>
    <col min="9" max="11" width="9.109375" style="2"/>
    <col min="12" max="12" width="14" style="2" customWidth="1"/>
    <col min="13" max="13" width="12.33203125" style="2" customWidth="1"/>
    <col min="14" max="14" width="14" style="2" customWidth="1"/>
    <col min="15" max="15" width="10.109375" style="2" bestFit="1" customWidth="1"/>
    <col min="16" max="16" width="10.109375" style="2" customWidth="1"/>
    <col min="17" max="17" width="16.21875" style="2" customWidth="1"/>
    <col min="18" max="18" width="16.33203125" style="2" customWidth="1"/>
    <col min="19" max="19" width="18.5546875" style="2" customWidth="1"/>
    <col min="20" max="20" width="20.33203125" style="2" customWidth="1"/>
    <col min="21" max="22" width="22.88671875" style="2" customWidth="1"/>
    <col min="23" max="24" width="18" style="2" customWidth="1"/>
    <col min="25" max="25" width="17.21875" style="2" customWidth="1"/>
    <col min="26" max="26" width="7.5546875" style="2" customWidth="1"/>
    <col min="27" max="27" width="22" style="2" customWidth="1"/>
    <col min="28" max="28" width="8.77734375" style="2" customWidth="1"/>
    <col min="29" max="29" width="41.5546875" style="2" customWidth="1"/>
    <col min="30" max="31" width="32.44140625" style="2" customWidth="1"/>
    <col min="32" max="32" width="26.33203125" style="2" customWidth="1"/>
    <col min="33" max="33" width="18.6640625" style="2" customWidth="1"/>
    <col min="34" max="34" width="12.33203125" style="2" customWidth="1"/>
    <col min="35" max="35" width="12" style="2" customWidth="1"/>
    <col min="36" max="36" width="28.33203125" style="2" customWidth="1"/>
    <col min="37" max="37" width="30.44140625" style="2" customWidth="1"/>
    <col min="38" max="38" width="22.33203125" style="2" customWidth="1"/>
    <col min="39" max="39" width="9.109375" style="2"/>
    <col min="40" max="40" width="7.77734375" style="2" customWidth="1"/>
    <col min="41" max="41" width="16.77734375" style="2" customWidth="1"/>
    <col min="42" max="43" width="17" style="2" customWidth="1"/>
    <col min="44" max="44" width="9.109375" style="2"/>
    <col min="45" max="45" width="17" style="2" customWidth="1"/>
    <col min="46" max="46" width="10.44140625" style="2" customWidth="1"/>
    <col min="47" max="220" width="9.109375" style="2"/>
    <col min="221" max="221" width="18.44140625" style="2" customWidth="1"/>
    <col min="222" max="222" width="11.88671875" style="2" customWidth="1"/>
    <col min="223" max="224" width="10.109375" style="2" customWidth="1"/>
    <col min="225" max="226" width="13.6640625" style="2" customWidth="1"/>
    <col min="227" max="229" width="23.77734375" style="2" customWidth="1"/>
    <col min="230" max="232" width="9.109375" style="2"/>
    <col min="233" max="233" width="21" style="2" customWidth="1"/>
    <col min="234" max="234" width="12.33203125" style="2" customWidth="1"/>
    <col min="235" max="235" width="14" style="2" customWidth="1"/>
    <col min="236" max="236" width="10.109375" style="2" bestFit="1" customWidth="1"/>
    <col min="237" max="237" width="10.109375" style="2" customWidth="1"/>
    <col min="238" max="238" width="27.21875" style="2" customWidth="1"/>
    <col min="239" max="239" width="24.5546875" style="2" customWidth="1"/>
    <col min="240" max="240" width="16.21875" style="2" customWidth="1"/>
    <col min="241" max="241" width="16.33203125" style="2" customWidth="1"/>
    <col min="242" max="242" width="18.5546875" style="2" customWidth="1"/>
    <col min="243" max="243" width="20.33203125" style="2" customWidth="1"/>
    <col min="244" max="245" width="22.88671875" style="2" customWidth="1"/>
    <col min="246" max="249" width="18" style="2" customWidth="1"/>
    <col min="250" max="250" width="17.21875" style="2" customWidth="1"/>
    <col min="251" max="251" width="16.6640625" style="2" customWidth="1"/>
    <col min="252" max="252" width="17.44140625" style="2" customWidth="1"/>
    <col min="253" max="253" width="24.21875" style="2" customWidth="1"/>
    <col min="254" max="254" width="20.44140625" style="2" customWidth="1"/>
    <col min="255" max="255" width="41.5546875" style="2" customWidth="1"/>
    <col min="256" max="257" width="32.44140625" style="2" customWidth="1"/>
    <col min="258" max="262" width="41.5546875" style="2" customWidth="1"/>
    <col min="263" max="263" width="30.44140625" style="2" customWidth="1"/>
    <col min="264" max="264" width="22.33203125" style="2" customWidth="1"/>
    <col min="265" max="265" width="9.109375" style="2"/>
    <col min="266" max="266" width="22.88671875" style="2" customWidth="1"/>
    <col min="267" max="267" width="23.77734375" style="2" customWidth="1"/>
    <col min="268" max="268" width="74.44140625" style="2" customWidth="1"/>
    <col min="269" max="270" width="9.109375" style="2"/>
    <col min="271" max="271" width="14.109375" style="2" customWidth="1"/>
    <col min="272" max="272" width="12.44140625" style="2" customWidth="1"/>
    <col min="273" max="273" width="13.44140625" style="2" customWidth="1"/>
    <col min="274" max="274" width="11.109375" style="2" customWidth="1"/>
    <col min="275" max="278" width="17.33203125" style="2" customWidth="1"/>
    <col min="279" max="282" width="9.109375" style="2"/>
    <col min="283" max="284" width="22.33203125" style="2" customWidth="1"/>
    <col min="285" max="285" width="11.88671875" style="2" customWidth="1"/>
    <col min="286" max="286" width="10.109375" style="2" customWidth="1"/>
    <col min="287" max="288" width="9.109375" style="2"/>
    <col min="289" max="289" width="13.33203125" style="2" customWidth="1"/>
    <col min="290" max="290" width="11.44140625" style="2" customWidth="1"/>
    <col min="291" max="291" width="13.33203125" style="2" bestFit="1" customWidth="1"/>
    <col min="292" max="292" width="16.88671875" style="2" bestFit="1" customWidth="1"/>
    <col min="293" max="295" width="14.44140625" style="2" customWidth="1"/>
    <col min="296" max="296" width="9.88671875" style="2" customWidth="1"/>
    <col min="297" max="299" width="17" style="2" customWidth="1"/>
    <col min="300" max="300" width="9.109375" style="2"/>
    <col min="301" max="301" width="17" style="2" customWidth="1"/>
    <col min="302" max="302" width="10.44140625" style="2" customWidth="1"/>
    <col min="303" max="476" width="9.109375" style="2"/>
    <col min="477" max="477" width="18.44140625" style="2" customWidth="1"/>
    <col min="478" max="478" width="11.88671875" style="2" customWidth="1"/>
    <col min="479" max="480" width="10.109375" style="2" customWidth="1"/>
    <col min="481" max="482" width="13.6640625" style="2" customWidth="1"/>
    <col min="483" max="485" width="23.77734375" style="2" customWidth="1"/>
    <col min="486" max="488" width="9.109375" style="2"/>
    <col min="489" max="489" width="21" style="2" customWidth="1"/>
    <col min="490" max="490" width="12.33203125" style="2" customWidth="1"/>
    <col min="491" max="491" width="14" style="2" customWidth="1"/>
    <col min="492" max="492" width="10.109375" style="2" bestFit="1" customWidth="1"/>
    <col min="493" max="493" width="10.109375" style="2" customWidth="1"/>
    <col min="494" max="494" width="27.21875" style="2" customWidth="1"/>
    <col min="495" max="495" width="24.5546875" style="2" customWidth="1"/>
    <col min="496" max="496" width="16.21875" style="2" customWidth="1"/>
    <col min="497" max="497" width="16.33203125" style="2" customWidth="1"/>
    <col min="498" max="498" width="18.5546875" style="2" customWidth="1"/>
    <col min="499" max="499" width="20.33203125" style="2" customWidth="1"/>
    <col min="500" max="501" width="22.88671875" style="2" customWidth="1"/>
    <col min="502" max="505" width="18" style="2" customWidth="1"/>
    <col min="506" max="506" width="17.21875" style="2" customWidth="1"/>
    <col min="507" max="507" width="16.6640625" style="2" customWidth="1"/>
    <col min="508" max="508" width="17.44140625" style="2" customWidth="1"/>
    <col min="509" max="509" width="24.21875" style="2" customWidth="1"/>
    <col min="510" max="510" width="20.44140625" style="2" customWidth="1"/>
    <col min="511" max="511" width="41.5546875" style="2" customWidth="1"/>
    <col min="512" max="513" width="32.44140625" style="2" customWidth="1"/>
    <col min="514" max="518" width="41.5546875" style="2" customWidth="1"/>
    <col min="519" max="519" width="30.44140625" style="2" customWidth="1"/>
    <col min="520" max="520" width="22.33203125" style="2" customWidth="1"/>
    <col min="521" max="521" width="9.109375" style="2"/>
    <col min="522" max="522" width="22.88671875" style="2" customWidth="1"/>
    <col min="523" max="523" width="23.77734375" style="2" customWidth="1"/>
    <col min="524" max="524" width="74.44140625" style="2" customWidth="1"/>
    <col min="525" max="526" width="9.109375" style="2"/>
    <col min="527" max="527" width="14.109375" style="2" customWidth="1"/>
    <col min="528" max="528" width="12.44140625" style="2" customWidth="1"/>
    <col min="529" max="529" width="13.44140625" style="2" customWidth="1"/>
    <col min="530" max="530" width="11.109375" style="2" customWidth="1"/>
    <col min="531" max="534" width="17.33203125" style="2" customWidth="1"/>
    <col min="535" max="538" width="9.109375" style="2"/>
    <col min="539" max="540" width="22.33203125" style="2" customWidth="1"/>
    <col min="541" max="541" width="11.88671875" style="2" customWidth="1"/>
    <col min="542" max="542" width="10.109375" style="2" customWidth="1"/>
    <col min="543" max="544" width="9.109375" style="2"/>
    <col min="545" max="545" width="13.33203125" style="2" customWidth="1"/>
    <col min="546" max="546" width="11.44140625" style="2" customWidth="1"/>
    <col min="547" max="547" width="13.33203125" style="2" bestFit="1" customWidth="1"/>
    <col min="548" max="548" width="16.88671875" style="2" bestFit="1" customWidth="1"/>
    <col min="549" max="551" width="14.44140625" style="2" customWidth="1"/>
    <col min="552" max="552" width="9.88671875" style="2" customWidth="1"/>
    <col min="553" max="555" width="17" style="2" customWidth="1"/>
    <col min="556" max="556" width="9.109375" style="2"/>
    <col min="557" max="557" width="17" style="2" customWidth="1"/>
    <col min="558" max="558" width="10.44140625" style="2" customWidth="1"/>
    <col min="559" max="732" width="9.109375" style="2"/>
    <col min="733" max="733" width="18.44140625" style="2" customWidth="1"/>
    <col min="734" max="734" width="11.88671875" style="2" customWidth="1"/>
    <col min="735" max="736" width="10.109375" style="2" customWidth="1"/>
    <col min="737" max="738" width="13.6640625" style="2" customWidth="1"/>
    <col min="739" max="741" width="23.77734375" style="2" customWidth="1"/>
    <col min="742" max="744" width="9.109375" style="2"/>
    <col min="745" max="745" width="21" style="2" customWidth="1"/>
    <col min="746" max="746" width="12.33203125" style="2" customWidth="1"/>
    <col min="747" max="747" width="14" style="2" customWidth="1"/>
    <col min="748" max="748" width="10.109375" style="2" bestFit="1" customWidth="1"/>
    <col min="749" max="749" width="10.109375" style="2" customWidth="1"/>
    <col min="750" max="750" width="27.21875" style="2" customWidth="1"/>
    <col min="751" max="751" width="24.5546875" style="2" customWidth="1"/>
    <col min="752" max="752" width="16.21875" style="2" customWidth="1"/>
    <col min="753" max="753" width="16.33203125" style="2" customWidth="1"/>
    <col min="754" max="754" width="18.5546875" style="2" customWidth="1"/>
    <col min="755" max="755" width="20.33203125" style="2" customWidth="1"/>
    <col min="756" max="757" width="22.88671875" style="2" customWidth="1"/>
    <col min="758" max="761" width="18" style="2" customWidth="1"/>
    <col min="762" max="762" width="17.21875" style="2" customWidth="1"/>
    <col min="763" max="763" width="16.6640625" style="2" customWidth="1"/>
    <col min="764" max="764" width="17.44140625" style="2" customWidth="1"/>
    <col min="765" max="765" width="24.21875" style="2" customWidth="1"/>
    <col min="766" max="766" width="20.44140625" style="2" customWidth="1"/>
    <col min="767" max="767" width="41.5546875" style="2" customWidth="1"/>
    <col min="768" max="769" width="32.44140625" style="2" customWidth="1"/>
    <col min="770" max="774" width="41.5546875" style="2" customWidth="1"/>
    <col min="775" max="775" width="30.44140625" style="2" customWidth="1"/>
    <col min="776" max="776" width="22.33203125" style="2" customWidth="1"/>
    <col min="777" max="777" width="9.109375" style="2"/>
    <col min="778" max="778" width="22.88671875" style="2" customWidth="1"/>
    <col min="779" max="779" width="23.77734375" style="2" customWidth="1"/>
    <col min="780" max="780" width="74.44140625" style="2" customWidth="1"/>
    <col min="781" max="782" width="9.109375" style="2"/>
    <col min="783" max="783" width="14.109375" style="2" customWidth="1"/>
    <col min="784" max="784" width="12.44140625" style="2" customWidth="1"/>
    <col min="785" max="785" width="13.44140625" style="2" customWidth="1"/>
    <col min="786" max="786" width="11.109375" style="2" customWidth="1"/>
    <col min="787" max="790" width="17.33203125" style="2" customWidth="1"/>
    <col min="791" max="794" width="9.109375" style="2"/>
    <col min="795" max="796" width="22.33203125" style="2" customWidth="1"/>
    <col min="797" max="797" width="11.88671875" style="2" customWidth="1"/>
    <col min="798" max="798" width="10.109375" style="2" customWidth="1"/>
    <col min="799" max="800" width="9.109375" style="2"/>
    <col min="801" max="801" width="13.33203125" style="2" customWidth="1"/>
    <col min="802" max="802" width="11.44140625" style="2" customWidth="1"/>
    <col min="803" max="803" width="13.33203125" style="2" bestFit="1" customWidth="1"/>
    <col min="804" max="804" width="16.88671875" style="2" bestFit="1" customWidth="1"/>
    <col min="805" max="807" width="14.44140625" style="2" customWidth="1"/>
    <col min="808" max="808" width="9.88671875" style="2" customWidth="1"/>
    <col min="809" max="811" width="17" style="2" customWidth="1"/>
    <col min="812" max="812" width="9.109375" style="2"/>
    <col min="813" max="813" width="17" style="2" customWidth="1"/>
    <col min="814" max="814" width="10.44140625" style="2" customWidth="1"/>
    <col min="815" max="988" width="9.109375" style="2"/>
    <col min="989" max="989" width="18.44140625" style="2" customWidth="1"/>
    <col min="990" max="990" width="11.88671875" style="2" customWidth="1"/>
    <col min="991" max="992" width="10.109375" style="2" customWidth="1"/>
    <col min="993" max="994" width="13.6640625" style="2" customWidth="1"/>
    <col min="995" max="997" width="23.77734375" style="2" customWidth="1"/>
    <col min="998" max="1000" width="9.109375" style="2"/>
    <col min="1001" max="1001" width="21" style="2" customWidth="1"/>
    <col min="1002" max="1002" width="12.33203125" style="2" customWidth="1"/>
    <col min="1003" max="1003" width="14" style="2" customWidth="1"/>
    <col min="1004" max="1004" width="10.109375" style="2" bestFit="1" customWidth="1"/>
    <col min="1005" max="1005" width="10.109375" style="2" customWidth="1"/>
    <col min="1006" max="1006" width="27.21875" style="2" customWidth="1"/>
    <col min="1007" max="1007" width="24.5546875" style="2" customWidth="1"/>
    <col min="1008" max="1008" width="16.21875" style="2" customWidth="1"/>
    <col min="1009" max="1009" width="16.33203125" style="2" customWidth="1"/>
    <col min="1010" max="1010" width="18.5546875" style="2" customWidth="1"/>
    <col min="1011" max="1011" width="20.33203125" style="2" customWidth="1"/>
    <col min="1012" max="1013" width="22.88671875" style="2" customWidth="1"/>
    <col min="1014" max="1017" width="18" style="2" customWidth="1"/>
    <col min="1018" max="1018" width="17.21875" style="2" customWidth="1"/>
    <col min="1019" max="1019" width="16.6640625" style="2" customWidth="1"/>
    <col min="1020" max="1020" width="17.44140625" style="2" customWidth="1"/>
    <col min="1021" max="1021" width="24.21875" style="2" customWidth="1"/>
    <col min="1022" max="1022" width="20.44140625" style="2" customWidth="1"/>
    <col min="1023" max="1023" width="41.5546875" style="2" customWidth="1"/>
    <col min="1024" max="1025" width="32.44140625" style="2" customWidth="1"/>
    <col min="1026" max="1030" width="41.5546875" style="2" customWidth="1"/>
    <col min="1031" max="1031" width="30.44140625" style="2" customWidth="1"/>
    <col min="1032" max="1032" width="22.33203125" style="2" customWidth="1"/>
    <col min="1033" max="1033" width="9.109375" style="2"/>
    <col min="1034" max="1034" width="22.88671875" style="2" customWidth="1"/>
    <col min="1035" max="1035" width="23.77734375" style="2" customWidth="1"/>
    <col min="1036" max="1036" width="74.44140625" style="2" customWidth="1"/>
    <col min="1037" max="1038" width="9.109375" style="2"/>
    <col min="1039" max="1039" width="14.109375" style="2" customWidth="1"/>
    <col min="1040" max="1040" width="12.44140625" style="2" customWidth="1"/>
    <col min="1041" max="1041" width="13.44140625" style="2" customWidth="1"/>
    <col min="1042" max="1042" width="11.109375" style="2" customWidth="1"/>
    <col min="1043" max="1046" width="17.33203125" style="2" customWidth="1"/>
    <col min="1047" max="1050" width="9.109375" style="2"/>
    <col min="1051" max="1052" width="22.33203125" style="2" customWidth="1"/>
    <col min="1053" max="1053" width="11.88671875" style="2" customWidth="1"/>
    <col min="1054" max="1054" width="10.109375" style="2" customWidth="1"/>
    <col min="1055" max="1056" width="9.109375" style="2"/>
    <col min="1057" max="1057" width="13.33203125" style="2" customWidth="1"/>
    <col min="1058" max="1058" width="11.44140625" style="2" customWidth="1"/>
    <col min="1059" max="1059" width="13.33203125" style="2" bestFit="1" customWidth="1"/>
    <col min="1060" max="1060" width="16.88671875" style="2" bestFit="1" customWidth="1"/>
    <col min="1061" max="1063" width="14.44140625" style="2" customWidth="1"/>
    <col min="1064" max="1064" width="9.88671875" style="2" customWidth="1"/>
    <col min="1065" max="1067" width="17" style="2" customWidth="1"/>
    <col min="1068" max="1068" width="9.109375" style="2"/>
    <col min="1069" max="1069" width="17" style="2" customWidth="1"/>
    <col min="1070" max="1070" width="10.44140625" style="2" customWidth="1"/>
    <col min="1071" max="1244" width="9.109375" style="2"/>
    <col min="1245" max="1245" width="18.44140625" style="2" customWidth="1"/>
    <col min="1246" max="1246" width="11.88671875" style="2" customWidth="1"/>
    <col min="1247" max="1248" width="10.109375" style="2" customWidth="1"/>
    <col min="1249" max="1250" width="13.6640625" style="2" customWidth="1"/>
    <col min="1251" max="1253" width="23.77734375" style="2" customWidth="1"/>
    <col min="1254" max="1256" width="9.109375" style="2"/>
    <col min="1257" max="1257" width="21" style="2" customWidth="1"/>
    <col min="1258" max="1258" width="12.33203125" style="2" customWidth="1"/>
    <col min="1259" max="1259" width="14" style="2" customWidth="1"/>
    <col min="1260" max="1260" width="10.109375" style="2" bestFit="1" customWidth="1"/>
    <col min="1261" max="1261" width="10.109375" style="2" customWidth="1"/>
    <col min="1262" max="1262" width="27.21875" style="2" customWidth="1"/>
    <col min="1263" max="1263" width="24.5546875" style="2" customWidth="1"/>
    <col min="1264" max="1264" width="16.21875" style="2" customWidth="1"/>
    <col min="1265" max="1265" width="16.33203125" style="2" customWidth="1"/>
    <col min="1266" max="1266" width="18.5546875" style="2" customWidth="1"/>
    <col min="1267" max="1267" width="20.33203125" style="2" customWidth="1"/>
    <col min="1268" max="1269" width="22.88671875" style="2" customWidth="1"/>
    <col min="1270" max="1273" width="18" style="2" customWidth="1"/>
    <col min="1274" max="1274" width="17.21875" style="2" customWidth="1"/>
    <col min="1275" max="1275" width="16.6640625" style="2" customWidth="1"/>
    <col min="1276" max="1276" width="17.44140625" style="2" customWidth="1"/>
    <col min="1277" max="1277" width="24.21875" style="2" customWidth="1"/>
    <col min="1278" max="1278" width="20.44140625" style="2" customWidth="1"/>
    <col min="1279" max="1279" width="41.5546875" style="2" customWidth="1"/>
    <col min="1280" max="1281" width="32.44140625" style="2" customWidth="1"/>
    <col min="1282" max="1286" width="41.5546875" style="2" customWidth="1"/>
    <col min="1287" max="1287" width="30.44140625" style="2" customWidth="1"/>
    <col min="1288" max="1288" width="22.33203125" style="2" customWidth="1"/>
    <col min="1289" max="1289" width="9.109375" style="2"/>
    <col min="1290" max="1290" width="22.88671875" style="2" customWidth="1"/>
    <col min="1291" max="1291" width="23.77734375" style="2" customWidth="1"/>
    <col min="1292" max="1292" width="74.44140625" style="2" customWidth="1"/>
    <col min="1293" max="1294" width="9.109375" style="2"/>
    <col min="1295" max="1295" width="14.109375" style="2" customWidth="1"/>
    <col min="1296" max="1296" width="12.44140625" style="2" customWidth="1"/>
    <col min="1297" max="1297" width="13.44140625" style="2" customWidth="1"/>
    <col min="1298" max="1298" width="11.109375" style="2" customWidth="1"/>
    <col min="1299" max="1302" width="17.33203125" style="2" customWidth="1"/>
    <col min="1303" max="1306" width="9.109375" style="2"/>
    <col min="1307" max="1308" width="22.33203125" style="2" customWidth="1"/>
    <col min="1309" max="1309" width="11.88671875" style="2" customWidth="1"/>
    <col min="1310" max="1310" width="10.109375" style="2" customWidth="1"/>
    <col min="1311" max="1312" width="9.109375" style="2"/>
    <col min="1313" max="1313" width="13.33203125" style="2" customWidth="1"/>
    <col min="1314" max="1314" width="11.44140625" style="2" customWidth="1"/>
    <col min="1315" max="1315" width="13.33203125" style="2" bestFit="1" customWidth="1"/>
    <col min="1316" max="1316" width="16.88671875" style="2" bestFit="1" customWidth="1"/>
    <col min="1317" max="1319" width="14.44140625" style="2" customWidth="1"/>
    <col min="1320" max="1320" width="9.88671875" style="2" customWidth="1"/>
    <col min="1321" max="1323" width="17" style="2" customWidth="1"/>
    <col min="1324" max="1324" width="9.109375" style="2"/>
    <col min="1325" max="1325" width="17" style="2" customWidth="1"/>
    <col min="1326" max="1326" width="10.44140625" style="2" customWidth="1"/>
    <col min="1327" max="1500" width="9.109375" style="2"/>
    <col min="1501" max="1501" width="18.44140625" style="2" customWidth="1"/>
    <col min="1502" max="1502" width="11.88671875" style="2" customWidth="1"/>
    <col min="1503" max="1504" width="10.109375" style="2" customWidth="1"/>
    <col min="1505" max="1506" width="13.6640625" style="2" customWidth="1"/>
    <col min="1507" max="1509" width="23.77734375" style="2" customWidth="1"/>
    <col min="1510" max="1512" width="9.109375" style="2"/>
    <col min="1513" max="1513" width="21" style="2" customWidth="1"/>
    <col min="1514" max="1514" width="12.33203125" style="2" customWidth="1"/>
    <col min="1515" max="1515" width="14" style="2" customWidth="1"/>
    <col min="1516" max="1516" width="10.109375" style="2" bestFit="1" customWidth="1"/>
    <col min="1517" max="1517" width="10.109375" style="2" customWidth="1"/>
    <col min="1518" max="1518" width="27.21875" style="2" customWidth="1"/>
    <col min="1519" max="1519" width="24.5546875" style="2" customWidth="1"/>
    <col min="1520" max="1520" width="16.21875" style="2" customWidth="1"/>
    <col min="1521" max="1521" width="16.33203125" style="2" customWidth="1"/>
    <col min="1522" max="1522" width="18.5546875" style="2" customWidth="1"/>
    <col min="1523" max="1523" width="20.33203125" style="2" customWidth="1"/>
    <col min="1524" max="1525" width="22.88671875" style="2" customWidth="1"/>
    <col min="1526" max="1529" width="18" style="2" customWidth="1"/>
    <col min="1530" max="1530" width="17.21875" style="2" customWidth="1"/>
    <col min="1531" max="1531" width="16.6640625" style="2" customWidth="1"/>
    <col min="1532" max="1532" width="17.44140625" style="2" customWidth="1"/>
    <col min="1533" max="1533" width="24.21875" style="2" customWidth="1"/>
    <col min="1534" max="1534" width="20.44140625" style="2" customWidth="1"/>
    <col min="1535" max="1535" width="41.5546875" style="2" customWidth="1"/>
    <col min="1536" max="1537" width="32.44140625" style="2" customWidth="1"/>
    <col min="1538" max="1542" width="41.5546875" style="2" customWidth="1"/>
    <col min="1543" max="1543" width="30.44140625" style="2" customWidth="1"/>
    <col min="1544" max="1544" width="22.33203125" style="2" customWidth="1"/>
    <col min="1545" max="1545" width="9.109375" style="2"/>
    <col min="1546" max="1546" width="22.88671875" style="2" customWidth="1"/>
    <col min="1547" max="1547" width="23.77734375" style="2" customWidth="1"/>
    <col min="1548" max="1548" width="74.44140625" style="2" customWidth="1"/>
    <col min="1549" max="1550" width="9.109375" style="2"/>
    <col min="1551" max="1551" width="14.109375" style="2" customWidth="1"/>
    <col min="1552" max="1552" width="12.44140625" style="2" customWidth="1"/>
    <col min="1553" max="1553" width="13.44140625" style="2" customWidth="1"/>
    <col min="1554" max="1554" width="11.109375" style="2" customWidth="1"/>
    <col min="1555" max="1558" width="17.33203125" style="2" customWidth="1"/>
    <col min="1559" max="1562" width="9.109375" style="2"/>
    <col min="1563" max="1564" width="22.33203125" style="2" customWidth="1"/>
    <col min="1565" max="1565" width="11.88671875" style="2" customWidth="1"/>
    <col min="1566" max="1566" width="10.109375" style="2" customWidth="1"/>
    <col min="1567" max="1568" width="9.109375" style="2"/>
    <col min="1569" max="1569" width="13.33203125" style="2" customWidth="1"/>
    <col min="1570" max="1570" width="11.44140625" style="2" customWidth="1"/>
    <col min="1571" max="1571" width="13.33203125" style="2" bestFit="1" customWidth="1"/>
    <col min="1572" max="1572" width="16.88671875" style="2" bestFit="1" customWidth="1"/>
    <col min="1573" max="1575" width="14.44140625" style="2" customWidth="1"/>
    <col min="1576" max="1576" width="9.88671875" style="2" customWidth="1"/>
    <col min="1577" max="1579" width="17" style="2" customWidth="1"/>
    <col min="1580" max="1580" width="9.109375" style="2"/>
    <col min="1581" max="1581" width="17" style="2" customWidth="1"/>
    <col min="1582" max="1582" width="10.44140625" style="2" customWidth="1"/>
    <col min="1583" max="1756" width="9.109375" style="2"/>
    <col min="1757" max="1757" width="18.44140625" style="2" customWidth="1"/>
    <col min="1758" max="1758" width="11.88671875" style="2" customWidth="1"/>
    <col min="1759" max="1760" width="10.109375" style="2" customWidth="1"/>
    <col min="1761" max="1762" width="13.6640625" style="2" customWidth="1"/>
    <col min="1763" max="1765" width="23.77734375" style="2" customWidth="1"/>
    <col min="1766" max="1768" width="9.109375" style="2"/>
    <col min="1769" max="1769" width="21" style="2" customWidth="1"/>
    <col min="1770" max="1770" width="12.33203125" style="2" customWidth="1"/>
    <col min="1771" max="1771" width="14" style="2" customWidth="1"/>
    <col min="1772" max="1772" width="10.109375" style="2" bestFit="1" customWidth="1"/>
    <col min="1773" max="1773" width="10.109375" style="2" customWidth="1"/>
    <col min="1774" max="1774" width="27.21875" style="2" customWidth="1"/>
    <col min="1775" max="1775" width="24.5546875" style="2" customWidth="1"/>
    <col min="1776" max="1776" width="16.21875" style="2" customWidth="1"/>
    <col min="1777" max="1777" width="16.33203125" style="2" customWidth="1"/>
    <col min="1778" max="1778" width="18.5546875" style="2" customWidth="1"/>
    <col min="1779" max="1779" width="20.33203125" style="2" customWidth="1"/>
    <col min="1780" max="1781" width="22.88671875" style="2" customWidth="1"/>
    <col min="1782" max="1785" width="18" style="2" customWidth="1"/>
    <col min="1786" max="1786" width="17.21875" style="2" customWidth="1"/>
    <col min="1787" max="1787" width="16.6640625" style="2" customWidth="1"/>
    <col min="1788" max="1788" width="17.44140625" style="2" customWidth="1"/>
    <col min="1789" max="1789" width="24.21875" style="2" customWidth="1"/>
    <col min="1790" max="1790" width="20.44140625" style="2" customWidth="1"/>
    <col min="1791" max="1791" width="41.5546875" style="2" customWidth="1"/>
    <col min="1792" max="1793" width="32.44140625" style="2" customWidth="1"/>
    <col min="1794" max="1798" width="41.5546875" style="2" customWidth="1"/>
    <col min="1799" max="1799" width="30.44140625" style="2" customWidth="1"/>
    <col min="1800" max="1800" width="22.33203125" style="2" customWidth="1"/>
    <col min="1801" max="1801" width="9.109375" style="2"/>
    <col min="1802" max="1802" width="22.88671875" style="2" customWidth="1"/>
    <col min="1803" max="1803" width="23.77734375" style="2" customWidth="1"/>
    <col min="1804" max="1804" width="74.44140625" style="2" customWidth="1"/>
    <col min="1805" max="1806" width="9.109375" style="2"/>
    <col min="1807" max="1807" width="14.109375" style="2" customWidth="1"/>
    <col min="1808" max="1808" width="12.44140625" style="2" customWidth="1"/>
    <col min="1809" max="1809" width="13.44140625" style="2" customWidth="1"/>
    <col min="1810" max="1810" width="11.109375" style="2" customWidth="1"/>
    <col min="1811" max="1814" width="17.33203125" style="2" customWidth="1"/>
    <col min="1815" max="1818" width="9.109375" style="2"/>
    <col min="1819" max="1820" width="22.33203125" style="2" customWidth="1"/>
    <col min="1821" max="1821" width="11.88671875" style="2" customWidth="1"/>
    <col min="1822" max="1822" width="10.109375" style="2" customWidth="1"/>
    <col min="1823" max="1824" width="9.109375" style="2"/>
    <col min="1825" max="1825" width="13.33203125" style="2" customWidth="1"/>
    <col min="1826" max="1826" width="11.44140625" style="2" customWidth="1"/>
    <col min="1827" max="1827" width="13.33203125" style="2" bestFit="1" customWidth="1"/>
    <col min="1828" max="1828" width="16.88671875" style="2" bestFit="1" customWidth="1"/>
    <col min="1829" max="1831" width="14.44140625" style="2" customWidth="1"/>
    <col min="1832" max="1832" width="9.88671875" style="2" customWidth="1"/>
    <col min="1833" max="1835" width="17" style="2" customWidth="1"/>
    <col min="1836" max="1836" width="9.109375" style="2"/>
    <col min="1837" max="1837" width="17" style="2" customWidth="1"/>
    <col min="1838" max="1838" width="10.44140625" style="2" customWidth="1"/>
    <col min="1839" max="2012" width="9.109375" style="2"/>
    <col min="2013" max="2013" width="18.44140625" style="2" customWidth="1"/>
    <col min="2014" max="2014" width="11.88671875" style="2" customWidth="1"/>
    <col min="2015" max="2016" width="10.109375" style="2" customWidth="1"/>
    <col min="2017" max="2018" width="13.6640625" style="2" customWidth="1"/>
    <col min="2019" max="2021" width="23.77734375" style="2" customWidth="1"/>
    <col min="2022" max="2024" width="9.109375" style="2"/>
    <col min="2025" max="2025" width="21" style="2" customWidth="1"/>
    <col min="2026" max="2026" width="12.33203125" style="2" customWidth="1"/>
    <col min="2027" max="2027" width="14" style="2" customWidth="1"/>
    <col min="2028" max="2028" width="10.109375" style="2" bestFit="1" customWidth="1"/>
    <col min="2029" max="2029" width="10.109375" style="2" customWidth="1"/>
    <col min="2030" max="2030" width="27.21875" style="2" customWidth="1"/>
    <col min="2031" max="2031" width="24.5546875" style="2" customWidth="1"/>
    <col min="2032" max="2032" width="16.21875" style="2" customWidth="1"/>
    <col min="2033" max="2033" width="16.33203125" style="2" customWidth="1"/>
    <col min="2034" max="2034" width="18.5546875" style="2" customWidth="1"/>
    <col min="2035" max="2035" width="20.33203125" style="2" customWidth="1"/>
    <col min="2036" max="2037" width="22.88671875" style="2" customWidth="1"/>
    <col min="2038" max="2041" width="18" style="2" customWidth="1"/>
    <col min="2042" max="2042" width="17.21875" style="2" customWidth="1"/>
    <col min="2043" max="2043" width="16.6640625" style="2" customWidth="1"/>
    <col min="2044" max="2044" width="17.44140625" style="2" customWidth="1"/>
    <col min="2045" max="2045" width="24.21875" style="2" customWidth="1"/>
    <col min="2046" max="2046" width="20.44140625" style="2" customWidth="1"/>
    <col min="2047" max="2047" width="41.5546875" style="2" customWidth="1"/>
    <col min="2048" max="2049" width="32.44140625" style="2" customWidth="1"/>
    <col min="2050" max="2054" width="41.5546875" style="2" customWidth="1"/>
    <col min="2055" max="2055" width="30.44140625" style="2" customWidth="1"/>
    <col min="2056" max="2056" width="22.33203125" style="2" customWidth="1"/>
    <col min="2057" max="2057" width="9.109375" style="2"/>
    <col min="2058" max="2058" width="22.88671875" style="2" customWidth="1"/>
    <col min="2059" max="2059" width="23.77734375" style="2" customWidth="1"/>
    <col min="2060" max="2060" width="74.44140625" style="2" customWidth="1"/>
    <col min="2061" max="2062" width="9.109375" style="2"/>
    <col min="2063" max="2063" width="14.109375" style="2" customWidth="1"/>
    <col min="2064" max="2064" width="12.44140625" style="2" customWidth="1"/>
    <col min="2065" max="2065" width="13.44140625" style="2" customWidth="1"/>
    <col min="2066" max="2066" width="11.109375" style="2" customWidth="1"/>
    <col min="2067" max="2070" width="17.33203125" style="2" customWidth="1"/>
    <col min="2071" max="2074" width="9.109375" style="2"/>
    <col min="2075" max="2076" width="22.33203125" style="2" customWidth="1"/>
    <col min="2077" max="2077" width="11.88671875" style="2" customWidth="1"/>
    <col min="2078" max="2078" width="10.109375" style="2" customWidth="1"/>
    <col min="2079" max="2080" width="9.109375" style="2"/>
    <col min="2081" max="2081" width="13.33203125" style="2" customWidth="1"/>
    <col min="2082" max="2082" width="11.44140625" style="2" customWidth="1"/>
    <col min="2083" max="2083" width="13.33203125" style="2" bestFit="1" customWidth="1"/>
    <col min="2084" max="2084" width="16.88671875" style="2" bestFit="1" customWidth="1"/>
    <col min="2085" max="2087" width="14.44140625" style="2" customWidth="1"/>
    <col min="2088" max="2088" width="9.88671875" style="2" customWidth="1"/>
    <col min="2089" max="2091" width="17" style="2" customWidth="1"/>
    <col min="2092" max="2092" width="9.109375" style="2"/>
    <col min="2093" max="2093" width="17" style="2" customWidth="1"/>
    <col min="2094" max="2094" width="10.44140625" style="2" customWidth="1"/>
    <col min="2095" max="2268" width="9.109375" style="2"/>
    <col min="2269" max="2269" width="18.44140625" style="2" customWidth="1"/>
    <col min="2270" max="2270" width="11.88671875" style="2" customWidth="1"/>
    <col min="2271" max="2272" width="10.109375" style="2" customWidth="1"/>
    <col min="2273" max="2274" width="13.6640625" style="2" customWidth="1"/>
    <col min="2275" max="2277" width="23.77734375" style="2" customWidth="1"/>
    <col min="2278" max="2280" width="9.109375" style="2"/>
    <col min="2281" max="2281" width="21" style="2" customWidth="1"/>
    <col min="2282" max="2282" width="12.33203125" style="2" customWidth="1"/>
    <col min="2283" max="2283" width="14" style="2" customWidth="1"/>
    <col min="2284" max="2284" width="10.109375" style="2" bestFit="1" customWidth="1"/>
    <col min="2285" max="2285" width="10.109375" style="2" customWidth="1"/>
    <col min="2286" max="2286" width="27.21875" style="2" customWidth="1"/>
    <col min="2287" max="2287" width="24.5546875" style="2" customWidth="1"/>
    <col min="2288" max="2288" width="16.21875" style="2" customWidth="1"/>
    <col min="2289" max="2289" width="16.33203125" style="2" customWidth="1"/>
    <col min="2290" max="2290" width="18.5546875" style="2" customWidth="1"/>
    <col min="2291" max="2291" width="20.33203125" style="2" customWidth="1"/>
    <col min="2292" max="2293" width="22.88671875" style="2" customWidth="1"/>
    <col min="2294" max="2297" width="18" style="2" customWidth="1"/>
    <col min="2298" max="2298" width="17.21875" style="2" customWidth="1"/>
    <col min="2299" max="2299" width="16.6640625" style="2" customWidth="1"/>
    <col min="2300" max="2300" width="17.44140625" style="2" customWidth="1"/>
    <col min="2301" max="2301" width="24.21875" style="2" customWidth="1"/>
    <col min="2302" max="2302" width="20.44140625" style="2" customWidth="1"/>
    <col min="2303" max="2303" width="41.5546875" style="2" customWidth="1"/>
    <col min="2304" max="2305" width="32.44140625" style="2" customWidth="1"/>
    <col min="2306" max="2310" width="41.5546875" style="2" customWidth="1"/>
    <col min="2311" max="2311" width="30.44140625" style="2" customWidth="1"/>
    <col min="2312" max="2312" width="22.33203125" style="2" customWidth="1"/>
    <col min="2313" max="2313" width="9.109375" style="2"/>
    <col min="2314" max="2314" width="22.88671875" style="2" customWidth="1"/>
    <col min="2315" max="2315" width="23.77734375" style="2" customWidth="1"/>
    <col min="2316" max="2316" width="74.44140625" style="2" customWidth="1"/>
    <col min="2317" max="2318" width="9.109375" style="2"/>
    <col min="2319" max="2319" width="14.109375" style="2" customWidth="1"/>
    <col min="2320" max="2320" width="12.44140625" style="2" customWidth="1"/>
    <col min="2321" max="2321" width="13.44140625" style="2" customWidth="1"/>
    <col min="2322" max="2322" width="11.109375" style="2" customWidth="1"/>
    <col min="2323" max="2326" width="17.33203125" style="2" customWidth="1"/>
    <col min="2327" max="2330" width="9.109375" style="2"/>
    <col min="2331" max="2332" width="22.33203125" style="2" customWidth="1"/>
    <col min="2333" max="2333" width="11.88671875" style="2" customWidth="1"/>
    <col min="2334" max="2334" width="10.109375" style="2" customWidth="1"/>
    <col min="2335" max="2336" width="9.109375" style="2"/>
    <col min="2337" max="2337" width="13.33203125" style="2" customWidth="1"/>
    <col min="2338" max="2338" width="11.44140625" style="2" customWidth="1"/>
    <col min="2339" max="2339" width="13.33203125" style="2" bestFit="1" customWidth="1"/>
    <col min="2340" max="2340" width="16.88671875" style="2" bestFit="1" customWidth="1"/>
    <col min="2341" max="2343" width="14.44140625" style="2" customWidth="1"/>
    <col min="2344" max="2344" width="9.88671875" style="2" customWidth="1"/>
    <col min="2345" max="2347" width="17" style="2" customWidth="1"/>
    <col min="2348" max="2348" width="9.109375" style="2"/>
    <col min="2349" max="2349" width="17" style="2" customWidth="1"/>
    <col min="2350" max="2350" width="10.44140625" style="2" customWidth="1"/>
    <col min="2351" max="2524" width="9.109375" style="2"/>
    <col min="2525" max="2525" width="18.44140625" style="2" customWidth="1"/>
    <col min="2526" max="2526" width="11.88671875" style="2" customWidth="1"/>
    <col min="2527" max="2528" width="10.109375" style="2" customWidth="1"/>
    <col min="2529" max="2530" width="13.6640625" style="2" customWidth="1"/>
    <col min="2531" max="2533" width="23.77734375" style="2" customWidth="1"/>
    <col min="2534" max="2536" width="9.109375" style="2"/>
    <col min="2537" max="2537" width="21" style="2" customWidth="1"/>
    <col min="2538" max="2538" width="12.33203125" style="2" customWidth="1"/>
    <col min="2539" max="2539" width="14" style="2" customWidth="1"/>
    <col min="2540" max="2540" width="10.109375" style="2" bestFit="1" customWidth="1"/>
    <col min="2541" max="2541" width="10.109375" style="2" customWidth="1"/>
    <col min="2542" max="2542" width="27.21875" style="2" customWidth="1"/>
    <col min="2543" max="2543" width="24.5546875" style="2" customWidth="1"/>
    <col min="2544" max="2544" width="16.21875" style="2" customWidth="1"/>
    <col min="2545" max="2545" width="16.33203125" style="2" customWidth="1"/>
    <col min="2546" max="2546" width="18.5546875" style="2" customWidth="1"/>
    <col min="2547" max="2547" width="20.33203125" style="2" customWidth="1"/>
    <col min="2548" max="2549" width="22.88671875" style="2" customWidth="1"/>
    <col min="2550" max="2553" width="18" style="2" customWidth="1"/>
    <col min="2554" max="2554" width="17.21875" style="2" customWidth="1"/>
    <col min="2555" max="2555" width="16.6640625" style="2" customWidth="1"/>
    <col min="2556" max="2556" width="17.44140625" style="2" customWidth="1"/>
    <col min="2557" max="2557" width="24.21875" style="2" customWidth="1"/>
    <col min="2558" max="2558" width="20.44140625" style="2" customWidth="1"/>
    <col min="2559" max="2559" width="41.5546875" style="2" customWidth="1"/>
    <col min="2560" max="2561" width="32.44140625" style="2" customWidth="1"/>
    <col min="2562" max="2566" width="41.5546875" style="2" customWidth="1"/>
    <col min="2567" max="2567" width="30.44140625" style="2" customWidth="1"/>
    <col min="2568" max="2568" width="22.33203125" style="2" customWidth="1"/>
    <col min="2569" max="2569" width="9.109375" style="2"/>
    <col min="2570" max="2570" width="22.88671875" style="2" customWidth="1"/>
    <col min="2571" max="2571" width="23.77734375" style="2" customWidth="1"/>
    <col min="2572" max="2572" width="74.44140625" style="2" customWidth="1"/>
    <col min="2573" max="2574" width="9.109375" style="2"/>
    <col min="2575" max="2575" width="14.109375" style="2" customWidth="1"/>
    <col min="2576" max="2576" width="12.44140625" style="2" customWidth="1"/>
    <col min="2577" max="2577" width="13.44140625" style="2" customWidth="1"/>
    <col min="2578" max="2578" width="11.109375" style="2" customWidth="1"/>
    <col min="2579" max="2582" width="17.33203125" style="2" customWidth="1"/>
    <col min="2583" max="2586" width="9.109375" style="2"/>
    <col min="2587" max="2588" width="22.33203125" style="2" customWidth="1"/>
    <col min="2589" max="2589" width="11.88671875" style="2" customWidth="1"/>
    <col min="2590" max="2590" width="10.109375" style="2" customWidth="1"/>
    <col min="2591" max="2592" width="9.109375" style="2"/>
    <col min="2593" max="2593" width="13.33203125" style="2" customWidth="1"/>
    <col min="2594" max="2594" width="11.44140625" style="2" customWidth="1"/>
    <col min="2595" max="2595" width="13.33203125" style="2" bestFit="1" customWidth="1"/>
    <col min="2596" max="2596" width="16.88671875" style="2" bestFit="1" customWidth="1"/>
    <col min="2597" max="2599" width="14.44140625" style="2" customWidth="1"/>
    <col min="2600" max="2600" width="9.88671875" style="2" customWidth="1"/>
    <col min="2601" max="2603" width="17" style="2" customWidth="1"/>
    <col min="2604" max="2604" width="9.109375" style="2"/>
    <col min="2605" max="2605" width="17" style="2" customWidth="1"/>
    <col min="2606" max="2606" width="10.44140625" style="2" customWidth="1"/>
    <col min="2607" max="2780" width="9.109375" style="2"/>
    <col min="2781" max="2781" width="18.44140625" style="2" customWidth="1"/>
    <col min="2782" max="2782" width="11.88671875" style="2" customWidth="1"/>
    <col min="2783" max="2784" width="10.109375" style="2" customWidth="1"/>
    <col min="2785" max="2786" width="13.6640625" style="2" customWidth="1"/>
    <col min="2787" max="2789" width="23.77734375" style="2" customWidth="1"/>
    <col min="2790" max="2792" width="9.109375" style="2"/>
    <col min="2793" max="2793" width="21" style="2" customWidth="1"/>
    <col min="2794" max="2794" width="12.33203125" style="2" customWidth="1"/>
    <col min="2795" max="2795" width="14" style="2" customWidth="1"/>
    <col min="2796" max="2796" width="10.109375" style="2" bestFit="1" customWidth="1"/>
    <col min="2797" max="2797" width="10.109375" style="2" customWidth="1"/>
    <col min="2798" max="2798" width="27.21875" style="2" customWidth="1"/>
    <col min="2799" max="2799" width="24.5546875" style="2" customWidth="1"/>
    <col min="2800" max="2800" width="16.21875" style="2" customWidth="1"/>
    <col min="2801" max="2801" width="16.33203125" style="2" customWidth="1"/>
    <col min="2802" max="2802" width="18.5546875" style="2" customWidth="1"/>
    <col min="2803" max="2803" width="20.33203125" style="2" customWidth="1"/>
    <col min="2804" max="2805" width="22.88671875" style="2" customWidth="1"/>
    <col min="2806" max="2809" width="18" style="2" customWidth="1"/>
    <col min="2810" max="2810" width="17.21875" style="2" customWidth="1"/>
    <col min="2811" max="2811" width="16.6640625" style="2" customWidth="1"/>
    <col min="2812" max="2812" width="17.44140625" style="2" customWidth="1"/>
    <col min="2813" max="2813" width="24.21875" style="2" customWidth="1"/>
    <col min="2814" max="2814" width="20.44140625" style="2" customWidth="1"/>
    <col min="2815" max="2815" width="41.5546875" style="2" customWidth="1"/>
    <col min="2816" max="2817" width="32.44140625" style="2" customWidth="1"/>
    <col min="2818" max="2822" width="41.5546875" style="2" customWidth="1"/>
    <col min="2823" max="2823" width="30.44140625" style="2" customWidth="1"/>
    <col min="2824" max="2824" width="22.33203125" style="2" customWidth="1"/>
    <col min="2825" max="2825" width="9.109375" style="2"/>
    <col min="2826" max="2826" width="22.88671875" style="2" customWidth="1"/>
    <col min="2827" max="2827" width="23.77734375" style="2" customWidth="1"/>
    <col min="2828" max="2828" width="74.44140625" style="2" customWidth="1"/>
    <col min="2829" max="2830" width="9.109375" style="2"/>
    <col min="2831" max="2831" width="14.109375" style="2" customWidth="1"/>
    <col min="2832" max="2832" width="12.44140625" style="2" customWidth="1"/>
    <col min="2833" max="2833" width="13.44140625" style="2" customWidth="1"/>
    <col min="2834" max="2834" width="11.109375" style="2" customWidth="1"/>
    <col min="2835" max="2838" width="17.33203125" style="2" customWidth="1"/>
    <col min="2839" max="2842" width="9.109375" style="2"/>
    <col min="2843" max="2844" width="22.33203125" style="2" customWidth="1"/>
    <col min="2845" max="2845" width="11.88671875" style="2" customWidth="1"/>
    <col min="2846" max="2846" width="10.109375" style="2" customWidth="1"/>
    <col min="2847" max="2848" width="9.109375" style="2"/>
    <col min="2849" max="2849" width="13.33203125" style="2" customWidth="1"/>
    <col min="2850" max="2850" width="11.44140625" style="2" customWidth="1"/>
    <col min="2851" max="2851" width="13.33203125" style="2" bestFit="1" customWidth="1"/>
    <col min="2852" max="2852" width="16.88671875" style="2" bestFit="1" customWidth="1"/>
    <col min="2853" max="2855" width="14.44140625" style="2" customWidth="1"/>
    <col min="2856" max="2856" width="9.88671875" style="2" customWidth="1"/>
    <col min="2857" max="2859" width="17" style="2" customWidth="1"/>
    <col min="2860" max="2860" width="9.109375" style="2"/>
    <col min="2861" max="2861" width="17" style="2" customWidth="1"/>
    <col min="2862" max="2862" width="10.44140625" style="2" customWidth="1"/>
    <col min="2863" max="3036" width="9.109375" style="2"/>
    <col min="3037" max="3037" width="18.44140625" style="2" customWidth="1"/>
    <col min="3038" max="3038" width="11.88671875" style="2" customWidth="1"/>
    <col min="3039" max="3040" width="10.109375" style="2" customWidth="1"/>
    <col min="3041" max="3042" width="13.6640625" style="2" customWidth="1"/>
    <col min="3043" max="3045" width="23.77734375" style="2" customWidth="1"/>
    <col min="3046" max="3048" width="9.109375" style="2"/>
    <col min="3049" max="3049" width="21" style="2" customWidth="1"/>
    <col min="3050" max="3050" width="12.33203125" style="2" customWidth="1"/>
    <col min="3051" max="3051" width="14" style="2" customWidth="1"/>
    <col min="3052" max="3052" width="10.109375" style="2" bestFit="1" customWidth="1"/>
    <col min="3053" max="3053" width="10.109375" style="2" customWidth="1"/>
    <col min="3054" max="3054" width="27.21875" style="2" customWidth="1"/>
    <col min="3055" max="3055" width="24.5546875" style="2" customWidth="1"/>
    <col min="3056" max="3056" width="16.21875" style="2" customWidth="1"/>
    <col min="3057" max="3057" width="16.33203125" style="2" customWidth="1"/>
    <col min="3058" max="3058" width="18.5546875" style="2" customWidth="1"/>
    <col min="3059" max="3059" width="20.33203125" style="2" customWidth="1"/>
    <col min="3060" max="3061" width="22.88671875" style="2" customWidth="1"/>
    <col min="3062" max="3065" width="18" style="2" customWidth="1"/>
    <col min="3066" max="3066" width="17.21875" style="2" customWidth="1"/>
    <col min="3067" max="3067" width="16.6640625" style="2" customWidth="1"/>
    <col min="3068" max="3068" width="17.44140625" style="2" customWidth="1"/>
    <col min="3069" max="3069" width="24.21875" style="2" customWidth="1"/>
    <col min="3070" max="3070" width="20.44140625" style="2" customWidth="1"/>
    <col min="3071" max="3071" width="41.5546875" style="2" customWidth="1"/>
    <col min="3072" max="3073" width="32.44140625" style="2" customWidth="1"/>
    <col min="3074" max="3078" width="41.5546875" style="2" customWidth="1"/>
    <col min="3079" max="3079" width="30.44140625" style="2" customWidth="1"/>
    <col min="3080" max="3080" width="22.33203125" style="2" customWidth="1"/>
    <col min="3081" max="3081" width="9.109375" style="2"/>
    <col min="3082" max="3082" width="22.88671875" style="2" customWidth="1"/>
    <col min="3083" max="3083" width="23.77734375" style="2" customWidth="1"/>
    <col min="3084" max="3084" width="74.44140625" style="2" customWidth="1"/>
    <col min="3085" max="3086" width="9.109375" style="2"/>
    <col min="3087" max="3087" width="14.109375" style="2" customWidth="1"/>
    <col min="3088" max="3088" width="12.44140625" style="2" customWidth="1"/>
    <col min="3089" max="3089" width="13.44140625" style="2" customWidth="1"/>
    <col min="3090" max="3090" width="11.109375" style="2" customWidth="1"/>
    <col min="3091" max="3094" width="17.33203125" style="2" customWidth="1"/>
    <col min="3095" max="3098" width="9.109375" style="2"/>
    <col min="3099" max="3100" width="22.33203125" style="2" customWidth="1"/>
    <col min="3101" max="3101" width="11.88671875" style="2" customWidth="1"/>
    <col min="3102" max="3102" width="10.109375" style="2" customWidth="1"/>
    <col min="3103" max="3104" width="9.109375" style="2"/>
    <col min="3105" max="3105" width="13.33203125" style="2" customWidth="1"/>
    <col min="3106" max="3106" width="11.44140625" style="2" customWidth="1"/>
    <col min="3107" max="3107" width="13.33203125" style="2" bestFit="1" customWidth="1"/>
    <col min="3108" max="3108" width="16.88671875" style="2" bestFit="1" customWidth="1"/>
    <col min="3109" max="3111" width="14.44140625" style="2" customWidth="1"/>
    <col min="3112" max="3112" width="9.88671875" style="2" customWidth="1"/>
    <col min="3113" max="3115" width="17" style="2" customWidth="1"/>
    <col min="3116" max="3116" width="9.109375" style="2"/>
    <col min="3117" max="3117" width="17" style="2" customWidth="1"/>
    <col min="3118" max="3118" width="10.44140625" style="2" customWidth="1"/>
    <col min="3119" max="3292" width="9.109375" style="2"/>
    <col min="3293" max="3293" width="18.44140625" style="2" customWidth="1"/>
    <col min="3294" max="3294" width="11.88671875" style="2" customWidth="1"/>
    <col min="3295" max="3296" width="10.109375" style="2" customWidth="1"/>
    <col min="3297" max="3298" width="13.6640625" style="2" customWidth="1"/>
    <col min="3299" max="3301" width="23.77734375" style="2" customWidth="1"/>
    <col min="3302" max="3304" width="9.109375" style="2"/>
    <col min="3305" max="3305" width="21" style="2" customWidth="1"/>
    <col min="3306" max="3306" width="12.33203125" style="2" customWidth="1"/>
    <col min="3307" max="3307" width="14" style="2" customWidth="1"/>
    <col min="3308" max="3308" width="10.109375" style="2" bestFit="1" customWidth="1"/>
    <col min="3309" max="3309" width="10.109375" style="2" customWidth="1"/>
    <col min="3310" max="3310" width="27.21875" style="2" customWidth="1"/>
    <col min="3311" max="3311" width="24.5546875" style="2" customWidth="1"/>
    <col min="3312" max="3312" width="16.21875" style="2" customWidth="1"/>
    <col min="3313" max="3313" width="16.33203125" style="2" customWidth="1"/>
    <col min="3314" max="3314" width="18.5546875" style="2" customWidth="1"/>
    <col min="3315" max="3315" width="20.33203125" style="2" customWidth="1"/>
    <col min="3316" max="3317" width="22.88671875" style="2" customWidth="1"/>
    <col min="3318" max="3321" width="18" style="2" customWidth="1"/>
    <col min="3322" max="3322" width="17.21875" style="2" customWidth="1"/>
    <col min="3323" max="3323" width="16.6640625" style="2" customWidth="1"/>
    <col min="3324" max="3324" width="17.44140625" style="2" customWidth="1"/>
    <col min="3325" max="3325" width="24.21875" style="2" customWidth="1"/>
    <col min="3326" max="3326" width="20.44140625" style="2" customWidth="1"/>
    <col min="3327" max="3327" width="41.5546875" style="2" customWidth="1"/>
    <col min="3328" max="3329" width="32.44140625" style="2" customWidth="1"/>
    <col min="3330" max="3334" width="41.5546875" style="2" customWidth="1"/>
    <col min="3335" max="3335" width="30.44140625" style="2" customWidth="1"/>
    <col min="3336" max="3336" width="22.33203125" style="2" customWidth="1"/>
    <col min="3337" max="3337" width="9.109375" style="2"/>
    <col min="3338" max="3338" width="22.88671875" style="2" customWidth="1"/>
    <col min="3339" max="3339" width="23.77734375" style="2" customWidth="1"/>
    <col min="3340" max="3340" width="74.44140625" style="2" customWidth="1"/>
    <col min="3341" max="3342" width="9.109375" style="2"/>
    <col min="3343" max="3343" width="14.109375" style="2" customWidth="1"/>
    <col min="3344" max="3344" width="12.44140625" style="2" customWidth="1"/>
    <col min="3345" max="3345" width="13.44140625" style="2" customWidth="1"/>
    <col min="3346" max="3346" width="11.109375" style="2" customWidth="1"/>
    <col min="3347" max="3350" width="17.33203125" style="2" customWidth="1"/>
    <col min="3351" max="3354" width="9.109375" style="2"/>
    <col min="3355" max="3356" width="22.33203125" style="2" customWidth="1"/>
    <col min="3357" max="3357" width="11.88671875" style="2" customWidth="1"/>
    <col min="3358" max="3358" width="10.109375" style="2" customWidth="1"/>
    <col min="3359" max="3360" width="9.109375" style="2"/>
    <col min="3361" max="3361" width="13.33203125" style="2" customWidth="1"/>
    <col min="3362" max="3362" width="11.44140625" style="2" customWidth="1"/>
    <col min="3363" max="3363" width="13.33203125" style="2" bestFit="1" customWidth="1"/>
    <col min="3364" max="3364" width="16.88671875" style="2" bestFit="1" customWidth="1"/>
    <col min="3365" max="3367" width="14.44140625" style="2" customWidth="1"/>
    <col min="3368" max="3368" width="9.88671875" style="2" customWidth="1"/>
    <col min="3369" max="3371" width="17" style="2" customWidth="1"/>
    <col min="3372" max="3372" width="9.109375" style="2"/>
    <col min="3373" max="3373" width="17" style="2" customWidth="1"/>
    <col min="3374" max="3374" width="10.44140625" style="2" customWidth="1"/>
    <col min="3375" max="3548" width="9.109375" style="2"/>
    <col min="3549" max="3549" width="18.44140625" style="2" customWidth="1"/>
    <col min="3550" max="3550" width="11.88671875" style="2" customWidth="1"/>
    <col min="3551" max="3552" width="10.109375" style="2" customWidth="1"/>
    <col min="3553" max="3554" width="13.6640625" style="2" customWidth="1"/>
    <col min="3555" max="3557" width="23.77734375" style="2" customWidth="1"/>
    <col min="3558" max="3560" width="9.109375" style="2"/>
    <col min="3561" max="3561" width="21" style="2" customWidth="1"/>
    <col min="3562" max="3562" width="12.33203125" style="2" customWidth="1"/>
    <col min="3563" max="3563" width="14" style="2" customWidth="1"/>
    <col min="3564" max="3564" width="10.109375" style="2" bestFit="1" customWidth="1"/>
    <col min="3565" max="3565" width="10.109375" style="2" customWidth="1"/>
    <col min="3566" max="3566" width="27.21875" style="2" customWidth="1"/>
    <col min="3567" max="3567" width="24.5546875" style="2" customWidth="1"/>
    <col min="3568" max="3568" width="16.21875" style="2" customWidth="1"/>
    <col min="3569" max="3569" width="16.33203125" style="2" customWidth="1"/>
    <col min="3570" max="3570" width="18.5546875" style="2" customWidth="1"/>
    <col min="3571" max="3571" width="20.33203125" style="2" customWidth="1"/>
    <col min="3572" max="3573" width="22.88671875" style="2" customWidth="1"/>
    <col min="3574" max="3577" width="18" style="2" customWidth="1"/>
    <col min="3578" max="3578" width="17.21875" style="2" customWidth="1"/>
    <col min="3579" max="3579" width="16.6640625" style="2" customWidth="1"/>
    <col min="3580" max="3580" width="17.44140625" style="2" customWidth="1"/>
    <col min="3581" max="3581" width="24.21875" style="2" customWidth="1"/>
    <col min="3582" max="3582" width="20.44140625" style="2" customWidth="1"/>
    <col min="3583" max="3583" width="41.5546875" style="2" customWidth="1"/>
    <col min="3584" max="3585" width="32.44140625" style="2" customWidth="1"/>
    <col min="3586" max="3590" width="41.5546875" style="2" customWidth="1"/>
    <col min="3591" max="3591" width="30.44140625" style="2" customWidth="1"/>
    <col min="3592" max="3592" width="22.33203125" style="2" customWidth="1"/>
    <col min="3593" max="3593" width="9.109375" style="2"/>
    <col min="3594" max="3594" width="22.88671875" style="2" customWidth="1"/>
    <col min="3595" max="3595" width="23.77734375" style="2" customWidth="1"/>
    <col min="3596" max="3596" width="74.44140625" style="2" customWidth="1"/>
    <col min="3597" max="3598" width="9.109375" style="2"/>
    <col min="3599" max="3599" width="14.109375" style="2" customWidth="1"/>
    <col min="3600" max="3600" width="12.44140625" style="2" customWidth="1"/>
    <col min="3601" max="3601" width="13.44140625" style="2" customWidth="1"/>
    <col min="3602" max="3602" width="11.109375" style="2" customWidth="1"/>
    <col min="3603" max="3606" width="17.33203125" style="2" customWidth="1"/>
    <col min="3607" max="3610" width="9.109375" style="2"/>
    <col min="3611" max="3612" width="22.33203125" style="2" customWidth="1"/>
    <col min="3613" max="3613" width="11.88671875" style="2" customWidth="1"/>
    <col min="3614" max="3614" width="10.109375" style="2" customWidth="1"/>
    <col min="3615" max="3616" width="9.109375" style="2"/>
    <col min="3617" max="3617" width="13.33203125" style="2" customWidth="1"/>
    <col min="3618" max="3618" width="11.44140625" style="2" customWidth="1"/>
    <col min="3619" max="3619" width="13.33203125" style="2" bestFit="1" customWidth="1"/>
    <col min="3620" max="3620" width="16.88671875" style="2" bestFit="1" customWidth="1"/>
    <col min="3621" max="3623" width="14.44140625" style="2" customWidth="1"/>
    <col min="3624" max="3624" width="9.88671875" style="2" customWidth="1"/>
    <col min="3625" max="3627" width="17" style="2" customWidth="1"/>
    <col min="3628" max="3628" width="9.109375" style="2"/>
    <col min="3629" max="3629" width="17" style="2" customWidth="1"/>
    <col min="3630" max="3630" width="10.44140625" style="2" customWidth="1"/>
    <col min="3631" max="3804" width="9.109375" style="2"/>
    <col min="3805" max="3805" width="18.44140625" style="2" customWidth="1"/>
    <col min="3806" max="3806" width="11.88671875" style="2" customWidth="1"/>
    <col min="3807" max="3808" width="10.109375" style="2" customWidth="1"/>
    <col min="3809" max="3810" width="13.6640625" style="2" customWidth="1"/>
    <col min="3811" max="3813" width="23.77734375" style="2" customWidth="1"/>
    <col min="3814" max="3816" width="9.109375" style="2"/>
    <col min="3817" max="3817" width="21" style="2" customWidth="1"/>
    <col min="3818" max="3818" width="12.33203125" style="2" customWidth="1"/>
    <col min="3819" max="3819" width="14" style="2" customWidth="1"/>
    <col min="3820" max="3820" width="10.109375" style="2" bestFit="1" customWidth="1"/>
    <col min="3821" max="3821" width="10.109375" style="2" customWidth="1"/>
    <col min="3822" max="3822" width="27.21875" style="2" customWidth="1"/>
    <col min="3823" max="3823" width="24.5546875" style="2" customWidth="1"/>
    <col min="3824" max="3824" width="16.21875" style="2" customWidth="1"/>
    <col min="3825" max="3825" width="16.33203125" style="2" customWidth="1"/>
    <col min="3826" max="3826" width="18.5546875" style="2" customWidth="1"/>
    <col min="3827" max="3827" width="20.33203125" style="2" customWidth="1"/>
    <col min="3828" max="3829" width="22.88671875" style="2" customWidth="1"/>
    <col min="3830" max="3833" width="18" style="2" customWidth="1"/>
    <col min="3834" max="3834" width="17.21875" style="2" customWidth="1"/>
    <col min="3835" max="3835" width="16.6640625" style="2" customWidth="1"/>
    <col min="3836" max="3836" width="17.44140625" style="2" customWidth="1"/>
    <col min="3837" max="3837" width="24.21875" style="2" customWidth="1"/>
    <col min="3838" max="3838" width="20.44140625" style="2" customWidth="1"/>
    <col min="3839" max="3839" width="41.5546875" style="2" customWidth="1"/>
    <col min="3840" max="3841" width="32.44140625" style="2" customWidth="1"/>
    <col min="3842" max="3846" width="41.5546875" style="2" customWidth="1"/>
    <col min="3847" max="3847" width="30.44140625" style="2" customWidth="1"/>
    <col min="3848" max="3848" width="22.33203125" style="2" customWidth="1"/>
    <col min="3849" max="3849" width="9.109375" style="2"/>
    <col min="3850" max="3850" width="22.88671875" style="2" customWidth="1"/>
    <col min="3851" max="3851" width="23.77734375" style="2" customWidth="1"/>
    <col min="3852" max="3852" width="74.44140625" style="2" customWidth="1"/>
    <col min="3853" max="3854" width="9.109375" style="2"/>
    <col min="3855" max="3855" width="14.109375" style="2" customWidth="1"/>
    <col min="3856" max="3856" width="12.44140625" style="2" customWidth="1"/>
    <col min="3857" max="3857" width="13.44140625" style="2" customWidth="1"/>
    <col min="3858" max="3858" width="11.109375" style="2" customWidth="1"/>
    <col min="3859" max="3862" width="17.33203125" style="2" customWidth="1"/>
    <col min="3863" max="3866" width="9.109375" style="2"/>
    <col min="3867" max="3868" width="22.33203125" style="2" customWidth="1"/>
    <col min="3869" max="3869" width="11.88671875" style="2" customWidth="1"/>
    <col min="3870" max="3870" width="10.109375" style="2" customWidth="1"/>
    <col min="3871" max="3872" width="9.109375" style="2"/>
    <col min="3873" max="3873" width="13.33203125" style="2" customWidth="1"/>
    <col min="3874" max="3874" width="11.44140625" style="2" customWidth="1"/>
    <col min="3875" max="3875" width="13.33203125" style="2" bestFit="1" customWidth="1"/>
    <col min="3876" max="3876" width="16.88671875" style="2" bestFit="1" customWidth="1"/>
    <col min="3877" max="3879" width="14.44140625" style="2" customWidth="1"/>
    <col min="3880" max="3880" width="9.88671875" style="2" customWidth="1"/>
    <col min="3881" max="3883" width="17" style="2" customWidth="1"/>
    <col min="3884" max="3884" width="9.109375" style="2"/>
    <col min="3885" max="3885" width="17" style="2" customWidth="1"/>
    <col min="3886" max="3886" width="10.44140625" style="2" customWidth="1"/>
    <col min="3887" max="4060" width="9.109375" style="2"/>
    <col min="4061" max="4061" width="18.44140625" style="2" customWidth="1"/>
    <col min="4062" max="4062" width="11.88671875" style="2" customWidth="1"/>
    <col min="4063" max="4064" width="10.109375" style="2" customWidth="1"/>
    <col min="4065" max="4066" width="13.6640625" style="2" customWidth="1"/>
    <col min="4067" max="4069" width="23.77734375" style="2" customWidth="1"/>
    <col min="4070" max="4072" width="9.109375" style="2"/>
    <col min="4073" max="4073" width="21" style="2" customWidth="1"/>
    <col min="4074" max="4074" width="12.33203125" style="2" customWidth="1"/>
    <col min="4075" max="4075" width="14" style="2" customWidth="1"/>
    <col min="4076" max="4076" width="10.109375" style="2" bestFit="1" customWidth="1"/>
    <col min="4077" max="4077" width="10.109375" style="2" customWidth="1"/>
    <col min="4078" max="4078" width="27.21875" style="2" customWidth="1"/>
    <col min="4079" max="4079" width="24.5546875" style="2" customWidth="1"/>
    <col min="4080" max="4080" width="16.21875" style="2" customWidth="1"/>
    <col min="4081" max="4081" width="16.33203125" style="2" customWidth="1"/>
    <col min="4082" max="4082" width="18.5546875" style="2" customWidth="1"/>
    <col min="4083" max="4083" width="20.33203125" style="2" customWidth="1"/>
    <col min="4084" max="4085" width="22.88671875" style="2" customWidth="1"/>
    <col min="4086" max="4089" width="18" style="2" customWidth="1"/>
    <col min="4090" max="4090" width="17.21875" style="2" customWidth="1"/>
    <col min="4091" max="4091" width="16.6640625" style="2" customWidth="1"/>
    <col min="4092" max="4092" width="17.44140625" style="2" customWidth="1"/>
    <col min="4093" max="4093" width="24.21875" style="2" customWidth="1"/>
    <col min="4094" max="4094" width="20.44140625" style="2" customWidth="1"/>
    <col min="4095" max="4095" width="41.5546875" style="2" customWidth="1"/>
    <col min="4096" max="4097" width="32.44140625" style="2" customWidth="1"/>
    <col min="4098" max="4102" width="41.5546875" style="2" customWidth="1"/>
    <col min="4103" max="4103" width="30.44140625" style="2" customWidth="1"/>
    <col min="4104" max="4104" width="22.33203125" style="2" customWidth="1"/>
    <col min="4105" max="4105" width="9.109375" style="2"/>
    <col min="4106" max="4106" width="22.88671875" style="2" customWidth="1"/>
    <col min="4107" max="4107" width="23.77734375" style="2" customWidth="1"/>
    <col min="4108" max="4108" width="74.44140625" style="2" customWidth="1"/>
    <col min="4109" max="4110" width="9.109375" style="2"/>
    <col min="4111" max="4111" width="14.109375" style="2" customWidth="1"/>
    <col min="4112" max="4112" width="12.44140625" style="2" customWidth="1"/>
    <col min="4113" max="4113" width="13.44140625" style="2" customWidth="1"/>
    <col min="4114" max="4114" width="11.109375" style="2" customWidth="1"/>
    <col min="4115" max="4118" width="17.33203125" style="2" customWidth="1"/>
    <col min="4119" max="4122" width="9.109375" style="2"/>
    <col min="4123" max="4124" width="22.33203125" style="2" customWidth="1"/>
    <col min="4125" max="4125" width="11.88671875" style="2" customWidth="1"/>
    <col min="4126" max="4126" width="10.109375" style="2" customWidth="1"/>
    <col min="4127" max="4128" width="9.109375" style="2"/>
    <col min="4129" max="4129" width="13.33203125" style="2" customWidth="1"/>
    <col min="4130" max="4130" width="11.44140625" style="2" customWidth="1"/>
    <col min="4131" max="4131" width="13.33203125" style="2" bestFit="1" customWidth="1"/>
    <col min="4132" max="4132" width="16.88671875" style="2" bestFit="1" customWidth="1"/>
    <col min="4133" max="4135" width="14.44140625" style="2" customWidth="1"/>
    <col min="4136" max="4136" width="9.88671875" style="2" customWidth="1"/>
    <col min="4137" max="4139" width="17" style="2" customWidth="1"/>
    <col min="4140" max="4140" width="9.109375" style="2"/>
    <col min="4141" max="4141" width="17" style="2" customWidth="1"/>
    <col min="4142" max="4142" width="10.44140625" style="2" customWidth="1"/>
    <col min="4143" max="4316" width="9.109375" style="2"/>
    <col min="4317" max="4317" width="18.44140625" style="2" customWidth="1"/>
    <col min="4318" max="4318" width="11.88671875" style="2" customWidth="1"/>
    <col min="4319" max="4320" width="10.109375" style="2" customWidth="1"/>
    <col min="4321" max="4322" width="13.6640625" style="2" customWidth="1"/>
    <col min="4323" max="4325" width="23.77734375" style="2" customWidth="1"/>
    <col min="4326" max="4328" width="9.109375" style="2"/>
    <col min="4329" max="4329" width="21" style="2" customWidth="1"/>
    <col min="4330" max="4330" width="12.33203125" style="2" customWidth="1"/>
    <col min="4331" max="4331" width="14" style="2" customWidth="1"/>
    <col min="4332" max="4332" width="10.109375" style="2" bestFit="1" customWidth="1"/>
    <col min="4333" max="4333" width="10.109375" style="2" customWidth="1"/>
    <col min="4334" max="4334" width="27.21875" style="2" customWidth="1"/>
    <col min="4335" max="4335" width="24.5546875" style="2" customWidth="1"/>
    <col min="4336" max="4336" width="16.21875" style="2" customWidth="1"/>
    <col min="4337" max="4337" width="16.33203125" style="2" customWidth="1"/>
    <col min="4338" max="4338" width="18.5546875" style="2" customWidth="1"/>
    <col min="4339" max="4339" width="20.33203125" style="2" customWidth="1"/>
    <col min="4340" max="4341" width="22.88671875" style="2" customWidth="1"/>
    <col min="4342" max="4345" width="18" style="2" customWidth="1"/>
    <col min="4346" max="4346" width="17.21875" style="2" customWidth="1"/>
    <col min="4347" max="4347" width="16.6640625" style="2" customWidth="1"/>
    <col min="4348" max="4348" width="17.44140625" style="2" customWidth="1"/>
    <col min="4349" max="4349" width="24.21875" style="2" customWidth="1"/>
    <col min="4350" max="4350" width="20.44140625" style="2" customWidth="1"/>
    <col min="4351" max="4351" width="41.5546875" style="2" customWidth="1"/>
    <col min="4352" max="4353" width="32.44140625" style="2" customWidth="1"/>
    <col min="4354" max="4358" width="41.5546875" style="2" customWidth="1"/>
    <col min="4359" max="4359" width="30.44140625" style="2" customWidth="1"/>
    <col min="4360" max="4360" width="22.33203125" style="2" customWidth="1"/>
    <col min="4361" max="4361" width="9.109375" style="2"/>
    <col min="4362" max="4362" width="22.88671875" style="2" customWidth="1"/>
    <col min="4363" max="4363" width="23.77734375" style="2" customWidth="1"/>
    <col min="4364" max="4364" width="74.44140625" style="2" customWidth="1"/>
    <col min="4365" max="4366" width="9.109375" style="2"/>
    <col min="4367" max="4367" width="14.109375" style="2" customWidth="1"/>
    <col min="4368" max="4368" width="12.44140625" style="2" customWidth="1"/>
    <col min="4369" max="4369" width="13.44140625" style="2" customWidth="1"/>
    <col min="4370" max="4370" width="11.109375" style="2" customWidth="1"/>
    <col min="4371" max="4374" width="17.33203125" style="2" customWidth="1"/>
    <col min="4375" max="4378" width="9.109375" style="2"/>
    <col min="4379" max="4380" width="22.33203125" style="2" customWidth="1"/>
    <col min="4381" max="4381" width="11.88671875" style="2" customWidth="1"/>
    <col min="4382" max="4382" width="10.109375" style="2" customWidth="1"/>
    <col min="4383" max="4384" width="9.109375" style="2"/>
    <col min="4385" max="4385" width="13.33203125" style="2" customWidth="1"/>
    <col min="4386" max="4386" width="11.44140625" style="2" customWidth="1"/>
    <col min="4387" max="4387" width="13.33203125" style="2" bestFit="1" customWidth="1"/>
    <col min="4388" max="4388" width="16.88671875" style="2" bestFit="1" customWidth="1"/>
    <col min="4389" max="4391" width="14.44140625" style="2" customWidth="1"/>
    <col min="4392" max="4392" width="9.88671875" style="2" customWidth="1"/>
    <col min="4393" max="4395" width="17" style="2" customWidth="1"/>
    <col min="4396" max="4396" width="9.109375" style="2"/>
    <col min="4397" max="4397" width="17" style="2" customWidth="1"/>
    <col min="4398" max="4398" width="10.44140625" style="2" customWidth="1"/>
    <col min="4399" max="4572" width="9.109375" style="2"/>
    <col min="4573" max="4573" width="18.44140625" style="2" customWidth="1"/>
    <col min="4574" max="4574" width="11.88671875" style="2" customWidth="1"/>
    <col min="4575" max="4576" width="10.109375" style="2" customWidth="1"/>
    <col min="4577" max="4578" width="13.6640625" style="2" customWidth="1"/>
    <col min="4579" max="4581" width="23.77734375" style="2" customWidth="1"/>
    <col min="4582" max="4584" width="9.109375" style="2"/>
    <col min="4585" max="4585" width="21" style="2" customWidth="1"/>
    <col min="4586" max="4586" width="12.33203125" style="2" customWidth="1"/>
    <col min="4587" max="4587" width="14" style="2" customWidth="1"/>
    <col min="4588" max="4588" width="10.109375" style="2" bestFit="1" customWidth="1"/>
    <col min="4589" max="4589" width="10.109375" style="2" customWidth="1"/>
    <col min="4590" max="4590" width="27.21875" style="2" customWidth="1"/>
    <col min="4591" max="4591" width="24.5546875" style="2" customWidth="1"/>
    <col min="4592" max="4592" width="16.21875" style="2" customWidth="1"/>
    <col min="4593" max="4593" width="16.33203125" style="2" customWidth="1"/>
    <col min="4594" max="4594" width="18.5546875" style="2" customWidth="1"/>
    <col min="4595" max="4595" width="20.33203125" style="2" customWidth="1"/>
    <col min="4596" max="4597" width="22.88671875" style="2" customWidth="1"/>
    <col min="4598" max="4601" width="18" style="2" customWidth="1"/>
    <col min="4602" max="4602" width="17.21875" style="2" customWidth="1"/>
    <col min="4603" max="4603" width="16.6640625" style="2" customWidth="1"/>
    <col min="4604" max="4604" width="17.44140625" style="2" customWidth="1"/>
    <col min="4605" max="4605" width="24.21875" style="2" customWidth="1"/>
    <col min="4606" max="4606" width="20.44140625" style="2" customWidth="1"/>
    <col min="4607" max="4607" width="41.5546875" style="2" customWidth="1"/>
    <col min="4608" max="4609" width="32.44140625" style="2" customWidth="1"/>
    <col min="4610" max="4614" width="41.5546875" style="2" customWidth="1"/>
    <col min="4615" max="4615" width="30.44140625" style="2" customWidth="1"/>
    <col min="4616" max="4616" width="22.33203125" style="2" customWidth="1"/>
    <col min="4617" max="4617" width="9.109375" style="2"/>
    <col min="4618" max="4618" width="22.88671875" style="2" customWidth="1"/>
    <col min="4619" max="4619" width="23.77734375" style="2" customWidth="1"/>
    <col min="4620" max="4620" width="74.44140625" style="2" customWidth="1"/>
    <col min="4621" max="4622" width="9.109375" style="2"/>
    <col min="4623" max="4623" width="14.109375" style="2" customWidth="1"/>
    <col min="4624" max="4624" width="12.44140625" style="2" customWidth="1"/>
    <col min="4625" max="4625" width="13.44140625" style="2" customWidth="1"/>
    <col min="4626" max="4626" width="11.109375" style="2" customWidth="1"/>
    <col min="4627" max="4630" width="17.33203125" style="2" customWidth="1"/>
    <col min="4631" max="4634" width="9.109375" style="2"/>
    <col min="4635" max="4636" width="22.33203125" style="2" customWidth="1"/>
    <col min="4637" max="4637" width="11.88671875" style="2" customWidth="1"/>
    <col min="4638" max="4638" width="10.109375" style="2" customWidth="1"/>
    <col min="4639" max="4640" width="9.109375" style="2"/>
    <col min="4641" max="4641" width="13.33203125" style="2" customWidth="1"/>
    <col min="4642" max="4642" width="11.44140625" style="2" customWidth="1"/>
    <col min="4643" max="4643" width="13.33203125" style="2" bestFit="1" customWidth="1"/>
    <col min="4644" max="4644" width="16.88671875" style="2" bestFit="1" customWidth="1"/>
    <col min="4645" max="4647" width="14.44140625" style="2" customWidth="1"/>
    <col min="4648" max="4648" width="9.88671875" style="2" customWidth="1"/>
    <col min="4649" max="4651" width="17" style="2" customWidth="1"/>
    <col min="4652" max="4652" width="9.109375" style="2"/>
    <col min="4653" max="4653" width="17" style="2" customWidth="1"/>
    <col min="4654" max="4654" width="10.44140625" style="2" customWidth="1"/>
    <col min="4655" max="4828" width="9.109375" style="2"/>
    <col min="4829" max="4829" width="18.44140625" style="2" customWidth="1"/>
    <col min="4830" max="4830" width="11.88671875" style="2" customWidth="1"/>
    <col min="4831" max="4832" width="10.109375" style="2" customWidth="1"/>
    <col min="4833" max="4834" width="13.6640625" style="2" customWidth="1"/>
    <col min="4835" max="4837" width="23.77734375" style="2" customWidth="1"/>
    <col min="4838" max="4840" width="9.109375" style="2"/>
    <col min="4841" max="4841" width="21" style="2" customWidth="1"/>
    <col min="4842" max="4842" width="12.33203125" style="2" customWidth="1"/>
    <col min="4843" max="4843" width="14" style="2" customWidth="1"/>
    <col min="4844" max="4844" width="10.109375" style="2" bestFit="1" customWidth="1"/>
    <col min="4845" max="4845" width="10.109375" style="2" customWidth="1"/>
    <col min="4846" max="4846" width="27.21875" style="2" customWidth="1"/>
    <col min="4847" max="4847" width="24.5546875" style="2" customWidth="1"/>
    <col min="4848" max="4848" width="16.21875" style="2" customWidth="1"/>
    <col min="4849" max="4849" width="16.33203125" style="2" customWidth="1"/>
    <col min="4850" max="4850" width="18.5546875" style="2" customWidth="1"/>
    <col min="4851" max="4851" width="20.33203125" style="2" customWidth="1"/>
    <col min="4852" max="4853" width="22.88671875" style="2" customWidth="1"/>
    <col min="4854" max="4857" width="18" style="2" customWidth="1"/>
    <col min="4858" max="4858" width="17.21875" style="2" customWidth="1"/>
    <col min="4859" max="4859" width="16.6640625" style="2" customWidth="1"/>
    <col min="4860" max="4860" width="17.44140625" style="2" customWidth="1"/>
    <col min="4861" max="4861" width="24.21875" style="2" customWidth="1"/>
    <col min="4862" max="4862" width="20.44140625" style="2" customWidth="1"/>
    <col min="4863" max="4863" width="41.5546875" style="2" customWidth="1"/>
    <col min="4864" max="4865" width="32.44140625" style="2" customWidth="1"/>
    <col min="4866" max="4870" width="41.5546875" style="2" customWidth="1"/>
    <col min="4871" max="4871" width="30.44140625" style="2" customWidth="1"/>
    <col min="4872" max="4872" width="22.33203125" style="2" customWidth="1"/>
    <col min="4873" max="4873" width="9.109375" style="2"/>
    <col min="4874" max="4874" width="22.88671875" style="2" customWidth="1"/>
    <col min="4875" max="4875" width="23.77734375" style="2" customWidth="1"/>
    <col min="4876" max="4876" width="74.44140625" style="2" customWidth="1"/>
    <col min="4877" max="4878" width="9.109375" style="2"/>
    <col min="4879" max="4879" width="14.109375" style="2" customWidth="1"/>
    <col min="4880" max="4880" width="12.44140625" style="2" customWidth="1"/>
    <col min="4881" max="4881" width="13.44140625" style="2" customWidth="1"/>
    <col min="4882" max="4882" width="11.109375" style="2" customWidth="1"/>
    <col min="4883" max="4886" width="17.33203125" style="2" customWidth="1"/>
    <col min="4887" max="4890" width="9.109375" style="2"/>
    <col min="4891" max="4892" width="22.33203125" style="2" customWidth="1"/>
    <col min="4893" max="4893" width="11.88671875" style="2" customWidth="1"/>
    <col min="4894" max="4894" width="10.109375" style="2" customWidth="1"/>
    <col min="4895" max="4896" width="9.109375" style="2"/>
    <col min="4897" max="4897" width="13.33203125" style="2" customWidth="1"/>
    <col min="4898" max="4898" width="11.44140625" style="2" customWidth="1"/>
    <col min="4899" max="4899" width="13.33203125" style="2" bestFit="1" customWidth="1"/>
    <col min="4900" max="4900" width="16.88671875" style="2" bestFit="1" customWidth="1"/>
    <col min="4901" max="4903" width="14.44140625" style="2" customWidth="1"/>
    <col min="4904" max="4904" width="9.88671875" style="2" customWidth="1"/>
    <col min="4905" max="4907" width="17" style="2" customWidth="1"/>
    <col min="4908" max="4908" width="9.109375" style="2"/>
    <col min="4909" max="4909" width="17" style="2" customWidth="1"/>
    <col min="4910" max="4910" width="10.44140625" style="2" customWidth="1"/>
    <col min="4911" max="5084" width="9.109375" style="2"/>
    <col min="5085" max="5085" width="18.44140625" style="2" customWidth="1"/>
    <col min="5086" max="5086" width="11.88671875" style="2" customWidth="1"/>
    <col min="5087" max="5088" width="10.109375" style="2" customWidth="1"/>
    <col min="5089" max="5090" width="13.6640625" style="2" customWidth="1"/>
    <col min="5091" max="5093" width="23.77734375" style="2" customWidth="1"/>
    <col min="5094" max="5096" width="9.109375" style="2"/>
    <col min="5097" max="5097" width="21" style="2" customWidth="1"/>
    <col min="5098" max="5098" width="12.33203125" style="2" customWidth="1"/>
    <col min="5099" max="5099" width="14" style="2" customWidth="1"/>
    <col min="5100" max="5100" width="10.109375" style="2" bestFit="1" customWidth="1"/>
    <col min="5101" max="5101" width="10.109375" style="2" customWidth="1"/>
    <col min="5102" max="5102" width="27.21875" style="2" customWidth="1"/>
    <col min="5103" max="5103" width="24.5546875" style="2" customWidth="1"/>
    <col min="5104" max="5104" width="16.21875" style="2" customWidth="1"/>
    <col min="5105" max="5105" width="16.33203125" style="2" customWidth="1"/>
    <col min="5106" max="5106" width="18.5546875" style="2" customWidth="1"/>
    <col min="5107" max="5107" width="20.33203125" style="2" customWidth="1"/>
    <col min="5108" max="5109" width="22.88671875" style="2" customWidth="1"/>
    <col min="5110" max="5113" width="18" style="2" customWidth="1"/>
    <col min="5114" max="5114" width="17.21875" style="2" customWidth="1"/>
    <col min="5115" max="5115" width="16.6640625" style="2" customWidth="1"/>
    <col min="5116" max="5116" width="17.44140625" style="2" customWidth="1"/>
    <col min="5117" max="5117" width="24.21875" style="2" customWidth="1"/>
    <col min="5118" max="5118" width="20.44140625" style="2" customWidth="1"/>
    <col min="5119" max="5119" width="41.5546875" style="2" customWidth="1"/>
    <col min="5120" max="5121" width="32.44140625" style="2" customWidth="1"/>
    <col min="5122" max="5126" width="41.5546875" style="2" customWidth="1"/>
    <col min="5127" max="5127" width="30.44140625" style="2" customWidth="1"/>
    <col min="5128" max="5128" width="22.33203125" style="2" customWidth="1"/>
    <col min="5129" max="5129" width="9.109375" style="2"/>
    <col min="5130" max="5130" width="22.88671875" style="2" customWidth="1"/>
    <col min="5131" max="5131" width="23.77734375" style="2" customWidth="1"/>
    <col min="5132" max="5132" width="74.44140625" style="2" customWidth="1"/>
    <col min="5133" max="5134" width="9.109375" style="2"/>
    <col min="5135" max="5135" width="14.109375" style="2" customWidth="1"/>
    <col min="5136" max="5136" width="12.44140625" style="2" customWidth="1"/>
    <col min="5137" max="5137" width="13.44140625" style="2" customWidth="1"/>
    <col min="5138" max="5138" width="11.109375" style="2" customWidth="1"/>
    <col min="5139" max="5142" width="17.33203125" style="2" customWidth="1"/>
    <col min="5143" max="5146" width="9.109375" style="2"/>
    <col min="5147" max="5148" width="22.33203125" style="2" customWidth="1"/>
    <col min="5149" max="5149" width="11.88671875" style="2" customWidth="1"/>
    <col min="5150" max="5150" width="10.109375" style="2" customWidth="1"/>
    <col min="5151" max="5152" width="9.109375" style="2"/>
    <col min="5153" max="5153" width="13.33203125" style="2" customWidth="1"/>
    <col min="5154" max="5154" width="11.44140625" style="2" customWidth="1"/>
    <col min="5155" max="5155" width="13.33203125" style="2" bestFit="1" customWidth="1"/>
    <col min="5156" max="5156" width="16.88671875" style="2" bestFit="1" customWidth="1"/>
    <col min="5157" max="5159" width="14.44140625" style="2" customWidth="1"/>
    <col min="5160" max="5160" width="9.88671875" style="2" customWidth="1"/>
    <col min="5161" max="5163" width="17" style="2" customWidth="1"/>
    <col min="5164" max="5164" width="9.109375" style="2"/>
    <col min="5165" max="5165" width="17" style="2" customWidth="1"/>
    <col min="5166" max="5166" width="10.44140625" style="2" customWidth="1"/>
    <col min="5167" max="5340" width="9.109375" style="2"/>
    <col min="5341" max="5341" width="18.44140625" style="2" customWidth="1"/>
    <col min="5342" max="5342" width="11.88671875" style="2" customWidth="1"/>
    <col min="5343" max="5344" width="10.109375" style="2" customWidth="1"/>
    <col min="5345" max="5346" width="13.6640625" style="2" customWidth="1"/>
    <col min="5347" max="5349" width="23.77734375" style="2" customWidth="1"/>
    <col min="5350" max="5352" width="9.109375" style="2"/>
    <col min="5353" max="5353" width="21" style="2" customWidth="1"/>
    <col min="5354" max="5354" width="12.33203125" style="2" customWidth="1"/>
    <col min="5355" max="5355" width="14" style="2" customWidth="1"/>
    <col min="5356" max="5356" width="10.109375" style="2" bestFit="1" customWidth="1"/>
    <col min="5357" max="5357" width="10.109375" style="2" customWidth="1"/>
    <col min="5358" max="5358" width="27.21875" style="2" customWidth="1"/>
    <col min="5359" max="5359" width="24.5546875" style="2" customWidth="1"/>
    <col min="5360" max="5360" width="16.21875" style="2" customWidth="1"/>
    <col min="5361" max="5361" width="16.33203125" style="2" customWidth="1"/>
    <col min="5362" max="5362" width="18.5546875" style="2" customWidth="1"/>
    <col min="5363" max="5363" width="20.33203125" style="2" customWidth="1"/>
    <col min="5364" max="5365" width="22.88671875" style="2" customWidth="1"/>
    <col min="5366" max="5369" width="18" style="2" customWidth="1"/>
    <col min="5370" max="5370" width="17.21875" style="2" customWidth="1"/>
    <col min="5371" max="5371" width="16.6640625" style="2" customWidth="1"/>
    <col min="5372" max="5372" width="17.44140625" style="2" customWidth="1"/>
    <col min="5373" max="5373" width="24.21875" style="2" customWidth="1"/>
    <col min="5374" max="5374" width="20.44140625" style="2" customWidth="1"/>
    <col min="5375" max="5375" width="41.5546875" style="2" customWidth="1"/>
    <col min="5376" max="5377" width="32.44140625" style="2" customWidth="1"/>
    <col min="5378" max="5382" width="41.5546875" style="2" customWidth="1"/>
    <col min="5383" max="5383" width="30.44140625" style="2" customWidth="1"/>
    <col min="5384" max="5384" width="22.33203125" style="2" customWidth="1"/>
    <col min="5385" max="5385" width="9.109375" style="2"/>
    <col min="5386" max="5386" width="22.88671875" style="2" customWidth="1"/>
    <col min="5387" max="5387" width="23.77734375" style="2" customWidth="1"/>
    <col min="5388" max="5388" width="74.44140625" style="2" customWidth="1"/>
    <col min="5389" max="5390" width="9.109375" style="2"/>
    <col min="5391" max="5391" width="14.109375" style="2" customWidth="1"/>
    <col min="5392" max="5392" width="12.44140625" style="2" customWidth="1"/>
    <col min="5393" max="5393" width="13.44140625" style="2" customWidth="1"/>
    <col min="5394" max="5394" width="11.109375" style="2" customWidth="1"/>
    <col min="5395" max="5398" width="17.33203125" style="2" customWidth="1"/>
    <col min="5399" max="5402" width="9.109375" style="2"/>
    <col min="5403" max="5404" width="22.33203125" style="2" customWidth="1"/>
    <col min="5405" max="5405" width="11.88671875" style="2" customWidth="1"/>
    <col min="5406" max="5406" width="10.109375" style="2" customWidth="1"/>
    <col min="5407" max="5408" width="9.109375" style="2"/>
    <col min="5409" max="5409" width="13.33203125" style="2" customWidth="1"/>
    <col min="5410" max="5410" width="11.44140625" style="2" customWidth="1"/>
    <col min="5411" max="5411" width="13.33203125" style="2" bestFit="1" customWidth="1"/>
    <col min="5412" max="5412" width="16.88671875" style="2" bestFit="1" customWidth="1"/>
    <col min="5413" max="5415" width="14.44140625" style="2" customWidth="1"/>
    <col min="5416" max="5416" width="9.88671875" style="2" customWidth="1"/>
    <col min="5417" max="5419" width="17" style="2" customWidth="1"/>
    <col min="5420" max="5420" width="9.109375" style="2"/>
    <col min="5421" max="5421" width="17" style="2" customWidth="1"/>
    <col min="5422" max="5422" width="10.44140625" style="2" customWidth="1"/>
    <col min="5423" max="5596" width="9.109375" style="2"/>
    <col min="5597" max="5597" width="18.44140625" style="2" customWidth="1"/>
    <col min="5598" max="5598" width="11.88671875" style="2" customWidth="1"/>
    <col min="5599" max="5600" width="10.109375" style="2" customWidth="1"/>
    <col min="5601" max="5602" width="13.6640625" style="2" customWidth="1"/>
    <col min="5603" max="5605" width="23.77734375" style="2" customWidth="1"/>
    <col min="5606" max="5608" width="9.109375" style="2"/>
    <col min="5609" max="5609" width="21" style="2" customWidth="1"/>
    <col min="5610" max="5610" width="12.33203125" style="2" customWidth="1"/>
    <col min="5611" max="5611" width="14" style="2" customWidth="1"/>
    <col min="5612" max="5612" width="10.109375" style="2" bestFit="1" customWidth="1"/>
    <col min="5613" max="5613" width="10.109375" style="2" customWidth="1"/>
    <col min="5614" max="5614" width="27.21875" style="2" customWidth="1"/>
    <col min="5615" max="5615" width="24.5546875" style="2" customWidth="1"/>
    <col min="5616" max="5616" width="16.21875" style="2" customWidth="1"/>
    <col min="5617" max="5617" width="16.33203125" style="2" customWidth="1"/>
    <col min="5618" max="5618" width="18.5546875" style="2" customWidth="1"/>
    <col min="5619" max="5619" width="20.33203125" style="2" customWidth="1"/>
    <col min="5620" max="5621" width="22.88671875" style="2" customWidth="1"/>
    <col min="5622" max="5625" width="18" style="2" customWidth="1"/>
    <col min="5626" max="5626" width="17.21875" style="2" customWidth="1"/>
    <col min="5627" max="5627" width="16.6640625" style="2" customWidth="1"/>
    <col min="5628" max="5628" width="17.44140625" style="2" customWidth="1"/>
    <col min="5629" max="5629" width="24.21875" style="2" customWidth="1"/>
    <col min="5630" max="5630" width="20.44140625" style="2" customWidth="1"/>
    <col min="5631" max="5631" width="41.5546875" style="2" customWidth="1"/>
    <col min="5632" max="5633" width="32.44140625" style="2" customWidth="1"/>
    <col min="5634" max="5638" width="41.5546875" style="2" customWidth="1"/>
    <col min="5639" max="5639" width="30.44140625" style="2" customWidth="1"/>
    <col min="5640" max="5640" width="22.33203125" style="2" customWidth="1"/>
    <col min="5641" max="5641" width="9.109375" style="2"/>
    <col min="5642" max="5642" width="22.88671875" style="2" customWidth="1"/>
    <col min="5643" max="5643" width="23.77734375" style="2" customWidth="1"/>
    <col min="5644" max="5644" width="74.44140625" style="2" customWidth="1"/>
    <col min="5645" max="5646" width="9.109375" style="2"/>
    <col min="5647" max="5647" width="14.109375" style="2" customWidth="1"/>
    <col min="5648" max="5648" width="12.44140625" style="2" customWidth="1"/>
    <col min="5649" max="5649" width="13.44140625" style="2" customWidth="1"/>
    <col min="5650" max="5650" width="11.109375" style="2" customWidth="1"/>
    <col min="5651" max="5654" width="17.33203125" style="2" customWidth="1"/>
    <col min="5655" max="5658" width="9.109375" style="2"/>
    <col min="5659" max="5660" width="22.33203125" style="2" customWidth="1"/>
    <col min="5661" max="5661" width="11.88671875" style="2" customWidth="1"/>
    <col min="5662" max="5662" width="10.109375" style="2" customWidth="1"/>
    <col min="5663" max="5664" width="9.109375" style="2"/>
    <col min="5665" max="5665" width="13.33203125" style="2" customWidth="1"/>
    <col min="5666" max="5666" width="11.44140625" style="2" customWidth="1"/>
    <col min="5667" max="5667" width="13.33203125" style="2" bestFit="1" customWidth="1"/>
    <col min="5668" max="5668" width="16.88671875" style="2" bestFit="1" customWidth="1"/>
    <col min="5669" max="5671" width="14.44140625" style="2" customWidth="1"/>
    <col min="5672" max="5672" width="9.88671875" style="2" customWidth="1"/>
    <col min="5673" max="5675" width="17" style="2" customWidth="1"/>
    <col min="5676" max="5676" width="9.109375" style="2"/>
    <col min="5677" max="5677" width="17" style="2" customWidth="1"/>
    <col min="5678" max="5678" width="10.44140625" style="2" customWidth="1"/>
    <col min="5679" max="5852" width="9.109375" style="2"/>
    <col min="5853" max="5853" width="18.44140625" style="2" customWidth="1"/>
    <col min="5854" max="5854" width="11.88671875" style="2" customWidth="1"/>
    <col min="5855" max="5856" width="10.109375" style="2" customWidth="1"/>
    <col min="5857" max="5858" width="13.6640625" style="2" customWidth="1"/>
    <col min="5859" max="5861" width="23.77734375" style="2" customWidth="1"/>
    <col min="5862" max="5864" width="9.109375" style="2"/>
    <col min="5865" max="5865" width="21" style="2" customWidth="1"/>
    <col min="5866" max="5866" width="12.33203125" style="2" customWidth="1"/>
    <col min="5867" max="5867" width="14" style="2" customWidth="1"/>
    <col min="5868" max="5868" width="10.109375" style="2" bestFit="1" customWidth="1"/>
    <col min="5869" max="5869" width="10.109375" style="2" customWidth="1"/>
    <col min="5870" max="5870" width="27.21875" style="2" customWidth="1"/>
    <col min="5871" max="5871" width="24.5546875" style="2" customWidth="1"/>
    <col min="5872" max="5872" width="16.21875" style="2" customWidth="1"/>
    <col min="5873" max="5873" width="16.33203125" style="2" customWidth="1"/>
    <col min="5874" max="5874" width="18.5546875" style="2" customWidth="1"/>
    <col min="5875" max="5875" width="20.33203125" style="2" customWidth="1"/>
    <col min="5876" max="5877" width="22.88671875" style="2" customWidth="1"/>
    <col min="5878" max="5881" width="18" style="2" customWidth="1"/>
    <col min="5882" max="5882" width="17.21875" style="2" customWidth="1"/>
    <col min="5883" max="5883" width="16.6640625" style="2" customWidth="1"/>
    <col min="5884" max="5884" width="17.44140625" style="2" customWidth="1"/>
    <col min="5885" max="5885" width="24.21875" style="2" customWidth="1"/>
    <col min="5886" max="5886" width="20.44140625" style="2" customWidth="1"/>
    <col min="5887" max="5887" width="41.5546875" style="2" customWidth="1"/>
    <col min="5888" max="5889" width="32.44140625" style="2" customWidth="1"/>
    <col min="5890" max="5894" width="41.5546875" style="2" customWidth="1"/>
    <col min="5895" max="5895" width="30.44140625" style="2" customWidth="1"/>
    <col min="5896" max="5896" width="22.33203125" style="2" customWidth="1"/>
    <col min="5897" max="5897" width="9.109375" style="2"/>
    <col min="5898" max="5898" width="22.88671875" style="2" customWidth="1"/>
    <col min="5899" max="5899" width="23.77734375" style="2" customWidth="1"/>
    <col min="5900" max="5900" width="74.44140625" style="2" customWidth="1"/>
    <col min="5901" max="5902" width="9.109375" style="2"/>
    <col min="5903" max="5903" width="14.109375" style="2" customWidth="1"/>
    <col min="5904" max="5904" width="12.44140625" style="2" customWidth="1"/>
    <col min="5905" max="5905" width="13.44140625" style="2" customWidth="1"/>
    <col min="5906" max="5906" width="11.109375" style="2" customWidth="1"/>
    <col min="5907" max="5910" width="17.33203125" style="2" customWidth="1"/>
    <col min="5911" max="5914" width="9.109375" style="2"/>
    <col min="5915" max="5916" width="22.33203125" style="2" customWidth="1"/>
    <col min="5917" max="5917" width="11.88671875" style="2" customWidth="1"/>
    <col min="5918" max="5918" width="10.109375" style="2" customWidth="1"/>
    <col min="5919" max="5920" width="9.109375" style="2"/>
    <col min="5921" max="5921" width="13.33203125" style="2" customWidth="1"/>
    <col min="5922" max="5922" width="11.44140625" style="2" customWidth="1"/>
    <col min="5923" max="5923" width="13.33203125" style="2" bestFit="1" customWidth="1"/>
    <col min="5924" max="5924" width="16.88671875" style="2" bestFit="1" customWidth="1"/>
    <col min="5925" max="5927" width="14.44140625" style="2" customWidth="1"/>
    <col min="5928" max="5928" width="9.88671875" style="2" customWidth="1"/>
    <col min="5929" max="5931" width="17" style="2" customWidth="1"/>
    <col min="5932" max="5932" width="9.109375" style="2"/>
    <col min="5933" max="5933" width="17" style="2" customWidth="1"/>
    <col min="5934" max="5934" width="10.44140625" style="2" customWidth="1"/>
    <col min="5935" max="6108" width="9.109375" style="2"/>
    <col min="6109" max="6109" width="18.44140625" style="2" customWidth="1"/>
    <col min="6110" max="6110" width="11.88671875" style="2" customWidth="1"/>
    <col min="6111" max="6112" width="10.109375" style="2" customWidth="1"/>
    <col min="6113" max="6114" width="13.6640625" style="2" customWidth="1"/>
    <col min="6115" max="6117" width="23.77734375" style="2" customWidth="1"/>
    <col min="6118" max="6120" width="9.109375" style="2"/>
    <col min="6121" max="6121" width="21" style="2" customWidth="1"/>
    <col min="6122" max="6122" width="12.33203125" style="2" customWidth="1"/>
    <col min="6123" max="6123" width="14" style="2" customWidth="1"/>
    <col min="6124" max="6124" width="10.109375" style="2" bestFit="1" customWidth="1"/>
    <col min="6125" max="6125" width="10.109375" style="2" customWidth="1"/>
    <col min="6126" max="6126" width="27.21875" style="2" customWidth="1"/>
    <col min="6127" max="6127" width="24.5546875" style="2" customWidth="1"/>
    <col min="6128" max="6128" width="16.21875" style="2" customWidth="1"/>
    <col min="6129" max="6129" width="16.33203125" style="2" customWidth="1"/>
    <col min="6130" max="6130" width="18.5546875" style="2" customWidth="1"/>
    <col min="6131" max="6131" width="20.33203125" style="2" customWidth="1"/>
    <col min="6132" max="6133" width="22.88671875" style="2" customWidth="1"/>
    <col min="6134" max="6137" width="18" style="2" customWidth="1"/>
    <col min="6138" max="6138" width="17.21875" style="2" customWidth="1"/>
    <col min="6139" max="6139" width="16.6640625" style="2" customWidth="1"/>
    <col min="6140" max="6140" width="17.44140625" style="2" customWidth="1"/>
    <col min="6141" max="6141" width="24.21875" style="2" customWidth="1"/>
    <col min="6142" max="6142" width="20.44140625" style="2" customWidth="1"/>
    <col min="6143" max="6143" width="41.5546875" style="2" customWidth="1"/>
    <col min="6144" max="6145" width="32.44140625" style="2" customWidth="1"/>
    <col min="6146" max="6150" width="41.5546875" style="2" customWidth="1"/>
    <col min="6151" max="6151" width="30.44140625" style="2" customWidth="1"/>
    <col min="6152" max="6152" width="22.33203125" style="2" customWidth="1"/>
    <col min="6153" max="6153" width="9.109375" style="2"/>
    <col min="6154" max="6154" width="22.88671875" style="2" customWidth="1"/>
    <col min="6155" max="6155" width="23.77734375" style="2" customWidth="1"/>
    <col min="6156" max="6156" width="74.44140625" style="2" customWidth="1"/>
    <col min="6157" max="6158" width="9.109375" style="2"/>
    <col min="6159" max="6159" width="14.109375" style="2" customWidth="1"/>
    <col min="6160" max="6160" width="12.44140625" style="2" customWidth="1"/>
    <col min="6161" max="6161" width="13.44140625" style="2" customWidth="1"/>
    <col min="6162" max="6162" width="11.109375" style="2" customWidth="1"/>
    <col min="6163" max="6166" width="17.33203125" style="2" customWidth="1"/>
    <col min="6167" max="6170" width="9.109375" style="2"/>
    <col min="6171" max="6172" width="22.33203125" style="2" customWidth="1"/>
    <col min="6173" max="6173" width="11.88671875" style="2" customWidth="1"/>
    <col min="6174" max="6174" width="10.109375" style="2" customWidth="1"/>
    <col min="6175" max="6176" width="9.109375" style="2"/>
    <col min="6177" max="6177" width="13.33203125" style="2" customWidth="1"/>
    <col min="6178" max="6178" width="11.44140625" style="2" customWidth="1"/>
    <col min="6179" max="6179" width="13.33203125" style="2" bestFit="1" customWidth="1"/>
    <col min="6180" max="6180" width="16.88671875" style="2" bestFit="1" customWidth="1"/>
    <col min="6181" max="6183" width="14.44140625" style="2" customWidth="1"/>
    <col min="6184" max="6184" width="9.88671875" style="2" customWidth="1"/>
    <col min="6185" max="6187" width="17" style="2" customWidth="1"/>
    <col min="6188" max="6188" width="9.109375" style="2"/>
    <col min="6189" max="6189" width="17" style="2" customWidth="1"/>
    <col min="6190" max="6190" width="10.44140625" style="2" customWidth="1"/>
    <col min="6191" max="6364" width="9.109375" style="2"/>
    <col min="6365" max="6365" width="18.44140625" style="2" customWidth="1"/>
    <col min="6366" max="6366" width="11.88671875" style="2" customWidth="1"/>
    <col min="6367" max="6368" width="10.109375" style="2" customWidth="1"/>
    <col min="6369" max="6370" width="13.6640625" style="2" customWidth="1"/>
    <col min="6371" max="6373" width="23.77734375" style="2" customWidth="1"/>
    <col min="6374" max="6376" width="9.109375" style="2"/>
    <col min="6377" max="6377" width="21" style="2" customWidth="1"/>
    <col min="6378" max="6378" width="12.33203125" style="2" customWidth="1"/>
    <col min="6379" max="6379" width="14" style="2" customWidth="1"/>
    <col min="6380" max="6380" width="10.109375" style="2" bestFit="1" customWidth="1"/>
    <col min="6381" max="6381" width="10.109375" style="2" customWidth="1"/>
    <col min="6382" max="6382" width="27.21875" style="2" customWidth="1"/>
    <col min="6383" max="6383" width="24.5546875" style="2" customWidth="1"/>
    <col min="6384" max="6384" width="16.21875" style="2" customWidth="1"/>
    <col min="6385" max="6385" width="16.33203125" style="2" customWidth="1"/>
    <col min="6386" max="6386" width="18.5546875" style="2" customWidth="1"/>
    <col min="6387" max="6387" width="20.33203125" style="2" customWidth="1"/>
    <col min="6388" max="6389" width="22.88671875" style="2" customWidth="1"/>
    <col min="6390" max="6393" width="18" style="2" customWidth="1"/>
    <col min="6394" max="6394" width="17.21875" style="2" customWidth="1"/>
    <col min="6395" max="6395" width="16.6640625" style="2" customWidth="1"/>
    <col min="6396" max="6396" width="17.44140625" style="2" customWidth="1"/>
    <col min="6397" max="6397" width="24.21875" style="2" customWidth="1"/>
    <col min="6398" max="6398" width="20.44140625" style="2" customWidth="1"/>
    <col min="6399" max="6399" width="41.5546875" style="2" customWidth="1"/>
    <col min="6400" max="6401" width="32.44140625" style="2" customWidth="1"/>
    <col min="6402" max="6406" width="41.5546875" style="2" customWidth="1"/>
    <col min="6407" max="6407" width="30.44140625" style="2" customWidth="1"/>
    <col min="6408" max="6408" width="22.33203125" style="2" customWidth="1"/>
    <col min="6409" max="6409" width="9.109375" style="2"/>
    <col min="6410" max="6410" width="22.88671875" style="2" customWidth="1"/>
    <col min="6411" max="6411" width="23.77734375" style="2" customWidth="1"/>
    <col min="6412" max="6412" width="74.44140625" style="2" customWidth="1"/>
    <col min="6413" max="6414" width="9.109375" style="2"/>
    <col min="6415" max="6415" width="14.109375" style="2" customWidth="1"/>
    <col min="6416" max="6416" width="12.44140625" style="2" customWidth="1"/>
    <col min="6417" max="6417" width="13.44140625" style="2" customWidth="1"/>
    <col min="6418" max="6418" width="11.109375" style="2" customWidth="1"/>
    <col min="6419" max="6422" width="17.33203125" style="2" customWidth="1"/>
    <col min="6423" max="6426" width="9.109375" style="2"/>
    <col min="6427" max="6428" width="22.33203125" style="2" customWidth="1"/>
    <col min="6429" max="6429" width="11.88671875" style="2" customWidth="1"/>
    <col min="6430" max="6430" width="10.109375" style="2" customWidth="1"/>
    <col min="6431" max="6432" width="9.109375" style="2"/>
    <col min="6433" max="6433" width="13.33203125" style="2" customWidth="1"/>
    <col min="6434" max="6434" width="11.44140625" style="2" customWidth="1"/>
    <col min="6435" max="6435" width="13.33203125" style="2" bestFit="1" customWidth="1"/>
    <col min="6436" max="6436" width="16.88671875" style="2" bestFit="1" customWidth="1"/>
    <col min="6437" max="6439" width="14.44140625" style="2" customWidth="1"/>
    <col min="6440" max="6440" width="9.88671875" style="2" customWidth="1"/>
    <col min="6441" max="6443" width="17" style="2" customWidth="1"/>
    <col min="6444" max="6444" width="9.109375" style="2"/>
    <col min="6445" max="6445" width="17" style="2" customWidth="1"/>
    <col min="6446" max="6446" width="10.44140625" style="2" customWidth="1"/>
    <col min="6447" max="6620" width="9.109375" style="2"/>
    <col min="6621" max="6621" width="18.44140625" style="2" customWidth="1"/>
    <col min="6622" max="6622" width="11.88671875" style="2" customWidth="1"/>
    <col min="6623" max="6624" width="10.109375" style="2" customWidth="1"/>
    <col min="6625" max="6626" width="13.6640625" style="2" customWidth="1"/>
    <col min="6627" max="6629" width="23.77734375" style="2" customWidth="1"/>
    <col min="6630" max="6632" width="9.109375" style="2"/>
    <col min="6633" max="6633" width="21" style="2" customWidth="1"/>
    <col min="6634" max="6634" width="12.33203125" style="2" customWidth="1"/>
    <col min="6635" max="6635" width="14" style="2" customWidth="1"/>
    <col min="6636" max="6636" width="10.109375" style="2" bestFit="1" customWidth="1"/>
    <col min="6637" max="6637" width="10.109375" style="2" customWidth="1"/>
    <col min="6638" max="6638" width="27.21875" style="2" customWidth="1"/>
    <col min="6639" max="6639" width="24.5546875" style="2" customWidth="1"/>
    <col min="6640" max="6640" width="16.21875" style="2" customWidth="1"/>
    <col min="6641" max="6641" width="16.33203125" style="2" customWidth="1"/>
    <col min="6642" max="6642" width="18.5546875" style="2" customWidth="1"/>
    <col min="6643" max="6643" width="20.33203125" style="2" customWidth="1"/>
    <col min="6644" max="6645" width="22.88671875" style="2" customWidth="1"/>
    <col min="6646" max="6649" width="18" style="2" customWidth="1"/>
    <col min="6650" max="6650" width="17.21875" style="2" customWidth="1"/>
    <col min="6651" max="6651" width="16.6640625" style="2" customWidth="1"/>
    <col min="6652" max="6652" width="17.44140625" style="2" customWidth="1"/>
    <col min="6653" max="6653" width="24.21875" style="2" customWidth="1"/>
    <col min="6654" max="6654" width="20.44140625" style="2" customWidth="1"/>
    <col min="6655" max="6655" width="41.5546875" style="2" customWidth="1"/>
    <col min="6656" max="6657" width="32.44140625" style="2" customWidth="1"/>
    <col min="6658" max="6662" width="41.5546875" style="2" customWidth="1"/>
    <col min="6663" max="6663" width="30.44140625" style="2" customWidth="1"/>
    <col min="6664" max="6664" width="22.33203125" style="2" customWidth="1"/>
    <col min="6665" max="6665" width="9.109375" style="2"/>
    <col min="6666" max="6666" width="22.88671875" style="2" customWidth="1"/>
    <col min="6667" max="6667" width="23.77734375" style="2" customWidth="1"/>
    <col min="6668" max="6668" width="74.44140625" style="2" customWidth="1"/>
    <col min="6669" max="6670" width="9.109375" style="2"/>
    <col min="6671" max="6671" width="14.109375" style="2" customWidth="1"/>
    <col min="6672" max="6672" width="12.44140625" style="2" customWidth="1"/>
    <col min="6673" max="6673" width="13.44140625" style="2" customWidth="1"/>
    <col min="6674" max="6674" width="11.109375" style="2" customWidth="1"/>
    <col min="6675" max="6678" width="17.33203125" style="2" customWidth="1"/>
    <col min="6679" max="6682" width="9.109375" style="2"/>
    <col min="6683" max="6684" width="22.33203125" style="2" customWidth="1"/>
    <col min="6685" max="6685" width="11.88671875" style="2" customWidth="1"/>
    <col min="6686" max="6686" width="10.109375" style="2" customWidth="1"/>
    <col min="6687" max="6688" width="9.109375" style="2"/>
    <col min="6689" max="6689" width="13.33203125" style="2" customWidth="1"/>
    <col min="6690" max="6690" width="11.44140625" style="2" customWidth="1"/>
    <col min="6691" max="6691" width="13.33203125" style="2" bestFit="1" customWidth="1"/>
    <col min="6692" max="6692" width="16.88671875" style="2" bestFit="1" customWidth="1"/>
    <col min="6693" max="6695" width="14.44140625" style="2" customWidth="1"/>
    <col min="6696" max="6696" width="9.88671875" style="2" customWidth="1"/>
    <col min="6697" max="6699" width="17" style="2" customWidth="1"/>
    <col min="6700" max="6700" width="9.109375" style="2"/>
    <col min="6701" max="6701" width="17" style="2" customWidth="1"/>
    <col min="6702" max="6702" width="10.44140625" style="2" customWidth="1"/>
    <col min="6703" max="6876" width="9.109375" style="2"/>
    <col min="6877" max="6877" width="18.44140625" style="2" customWidth="1"/>
    <col min="6878" max="6878" width="11.88671875" style="2" customWidth="1"/>
    <col min="6879" max="6880" width="10.109375" style="2" customWidth="1"/>
    <col min="6881" max="6882" width="13.6640625" style="2" customWidth="1"/>
    <col min="6883" max="6885" width="23.77734375" style="2" customWidth="1"/>
    <col min="6886" max="6888" width="9.109375" style="2"/>
    <col min="6889" max="6889" width="21" style="2" customWidth="1"/>
    <col min="6890" max="6890" width="12.33203125" style="2" customWidth="1"/>
    <col min="6891" max="6891" width="14" style="2" customWidth="1"/>
    <col min="6892" max="6892" width="10.109375" style="2" bestFit="1" customWidth="1"/>
    <col min="6893" max="6893" width="10.109375" style="2" customWidth="1"/>
    <col min="6894" max="6894" width="27.21875" style="2" customWidth="1"/>
    <col min="6895" max="6895" width="24.5546875" style="2" customWidth="1"/>
    <col min="6896" max="6896" width="16.21875" style="2" customWidth="1"/>
    <col min="6897" max="6897" width="16.33203125" style="2" customWidth="1"/>
    <col min="6898" max="6898" width="18.5546875" style="2" customWidth="1"/>
    <col min="6899" max="6899" width="20.33203125" style="2" customWidth="1"/>
    <col min="6900" max="6901" width="22.88671875" style="2" customWidth="1"/>
    <col min="6902" max="6905" width="18" style="2" customWidth="1"/>
    <col min="6906" max="6906" width="17.21875" style="2" customWidth="1"/>
    <col min="6907" max="6907" width="16.6640625" style="2" customWidth="1"/>
    <col min="6908" max="6908" width="17.44140625" style="2" customWidth="1"/>
    <col min="6909" max="6909" width="24.21875" style="2" customWidth="1"/>
    <col min="6910" max="6910" width="20.44140625" style="2" customWidth="1"/>
    <col min="6911" max="6911" width="41.5546875" style="2" customWidth="1"/>
    <col min="6912" max="6913" width="32.44140625" style="2" customWidth="1"/>
    <col min="6914" max="6918" width="41.5546875" style="2" customWidth="1"/>
    <col min="6919" max="6919" width="30.44140625" style="2" customWidth="1"/>
    <col min="6920" max="6920" width="22.33203125" style="2" customWidth="1"/>
    <col min="6921" max="6921" width="9.109375" style="2"/>
    <col min="6922" max="6922" width="22.88671875" style="2" customWidth="1"/>
    <col min="6923" max="6923" width="23.77734375" style="2" customWidth="1"/>
    <col min="6924" max="6924" width="74.44140625" style="2" customWidth="1"/>
    <col min="6925" max="6926" width="9.109375" style="2"/>
    <col min="6927" max="6927" width="14.109375" style="2" customWidth="1"/>
    <col min="6928" max="6928" width="12.44140625" style="2" customWidth="1"/>
    <col min="6929" max="6929" width="13.44140625" style="2" customWidth="1"/>
    <col min="6930" max="6930" width="11.109375" style="2" customWidth="1"/>
    <col min="6931" max="6934" width="17.33203125" style="2" customWidth="1"/>
    <col min="6935" max="6938" width="9.109375" style="2"/>
    <col min="6939" max="6940" width="22.33203125" style="2" customWidth="1"/>
    <col min="6941" max="6941" width="11.88671875" style="2" customWidth="1"/>
    <col min="6942" max="6942" width="10.109375" style="2" customWidth="1"/>
    <col min="6943" max="6944" width="9.109375" style="2"/>
    <col min="6945" max="6945" width="13.33203125" style="2" customWidth="1"/>
    <col min="6946" max="6946" width="11.44140625" style="2" customWidth="1"/>
    <col min="6947" max="6947" width="13.33203125" style="2" bestFit="1" customWidth="1"/>
    <col min="6948" max="6948" width="16.88671875" style="2" bestFit="1" customWidth="1"/>
    <col min="6949" max="6951" width="14.44140625" style="2" customWidth="1"/>
    <col min="6952" max="6952" width="9.88671875" style="2" customWidth="1"/>
    <col min="6953" max="6955" width="17" style="2" customWidth="1"/>
    <col min="6956" max="6956" width="9.109375" style="2"/>
    <col min="6957" max="6957" width="17" style="2" customWidth="1"/>
    <col min="6958" max="6958" width="10.44140625" style="2" customWidth="1"/>
    <col min="6959" max="7132" width="9.109375" style="2"/>
    <col min="7133" max="7133" width="18.44140625" style="2" customWidth="1"/>
    <col min="7134" max="7134" width="11.88671875" style="2" customWidth="1"/>
    <col min="7135" max="7136" width="10.109375" style="2" customWidth="1"/>
    <col min="7137" max="7138" width="13.6640625" style="2" customWidth="1"/>
    <col min="7139" max="7141" width="23.77734375" style="2" customWidth="1"/>
    <col min="7142" max="7144" width="9.109375" style="2"/>
    <col min="7145" max="7145" width="21" style="2" customWidth="1"/>
    <col min="7146" max="7146" width="12.33203125" style="2" customWidth="1"/>
    <col min="7147" max="7147" width="14" style="2" customWidth="1"/>
    <col min="7148" max="7148" width="10.109375" style="2" bestFit="1" customWidth="1"/>
    <col min="7149" max="7149" width="10.109375" style="2" customWidth="1"/>
    <col min="7150" max="7150" width="27.21875" style="2" customWidth="1"/>
    <col min="7151" max="7151" width="24.5546875" style="2" customWidth="1"/>
    <col min="7152" max="7152" width="16.21875" style="2" customWidth="1"/>
    <col min="7153" max="7153" width="16.33203125" style="2" customWidth="1"/>
    <col min="7154" max="7154" width="18.5546875" style="2" customWidth="1"/>
    <col min="7155" max="7155" width="20.33203125" style="2" customWidth="1"/>
    <col min="7156" max="7157" width="22.88671875" style="2" customWidth="1"/>
    <col min="7158" max="7161" width="18" style="2" customWidth="1"/>
    <col min="7162" max="7162" width="17.21875" style="2" customWidth="1"/>
    <col min="7163" max="7163" width="16.6640625" style="2" customWidth="1"/>
    <col min="7164" max="7164" width="17.44140625" style="2" customWidth="1"/>
    <col min="7165" max="7165" width="24.21875" style="2" customWidth="1"/>
    <col min="7166" max="7166" width="20.44140625" style="2" customWidth="1"/>
    <col min="7167" max="7167" width="41.5546875" style="2" customWidth="1"/>
    <col min="7168" max="7169" width="32.44140625" style="2" customWidth="1"/>
    <col min="7170" max="7174" width="41.5546875" style="2" customWidth="1"/>
    <col min="7175" max="7175" width="30.44140625" style="2" customWidth="1"/>
    <col min="7176" max="7176" width="22.33203125" style="2" customWidth="1"/>
    <col min="7177" max="7177" width="9.109375" style="2"/>
    <col min="7178" max="7178" width="22.88671875" style="2" customWidth="1"/>
    <col min="7179" max="7179" width="23.77734375" style="2" customWidth="1"/>
    <col min="7180" max="7180" width="74.44140625" style="2" customWidth="1"/>
    <col min="7181" max="7182" width="9.109375" style="2"/>
    <col min="7183" max="7183" width="14.109375" style="2" customWidth="1"/>
    <col min="7184" max="7184" width="12.44140625" style="2" customWidth="1"/>
    <col min="7185" max="7185" width="13.44140625" style="2" customWidth="1"/>
    <col min="7186" max="7186" width="11.109375" style="2" customWidth="1"/>
    <col min="7187" max="7190" width="17.33203125" style="2" customWidth="1"/>
    <col min="7191" max="7194" width="9.109375" style="2"/>
    <col min="7195" max="7196" width="22.33203125" style="2" customWidth="1"/>
    <col min="7197" max="7197" width="11.88671875" style="2" customWidth="1"/>
    <col min="7198" max="7198" width="10.109375" style="2" customWidth="1"/>
    <col min="7199" max="7200" width="9.109375" style="2"/>
    <col min="7201" max="7201" width="13.33203125" style="2" customWidth="1"/>
    <col min="7202" max="7202" width="11.44140625" style="2" customWidth="1"/>
    <col min="7203" max="7203" width="13.33203125" style="2" bestFit="1" customWidth="1"/>
    <col min="7204" max="7204" width="16.88671875" style="2" bestFit="1" customWidth="1"/>
    <col min="7205" max="7207" width="14.44140625" style="2" customWidth="1"/>
    <col min="7208" max="7208" width="9.88671875" style="2" customWidth="1"/>
    <col min="7209" max="7211" width="17" style="2" customWidth="1"/>
    <col min="7212" max="7212" width="9.109375" style="2"/>
    <col min="7213" max="7213" width="17" style="2" customWidth="1"/>
    <col min="7214" max="7214" width="10.44140625" style="2" customWidth="1"/>
    <col min="7215" max="7388" width="9.109375" style="2"/>
    <col min="7389" max="7389" width="18.44140625" style="2" customWidth="1"/>
    <col min="7390" max="7390" width="11.88671875" style="2" customWidth="1"/>
    <col min="7391" max="7392" width="10.109375" style="2" customWidth="1"/>
    <col min="7393" max="7394" width="13.6640625" style="2" customWidth="1"/>
    <col min="7395" max="7397" width="23.77734375" style="2" customWidth="1"/>
    <col min="7398" max="7400" width="9.109375" style="2"/>
    <col min="7401" max="7401" width="21" style="2" customWidth="1"/>
    <col min="7402" max="7402" width="12.33203125" style="2" customWidth="1"/>
    <col min="7403" max="7403" width="14" style="2" customWidth="1"/>
    <col min="7404" max="7404" width="10.109375" style="2" bestFit="1" customWidth="1"/>
    <col min="7405" max="7405" width="10.109375" style="2" customWidth="1"/>
    <col min="7406" max="7406" width="27.21875" style="2" customWidth="1"/>
    <col min="7407" max="7407" width="24.5546875" style="2" customWidth="1"/>
    <col min="7408" max="7408" width="16.21875" style="2" customWidth="1"/>
    <col min="7409" max="7409" width="16.33203125" style="2" customWidth="1"/>
    <col min="7410" max="7410" width="18.5546875" style="2" customWidth="1"/>
    <col min="7411" max="7411" width="20.33203125" style="2" customWidth="1"/>
    <col min="7412" max="7413" width="22.88671875" style="2" customWidth="1"/>
    <col min="7414" max="7417" width="18" style="2" customWidth="1"/>
    <col min="7418" max="7418" width="17.21875" style="2" customWidth="1"/>
    <col min="7419" max="7419" width="16.6640625" style="2" customWidth="1"/>
    <col min="7420" max="7420" width="17.44140625" style="2" customWidth="1"/>
    <col min="7421" max="7421" width="24.21875" style="2" customWidth="1"/>
    <col min="7422" max="7422" width="20.44140625" style="2" customWidth="1"/>
    <col min="7423" max="7423" width="41.5546875" style="2" customWidth="1"/>
    <col min="7424" max="7425" width="32.44140625" style="2" customWidth="1"/>
    <col min="7426" max="7430" width="41.5546875" style="2" customWidth="1"/>
    <col min="7431" max="7431" width="30.44140625" style="2" customWidth="1"/>
    <col min="7432" max="7432" width="22.33203125" style="2" customWidth="1"/>
    <col min="7433" max="7433" width="9.109375" style="2"/>
    <col min="7434" max="7434" width="22.88671875" style="2" customWidth="1"/>
    <col min="7435" max="7435" width="23.77734375" style="2" customWidth="1"/>
    <col min="7436" max="7436" width="74.44140625" style="2" customWidth="1"/>
    <col min="7437" max="7438" width="9.109375" style="2"/>
    <col min="7439" max="7439" width="14.109375" style="2" customWidth="1"/>
    <col min="7440" max="7440" width="12.44140625" style="2" customWidth="1"/>
    <col min="7441" max="7441" width="13.44140625" style="2" customWidth="1"/>
    <col min="7442" max="7442" width="11.109375" style="2" customWidth="1"/>
    <col min="7443" max="7446" width="17.33203125" style="2" customWidth="1"/>
    <col min="7447" max="7450" width="9.109375" style="2"/>
    <col min="7451" max="7452" width="22.33203125" style="2" customWidth="1"/>
    <col min="7453" max="7453" width="11.88671875" style="2" customWidth="1"/>
    <col min="7454" max="7454" width="10.109375" style="2" customWidth="1"/>
    <col min="7455" max="7456" width="9.109375" style="2"/>
    <col min="7457" max="7457" width="13.33203125" style="2" customWidth="1"/>
    <col min="7458" max="7458" width="11.44140625" style="2" customWidth="1"/>
    <col min="7459" max="7459" width="13.33203125" style="2" bestFit="1" customWidth="1"/>
    <col min="7460" max="7460" width="16.88671875" style="2" bestFit="1" customWidth="1"/>
    <col min="7461" max="7463" width="14.44140625" style="2" customWidth="1"/>
    <col min="7464" max="7464" width="9.88671875" style="2" customWidth="1"/>
    <col min="7465" max="7467" width="17" style="2" customWidth="1"/>
    <col min="7468" max="7468" width="9.109375" style="2"/>
    <col min="7469" max="7469" width="17" style="2" customWidth="1"/>
    <col min="7470" max="7470" width="10.44140625" style="2" customWidth="1"/>
    <col min="7471" max="7644" width="9.109375" style="2"/>
    <col min="7645" max="7645" width="18.44140625" style="2" customWidth="1"/>
    <col min="7646" max="7646" width="11.88671875" style="2" customWidth="1"/>
    <col min="7647" max="7648" width="10.109375" style="2" customWidth="1"/>
    <col min="7649" max="7650" width="13.6640625" style="2" customWidth="1"/>
    <col min="7651" max="7653" width="23.77734375" style="2" customWidth="1"/>
    <col min="7654" max="7656" width="9.109375" style="2"/>
    <col min="7657" max="7657" width="21" style="2" customWidth="1"/>
    <col min="7658" max="7658" width="12.33203125" style="2" customWidth="1"/>
    <col min="7659" max="7659" width="14" style="2" customWidth="1"/>
    <col min="7660" max="7660" width="10.109375" style="2" bestFit="1" customWidth="1"/>
    <col min="7661" max="7661" width="10.109375" style="2" customWidth="1"/>
    <col min="7662" max="7662" width="27.21875" style="2" customWidth="1"/>
    <col min="7663" max="7663" width="24.5546875" style="2" customWidth="1"/>
    <col min="7664" max="7664" width="16.21875" style="2" customWidth="1"/>
    <col min="7665" max="7665" width="16.33203125" style="2" customWidth="1"/>
    <col min="7666" max="7666" width="18.5546875" style="2" customWidth="1"/>
    <col min="7667" max="7667" width="20.33203125" style="2" customWidth="1"/>
    <col min="7668" max="7669" width="22.88671875" style="2" customWidth="1"/>
    <col min="7670" max="7673" width="18" style="2" customWidth="1"/>
    <col min="7674" max="7674" width="17.21875" style="2" customWidth="1"/>
    <col min="7675" max="7675" width="16.6640625" style="2" customWidth="1"/>
    <col min="7676" max="7676" width="17.44140625" style="2" customWidth="1"/>
    <col min="7677" max="7677" width="24.21875" style="2" customWidth="1"/>
    <col min="7678" max="7678" width="20.44140625" style="2" customWidth="1"/>
    <col min="7679" max="7679" width="41.5546875" style="2" customWidth="1"/>
    <col min="7680" max="7681" width="32.44140625" style="2" customWidth="1"/>
    <col min="7682" max="7686" width="41.5546875" style="2" customWidth="1"/>
    <col min="7687" max="7687" width="30.44140625" style="2" customWidth="1"/>
    <col min="7688" max="7688" width="22.33203125" style="2" customWidth="1"/>
    <col min="7689" max="7689" width="9.109375" style="2"/>
    <col min="7690" max="7690" width="22.88671875" style="2" customWidth="1"/>
    <col min="7691" max="7691" width="23.77734375" style="2" customWidth="1"/>
    <col min="7692" max="7692" width="74.44140625" style="2" customWidth="1"/>
    <col min="7693" max="7694" width="9.109375" style="2"/>
    <col min="7695" max="7695" width="14.109375" style="2" customWidth="1"/>
    <col min="7696" max="7696" width="12.44140625" style="2" customWidth="1"/>
    <col min="7697" max="7697" width="13.44140625" style="2" customWidth="1"/>
    <col min="7698" max="7698" width="11.109375" style="2" customWidth="1"/>
    <col min="7699" max="7702" width="17.33203125" style="2" customWidth="1"/>
    <col min="7703" max="7706" width="9.109375" style="2"/>
    <col min="7707" max="7708" width="22.33203125" style="2" customWidth="1"/>
    <col min="7709" max="7709" width="11.88671875" style="2" customWidth="1"/>
    <col min="7710" max="7710" width="10.109375" style="2" customWidth="1"/>
    <col min="7711" max="7712" width="9.109375" style="2"/>
    <col min="7713" max="7713" width="13.33203125" style="2" customWidth="1"/>
    <col min="7714" max="7714" width="11.44140625" style="2" customWidth="1"/>
    <col min="7715" max="7715" width="13.33203125" style="2" bestFit="1" customWidth="1"/>
    <col min="7716" max="7716" width="16.88671875" style="2" bestFit="1" customWidth="1"/>
    <col min="7717" max="7719" width="14.44140625" style="2" customWidth="1"/>
    <col min="7720" max="7720" width="9.88671875" style="2" customWidth="1"/>
    <col min="7721" max="7723" width="17" style="2" customWidth="1"/>
    <col min="7724" max="7724" width="9.109375" style="2"/>
    <col min="7725" max="7725" width="17" style="2" customWidth="1"/>
    <col min="7726" max="7726" width="10.44140625" style="2" customWidth="1"/>
    <col min="7727" max="7900" width="9.109375" style="2"/>
    <col min="7901" max="7901" width="18.44140625" style="2" customWidth="1"/>
    <col min="7902" max="7902" width="11.88671875" style="2" customWidth="1"/>
    <col min="7903" max="7904" width="10.109375" style="2" customWidth="1"/>
    <col min="7905" max="7906" width="13.6640625" style="2" customWidth="1"/>
    <col min="7907" max="7909" width="23.77734375" style="2" customWidth="1"/>
    <col min="7910" max="7912" width="9.109375" style="2"/>
    <col min="7913" max="7913" width="21" style="2" customWidth="1"/>
    <col min="7914" max="7914" width="12.33203125" style="2" customWidth="1"/>
    <col min="7915" max="7915" width="14" style="2" customWidth="1"/>
    <col min="7916" max="7916" width="10.109375" style="2" bestFit="1" customWidth="1"/>
    <col min="7917" max="7917" width="10.109375" style="2" customWidth="1"/>
    <col min="7918" max="7918" width="27.21875" style="2" customWidth="1"/>
    <col min="7919" max="7919" width="24.5546875" style="2" customWidth="1"/>
    <col min="7920" max="7920" width="16.21875" style="2" customWidth="1"/>
    <col min="7921" max="7921" width="16.33203125" style="2" customWidth="1"/>
    <col min="7922" max="7922" width="18.5546875" style="2" customWidth="1"/>
    <col min="7923" max="7923" width="20.33203125" style="2" customWidth="1"/>
    <col min="7924" max="7925" width="22.88671875" style="2" customWidth="1"/>
    <col min="7926" max="7929" width="18" style="2" customWidth="1"/>
    <col min="7930" max="7930" width="17.21875" style="2" customWidth="1"/>
    <col min="7931" max="7931" width="16.6640625" style="2" customWidth="1"/>
    <col min="7932" max="7932" width="17.44140625" style="2" customWidth="1"/>
    <col min="7933" max="7933" width="24.21875" style="2" customWidth="1"/>
    <col min="7934" max="7934" width="20.44140625" style="2" customWidth="1"/>
    <col min="7935" max="7935" width="41.5546875" style="2" customWidth="1"/>
    <col min="7936" max="7937" width="32.44140625" style="2" customWidth="1"/>
    <col min="7938" max="7942" width="41.5546875" style="2" customWidth="1"/>
    <col min="7943" max="7943" width="30.44140625" style="2" customWidth="1"/>
    <col min="7944" max="7944" width="22.33203125" style="2" customWidth="1"/>
    <col min="7945" max="7945" width="9.109375" style="2"/>
    <col min="7946" max="7946" width="22.88671875" style="2" customWidth="1"/>
    <col min="7947" max="7947" width="23.77734375" style="2" customWidth="1"/>
    <col min="7948" max="7948" width="74.44140625" style="2" customWidth="1"/>
    <col min="7949" max="7950" width="9.109375" style="2"/>
    <col min="7951" max="7951" width="14.109375" style="2" customWidth="1"/>
    <col min="7952" max="7952" width="12.44140625" style="2" customWidth="1"/>
    <col min="7953" max="7953" width="13.44140625" style="2" customWidth="1"/>
    <col min="7954" max="7954" width="11.109375" style="2" customWidth="1"/>
    <col min="7955" max="7958" width="17.33203125" style="2" customWidth="1"/>
    <col min="7959" max="7962" width="9.109375" style="2"/>
    <col min="7963" max="7964" width="22.33203125" style="2" customWidth="1"/>
    <col min="7965" max="7965" width="11.88671875" style="2" customWidth="1"/>
    <col min="7966" max="7966" width="10.109375" style="2" customWidth="1"/>
    <col min="7967" max="7968" width="9.109375" style="2"/>
    <col min="7969" max="7969" width="13.33203125" style="2" customWidth="1"/>
    <col min="7970" max="7970" width="11.44140625" style="2" customWidth="1"/>
    <col min="7971" max="7971" width="13.33203125" style="2" bestFit="1" customWidth="1"/>
    <col min="7972" max="7972" width="16.88671875" style="2" bestFit="1" customWidth="1"/>
    <col min="7973" max="7975" width="14.44140625" style="2" customWidth="1"/>
    <col min="7976" max="7976" width="9.88671875" style="2" customWidth="1"/>
    <col min="7977" max="7979" width="17" style="2" customWidth="1"/>
    <col min="7980" max="7980" width="9.109375" style="2"/>
    <col min="7981" max="7981" width="17" style="2" customWidth="1"/>
    <col min="7982" max="7982" width="10.44140625" style="2" customWidth="1"/>
    <col min="7983" max="8156" width="9.109375" style="2"/>
    <col min="8157" max="8157" width="18.44140625" style="2" customWidth="1"/>
    <col min="8158" max="8158" width="11.88671875" style="2" customWidth="1"/>
    <col min="8159" max="8160" width="10.109375" style="2" customWidth="1"/>
    <col min="8161" max="8162" width="13.6640625" style="2" customWidth="1"/>
    <col min="8163" max="8165" width="23.77734375" style="2" customWidth="1"/>
    <col min="8166" max="8168" width="9.109375" style="2"/>
    <col min="8169" max="8169" width="21" style="2" customWidth="1"/>
    <col min="8170" max="8170" width="12.33203125" style="2" customWidth="1"/>
    <col min="8171" max="8171" width="14" style="2" customWidth="1"/>
    <col min="8172" max="8172" width="10.109375" style="2" bestFit="1" customWidth="1"/>
    <col min="8173" max="8173" width="10.109375" style="2" customWidth="1"/>
    <col min="8174" max="8174" width="27.21875" style="2" customWidth="1"/>
    <col min="8175" max="8175" width="24.5546875" style="2" customWidth="1"/>
    <col min="8176" max="8176" width="16.21875" style="2" customWidth="1"/>
    <col min="8177" max="8177" width="16.33203125" style="2" customWidth="1"/>
    <col min="8178" max="8178" width="18.5546875" style="2" customWidth="1"/>
    <col min="8179" max="8179" width="20.33203125" style="2" customWidth="1"/>
    <col min="8180" max="8181" width="22.88671875" style="2" customWidth="1"/>
    <col min="8182" max="8185" width="18" style="2" customWidth="1"/>
    <col min="8186" max="8186" width="17.21875" style="2" customWidth="1"/>
    <col min="8187" max="8187" width="16.6640625" style="2" customWidth="1"/>
    <col min="8188" max="8188" width="17.44140625" style="2" customWidth="1"/>
    <col min="8189" max="8189" width="24.21875" style="2" customWidth="1"/>
    <col min="8190" max="8190" width="20.44140625" style="2" customWidth="1"/>
    <col min="8191" max="8191" width="41.5546875" style="2" customWidth="1"/>
    <col min="8192" max="8193" width="32.44140625" style="2" customWidth="1"/>
    <col min="8194" max="8198" width="41.5546875" style="2" customWidth="1"/>
    <col min="8199" max="8199" width="30.44140625" style="2" customWidth="1"/>
    <col min="8200" max="8200" width="22.33203125" style="2" customWidth="1"/>
    <col min="8201" max="8201" width="9.109375" style="2"/>
    <col min="8202" max="8202" width="22.88671875" style="2" customWidth="1"/>
    <col min="8203" max="8203" width="23.77734375" style="2" customWidth="1"/>
    <col min="8204" max="8204" width="74.44140625" style="2" customWidth="1"/>
    <col min="8205" max="8206" width="9.109375" style="2"/>
    <col min="8207" max="8207" width="14.109375" style="2" customWidth="1"/>
    <col min="8208" max="8208" width="12.44140625" style="2" customWidth="1"/>
    <col min="8209" max="8209" width="13.44140625" style="2" customWidth="1"/>
    <col min="8210" max="8210" width="11.109375" style="2" customWidth="1"/>
    <col min="8211" max="8214" width="17.33203125" style="2" customWidth="1"/>
    <col min="8215" max="8218" width="9.109375" style="2"/>
    <col min="8219" max="8220" width="22.33203125" style="2" customWidth="1"/>
    <col min="8221" max="8221" width="11.88671875" style="2" customWidth="1"/>
    <col min="8222" max="8222" width="10.109375" style="2" customWidth="1"/>
    <col min="8223" max="8224" width="9.109375" style="2"/>
    <col min="8225" max="8225" width="13.33203125" style="2" customWidth="1"/>
    <col min="8226" max="8226" width="11.44140625" style="2" customWidth="1"/>
    <col min="8227" max="8227" width="13.33203125" style="2" bestFit="1" customWidth="1"/>
    <col min="8228" max="8228" width="16.88671875" style="2" bestFit="1" customWidth="1"/>
    <col min="8229" max="8231" width="14.44140625" style="2" customWidth="1"/>
    <col min="8232" max="8232" width="9.88671875" style="2" customWidth="1"/>
    <col min="8233" max="8235" width="17" style="2" customWidth="1"/>
    <col min="8236" max="8236" width="9.109375" style="2"/>
    <col min="8237" max="8237" width="17" style="2" customWidth="1"/>
    <col min="8238" max="8238" width="10.44140625" style="2" customWidth="1"/>
    <col min="8239" max="8412" width="9.109375" style="2"/>
    <col min="8413" max="8413" width="18.44140625" style="2" customWidth="1"/>
    <col min="8414" max="8414" width="11.88671875" style="2" customWidth="1"/>
    <col min="8415" max="8416" width="10.109375" style="2" customWidth="1"/>
    <col min="8417" max="8418" width="13.6640625" style="2" customWidth="1"/>
    <col min="8419" max="8421" width="23.77734375" style="2" customWidth="1"/>
    <col min="8422" max="8424" width="9.109375" style="2"/>
    <col min="8425" max="8425" width="21" style="2" customWidth="1"/>
    <col min="8426" max="8426" width="12.33203125" style="2" customWidth="1"/>
    <col min="8427" max="8427" width="14" style="2" customWidth="1"/>
    <col min="8428" max="8428" width="10.109375" style="2" bestFit="1" customWidth="1"/>
    <col min="8429" max="8429" width="10.109375" style="2" customWidth="1"/>
    <col min="8430" max="8430" width="27.21875" style="2" customWidth="1"/>
    <col min="8431" max="8431" width="24.5546875" style="2" customWidth="1"/>
    <col min="8432" max="8432" width="16.21875" style="2" customWidth="1"/>
    <col min="8433" max="8433" width="16.33203125" style="2" customWidth="1"/>
    <col min="8434" max="8434" width="18.5546875" style="2" customWidth="1"/>
    <col min="8435" max="8435" width="20.33203125" style="2" customWidth="1"/>
    <col min="8436" max="8437" width="22.88671875" style="2" customWidth="1"/>
    <col min="8438" max="8441" width="18" style="2" customWidth="1"/>
    <col min="8442" max="8442" width="17.21875" style="2" customWidth="1"/>
    <col min="8443" max="8443" width="16.6640625" style="2" customWidth="1"/>
    <col min="8444" max="8444" width="17.44140625" style="2" customWidth="1"/>
    <col min="8445" max="8445" width="24.21875" style="2" customWidth="1"/>
    <col min="8446" max="8446" width="20.44140625" style="2" customWidth="1"/>
    <col min="8447" max="8447" width="41.5546875" style="2" customWidth="1"/>
    <col min="8448" max="8449" width="32.44140625" style="2" customWidth="1"/>
    <col min="8450" max="8454" width="41.5546875" style="2" customWidth="1"/>
    <col min="8455" max="8455" width="30.44140625" style="2" customWidth="1"/>
    <col min="8456" max="8456" width="22.33203125" style="2" customWidth="1"/>
    <col min="8457" max="8457" width="9.109375" style="2"/>
    <col min="8458" max="8458" width="22.88671875" style="2" customWidth="1"/>
    <col min="8459" max="8459" width="23.77734375" style="2" customWidth="1"/>
    <col min="8460" max="8460" width="74.44140625" style="2" customWidth="1"/>
    <col min="8461" max="8462" width="9.109375" style="2"/>
    <col min="8463" max="8463" width="14.109375" style="2" customWidth="1"/>
    <col min="8464" max="8464" width="12.44140625" style="2" customWidth="1"/>
    <col min="8465" max="8465" width="13.44140625" style="2" customWidth="1"/>
    <col min="8466" max="8466" width="11.109375" style="2" customWidth="1"/>
    <col min="8467" max="8470" width="17.33203125" style="2" customWidth="1"/>
    <col min="8471" max="8474" width="9.109375" style="2"/>
    <col min="8475" max="8476" width="22.33203125" style="2" customWidth="1"/>
    <col min="8477" max="8477" width="11.88671875" style="2" customWidth="1"/>
    <col min="8478" max="8478" width="10.109375" style="2" customWidth="1"/>
    <col min="8479" max="8480" width="9.109375" style="2"/>
    <col min="8481" max="8481" width="13.33203125" style="2" customWidth="1"/>
    <col min="8482" max="8482" width="11.44140625" style="2" customWidth="1"/>
    <col min="8483" max="8483" width="13.33203125" style="2" bestFit="1" customWidth="1"/>
    <col min="8484" max="8484" width="16.88671875" style="2" bestFit="1" customWidth="1"/>
    <col min="8485" max="8487" width="14.44140625" style="2" customWidth="1"/>
    <col min="8488" max="8488" width="9.88671875" style="2" customWidth="1"/>
    <col min="8489" max="8491" width="17" style="2" customWidth="1"/>
    <col min="8492" max="8492" width="9.109375" style="2"/>
    <col min="8493" max="8493" width="17" style="2" customWidth="1"/>
    <col min="8494" max="8494" width="10.44140625" style="2" customWidth="1"/>
    <col min="8495" max="8668" width="9.109375" style="2"/>
    <col min="8669" max="8669" width="18.44140625" style="2" customWidth="1"/>
    <col min="8670" max="8670" width="11.88671875" style="2" customWidth="1"/>
    <col min="8671" max="8672" width="10.109375" style="2" customWidth="1"/>
    <col min="8673" max="8674" width="13.6640625" style="2" customWidth="1"/>
    <col min="8675" max="8677" width="23.77734375" style="2" customWidth="1"/>
    <col min="8678" max="8680" width="9.109375" style="2"/>
    <col min="8681" max="8681" width="21" style="2" customWidth="1"/>
    <col min="8682" max="8682" width="12.33203125" style="2" customWidth="1"/>
    <col min="8683" max="8683" width="14" style="2" customWidth="1"/>
    <col min="8684" max="8684" width="10.109375" style="2" bestFit="1" customWidth="1"/>
    <col min="8685" max="8685" width="10.109375" style="2" customWidth="1"/>
    <col min="8686" max="8686" width="27.21875" style="2" customWidth="1"/>
    <col min="8687" max="8687" width="24.5546875" style="2" customWidth="1"/>
    <col min="8688" max="8688" width="16.21875" style="2" customWidth="1"/>
    <col min="8689" max="8689" width="16.33203125" style="2" customWidth="1"/>
    <col min="8690" max="8690" width="18.5546875" style="2" customWidth="1"/>
    <col min="8691" max="8691" width="20.33203125" style="2" customWidth="1"/>
    <col min="8692" max="8693" width="22.88671875" style="2" customWidth="1"/>
    <col min="8694" max="8697" width="18" style="2" customWidth="1"/>
    <col min="8698" max="8698" width="17.21875" style="2" customWidth="1"/>
    <col min="8699" max="8699" width="16.6640625" style="2" customWidth="1"/>
    <col min="8700" max="8700" width="17.44140625" style="2" customWidth="1"/>
    <col min="8701" max="8701" width="24.21875" style="2" customWidth="1"/>
    <col min="8702" max="8702" width="20.44140625" style="2" customWidth="1"/>
    <col min="8703" max="8703" width="41.5546875" style="2" customWidth="1"/>
    <col min="8704" max="8705" width="32.44140625" style="2" customWidth="1"/>
    <col min="8706" max="8710" width="41.5546875" style="2" customWidth="1"/>
    <col min="8711" max="8711" width="30.44140625" style="2" customWidth="1"/>
    <col min="8712" max="8712" width="22.33203125" style="2" customWidth="1"/>
    <col min="8713" max="8713" width="9.109375" style="2"/>
    <col min="8714" max="8714" width="22.88671875" style="2" customWidth="1"/>
    <col min="8715" max="8715" width="23.77734375" style="2" customWidth="1"/>
    <col min="8716" max="8716" width="74.44140625" style="2" customWidth="1"/>
    <col min="8717" max="8718" width="9.109375" style="2"/>
    <col min="8719" max="8719" width="14.109375" style="2" customWidth="1"/>
    <col min="8720" max="8720" width="12.44140625" style="2" customWidth="1"/>
    <col min="8721" max="8721" width="13.44140625" style="2" customWidth="1"/>
    <col min="8722" max="8722" width="11.109375" style="2" customWidth="1"/>
    <col min="8723" max="8726" width="17.33203125" style="2" customWidth="1"/>
    <col min="8727" max="8730" width="9.109375" style="2"/>
    <col min="8731" max="8732" width="22.33203125" style="2" customWidth="1"/>
    <col min="8733" max="8733" width="11.88671875" style="2" customWidth="1"/>
    <col min="8734" max="8734" width="10.109375" style="2" customWidth="1"/>
    <col min="8735" max="8736" width="9.109375" style="2"/>
    <col min="8737" max="8737" width="13.33203125" style="2" customWidth="1"/>
    <col min="8738" max="8738" width="11.44140625" style="2" customWidth="1"/>
    <col min="8739" max="8739" width="13.33203125" style="2" bestFit="1" customWidth="1"/>
    <col min="8740" max="8740" width="16.88671875" style="2" bestFit="1" customWidth="1"/>
    <col min="8741" max="8743" width="14.44140625" style="2" customWidth="1"/>
    <col min="8744" max="8744" width="9.88671875" style="2" customWidth="1"/>
    <col min="8745" max="8747" width="17" style="2" customWidth="1"/>
    <col min="8748" max="8748" width="9.109375" style="2"/>
    <col min="8749" max="8749" width="17" style="2" customWidth="1"/>
    <col min="8750" max="8750" width="10.44140625" style="2" customWidth="1"/>
    <col min="8751" max="8924" width="9.109375" style="2"/>
    <col min="8925" max="8925" width="18.44140625" style="2" customWidth="1"/>
    <col min="8926" max="8926" width="11.88671875" style="2" customWidth="1"/>
    <col min="8927" max="8928" width="10.109375" style="2" customWidth="1"/>
    <col min="8929" max="8930" width="13.6640625" style="2" customWidth="1"/>
    <col min="8931" max="8933" width="23.77734375" style="2" customWidth="1"/>
    <col min="8934" max="8936" width="9.109375" style="2"/>
    <col min="8937" max="8937" width="21" style="2" customWidth="1"/>
    <col min="8938" max="8938" width="12.33203125" style="2" customWidth="1"/>
    <col min="8939" max="8939" width="14" style="2" customWidth="1"/>
    <col min="8940" max="8940" width="10.109375" style="2" bestFit="1" customWidth="1"/>
    <col min="8941" max="8941" width="10.109375" style="2" customWidth="1"/>
    <col min="8942" max="8942" width="27.21875" style="2" customWidth="1"/>
    <col min="8943" max="8943" width="24.5546875" style="2" customWidth="1"/>
    <col min="8944" max="8944" width="16.21875" style="2" customWidth="1"/>
    <col min="8945" max="8945" width="16.33203125" style="2" customWidth="1"/>
    <col min="8946" max="8946" width="18.5546875" style="2" customWidth="1"/>
    <col min="8947" max="8947" width="20.33203125" style="2" customWidth="1"/>
    <col min="8948" max="8949" width="22.88671875" style="2" customWidth="1"/>
    <col min="8950" max="8953" width="18" style="2" customWidth="1"/>
    <col min="8954" max="8954" width="17.21875" style="2" customWidth="1"/>
    <col min="8955" max="8955" width="16.6640625" style="2" customWidth="1"/>
    <col min="8956" max="8956" width="17.44140625" style="2" customWidth="1"/>
    <col min="8957" max="8957" width="24.21875" style="2" customWidth="1"/>
    <col min="8958" max="8958" width="20.44140625" style="2" customWidth="1"/>
    <col min="8959" max="8959" width="41.5546875" style="2" customWidth="1"/>
    <col min="8960" max="8961" width="32.44140625" style="2" customWidth="1"/>
    <col min="8962" max="8966" width="41.5546875" style="2" customWidth="1"/>
    <col min="8967" max="8967" width="30.44140625" style="2" customWidth="1"/>
    <col min="8968" max="8968" width="22.33203125" style="2" customWidth="1"/>
    <col min="8969" max="8969" width="9.109375" style="2"/>
    <col min="8970" max="8970" width="22.88671875" style="2" customWidth="1"/>
    <col min="8971" max="8971" width="23.77734375" style="2" customWidth="1"/>
    <col min="8972" max="8972" width="74.44140625" style="2" customWidth="1"/>
    <col min="8973" max="8974" width="9.109375" style="2"/>
    <col min="8975" max="8975" width="14.109375" style="2" customWidth="1"/>
    <col min="8976" max="8976" width="12.44140625" style="2" customWidth="1"/>
    <col min="8977" max="8977" width="13.44140625" style="2" customWidth="1"/>
    <col min="8978" max="8978" width="11.109375" style="2" customWidth="1"/>
    <col min="8979" max="8982" width="17.33203125" style="2" customWidth="1"/>
    <col min="8983" max="8986" width="9.109375" style="2"/>
    <col min="8987" max="8988" width="22.33203125" style="2" customWidth="1"/>
    <col min="8989" max="8989" width="11.88671875" style="2" customWidth="1"/>
    <col min="8990" max="8990" width="10.109375" style="2" customWidth="1"/>
    <col min="8991" max="8992" width="9.109375" style="2"/>
    <col min="8993" max="8993" width="13.33203125" style="2" customWidth="1"/>
    <col min="8994" max="8994" width="11.44140625" style="2" customWidth="1"/>
    <col min="8995" max="8995" width="13.33203125" style="2" bestFit="1" customWidth="1"/>
    <col min="8996" max="8996" width="16.88671875" style="2" bestFit="1" customWidth="1"/>
    <col min="8997" max="8999" width="14.44140625" style="2" customWidth="1"/>
    <col min="9000" max="9000" width="9.88671875" style="2" customWidth="1"/>
    <col min="9001" max="9003" width="17" style="2" customWidth="1"/>
    <col min="9004" max="9004" width="9.109375" style="2"/>
    <col min="9005" max="9005" width="17" style="2" customWidth="1"/>
    <col min="9006" max="9006" width="10.44140625" style="2" customWidth="1"/>
    <col min="9007" max="9180" width="9.109375" style="2"/>
    <col min="9181" max="9181" width="18.44140625" style="2" customWidth="1"/>
    <col min="9182" max="9182" width="11.88671875" style="2" customWidth="1"/>
    <col min="9183" max="9184" width="10.109375" style="2" customWidth="1"/>
    <col min="9185" max="9186" width="13.6640625" style="2" customWidth="1"/>
    <col min="9187" max="9189" width="23.77734375" style="2" customWidth="1"/>
    <col min="9190" max="9192" width="9.109375" style="2"/>
    <col min="9193" max="9193" width="21" style="2" customWidth="1"/>
    <col min="9194" max="9194" width="12.33203125" style="2" customWidth="1"/>
    <col min="9195" max="9195" width="14" style="2" customWidth="1"/>
    <col min="9196" max="9196" width="10.109375" style="2" bestFit="1" customWidth="1"/>
    <col min="9197" max="9197" width="10.109375" style="2" customWidth="1"/>
    <col min="9198" max="9198" width="27.21875" style="2" customWidth="1"/>
    <col min="9199" max="9199" width="24.5546875" style="2" customWidth="1"/>
    <col min="9200" max="9200" width="16.21875" style="2" customWidth="1"/>
    <col min="9201" max="9201" width="16.33203125" style="2" customWidth="1"/>
    <col min="9202" max="9202" width="18.5546875" style="2" customWidth="1"/>
    <col min="9203" max="9203" width="20.33203125" style="2" customWidth="1"/>
    <col min="9204" max="9205" width="22.88671875" style="2" customWidth="1"/>
    <col min="9206" max="9209" width="18" style="2" customWidth="1"/>
    <col min="9210" max="9210" width="17.21875" style="2" customWidth="1"/>
    <col min="9211" max="9211" width="16.6640625" style="2" customWidth="1"/>
    <col min="9212" max="9212" width="17.44140625" style="2" customWidth="1"/>
    <col min="9213" max="9213" width="24.21875" style="2" customWidth="1"/>
    <col min="9214" max="9214" width="20.44140625" style="2" customWidth="1"/>
    <col min="9215" max="9215" width="41.5546875" style="2" customWidth="1"/>
    <col min="9216" max="9217" width="32.44140625" style="2" customWidth="1"/>
    <col min="9218" max="9222" width="41.5546875" style="2" customWidth="1"/>
    <col min="9223" max="9223" width="30.44140625" style="2" customWidth="1"/>
    <col min="9224" max="9224" width="22.33203125" style="2" customWidth="1"/>
    <col min="9225" max="9225" width="9.109375" style="2"/>
    <col min="9226" max="9226" width="22.88671875" style="2" customWidth="1"/>
    <col min="9227" max="9227" width="23.77734375" style="2" customWidth="1"/>
    <col min="9228" max="9228" width="74.44140625" style="2" customWidth="1"/>
    <col min="9229" max="9230" width="9.109375" style="2"/>
    <col min="9231" max="9231" width="14.109375" style="2" customWidth="1"/>
    <col min="9232" max="9232" width="12.44140625" style="2" customWidth="1"/>
    <col min="9233" max="9233" width="13.44140625" style="2" customWidth="1"/>
    <col min="9234" max="9234" width="11.109375" style="2" customWidth="1"/>
    <col min="9235" max="9238" width="17.33203125" style="2" customWidth="1"/>
    <col min="9239" max="9242" width="9.109375" style="2"/>
    <col min="9243" max="9244" width="22.33203125" style="2" customWidth="1"/>
    <col min="9245" max="9245" width="11.88671875" style="2" customWidth="1"/>
    <col min="9246" max="9246" width="10.109375" style="2" customWidth="1"/>
    <col min="9247" max="9248" width="9.109375" style="2"/>
    <col min="9249" max="9249" width="13.33203125" style="2" customWidth="1"/>
    <col min="9250" max="9250" width="11.44140625" style="2" customWidth="1"/>
    <col min="9251" max="9251" width="13.33203125" style="2" bestFit="1" customWidth="1"/>
    <col min="9252" max="9252" width="16.88671875" style="2" bestFit="1" customWidth="1"/>
    <col min="9253" max="9255" width="14.44140625" style="2" customWidth="1"/>
    <col min="9256" max="9256" width="9.88671875" style="2" customWidth="1"/>
    <col min="9257" max="9259" width="17" style="2" customWidth="1"/>
    <col min="9260" max="9260" width="9.109375" style="2"/>
    <col min="9261" max="9261" width="17" style="2" customWidth="1"/>
    <col min="9262" max="9262" width="10.44140625" style="2" customWidth="1"/>
    <col min="9263" max="9436" width="9.109375" style="2"/>
    <col min="9437" max="9437" width="18.44140625" style="2" customWidth="1"/>
    <col min="9438" max="9438" width="11.88671875" style="2" customWidth="1"/>
    <col min="9439" max="9440" width="10.109375" style="2" customWidth="1"/>
    <col min="9441" max="9442" width="13.6640625" style="2" customWidth="1"/>
    <col min="9443" max="9445" width="23.77734375" style="2" customWidth="1"/>
    <col min="9446" max="9448" width="9.109375" style="2"/>
    <col min="9449" max="9449" width="21" style="2" customWidth="1"/>
    <col min="9450" max="9450" width="12.33203125" style="2" customWidth="1"/>
    <col min="9451" max="9451" width="14" style="2" customWidth="1"/>
    <col min="9452" max="9452" width="10.109375" style="2" bestFit="1" customWidth="1"/>
    <col min="9453" max="9453" width="10.109375" style="2" customWidth="1"/>
    <col min="9454" max="9454" width="27.21875" style="2" customWidth="1"/>
    <col min="9455" max="9455" width="24.5546875" style="2" customWidth="1"/>
    <col min="9456" max="9456" width="16.21875" style="2" customWidth="1"/>
    <col min="9457" max="9457" width="16.33203125" style="2" customWidth="1"/>
    <col min="9458" max="9458" width="18.5546875" style="2" customWidth="1"/>
    <col min="9459" max="9459" width="20.33203125" style="2" customWidth="1"/>
    <col min="9460" max="9461" width="22.88671875" style="2" customWidth="1"/>
    <col min="9462" max="9465" width="18" style="2" customWidth="1"/>
    <col min="9466" max="9466" width="17.21875" style="2" customWidth="1"/>
    <col min="9467" max="9467" width="16.6640625" style="2" customWidth="1"/>
    <col min="9468" max="9468" width="17.44140625" style="2" customWidth="1"/>
    <col min="9469" max="9469" width="24.21875" style="2" customWidth="1"/>
    <col min="9470" max="9470" width="20.44140625" style="2" customWidth="1"/>
    <col min="9471" max="9471" width="41.5546875" style="2" customWidth="1"/>
    <col min="9472" max="9473" width="32.44140625" style="2" customWidth="1"/>
    <col min="9474" max="9478" width="41.5546875" style="2" customWidth="1"/>
    <col min="9479" max="9479" width="30.44140625" style="2" customWidth="1"/>
    <col min="9480" max="9480" width="22.33203125" style="2" customWidth="1"/>
    <col min="9481" max="9481" width="9.109375" style="2"/>
    <col min="9482" max="9482" width="22.88671875" style="2" customWidth="1"/>
    <col min="9483" max="9483" width="23.77734375" style="2" customWidth="1"/>
    <col min="9484" max="9484" width="74.44140625" style="2" customWidth="1"/>
    <col min="9485" max="9486" width="9.109375" style="2"/>
    <col min="9487" max="9487" width="14.109375" style="2" customWidth="1"/>
    <col min="9488" max="9488" width="12.44140625" style="2" customWidth="1"/>
    <col min="9489" max="9489" width="13.44140625" style="2" customWidth="1"/>
    <col min="9490" max="9490" width="11.109375" style="2" customWidth="1"/>
    <col min="9491" max="9494" width="17.33203125" style="2" customWidth="1"/>
    <col min="9495" max="9498" width="9.109375" style="2"/>
    <col min="9499" max="9500" width="22.33203125" style="2" customWidth="1"/>
    <col min="9501" max="9501" width="11.88671875" style="2" customWidth="1"/>
    <col min="9502" max="9502" width="10.109375" style="2" customWidth="1"/>
    <col min="9503" max="9504" width="9.109375" style="2"/>
    <col min="9505" max="9505" width="13.33203125" style="2" customWidth="1"/>
    <col min="9506" max="9506" width="11.44140625" style="2" customWidth="1"/>
    <col min="9507" max="9507" width="13.33203125" style="2" bestFit="1" customWidth="1"/>
    <col min="9508" max="9508" width="16.88671875" style="2" bestFit="1" customWidth="1"/>
    <col min="9509" max="9511" width="14.44140625" style="2" customWidth="1"/>
    <col min="9512" max="9512" width="9.88671875" style="2" customWidth="1"/>
    <col min="9513" max="9515" width="17" style="2" customWidth="1"/>
    <col min="9516" max="9516" width="9.109375" style="2"/>
    <col min="9517" max="9517" width="17" style="2" customWidth="1"/>
    <col min="9518" max="9518" width="10.44140625" style="2" customWidth="1"/>
    <col min="9519" max="9692" width="9.109375" style="2"/>
    <col min="9693" max="9693" width="18.44140625" style="2" customWidth="1"/>
    <col min="9694" max="9694" width="11.88671875" style="2" customWidth="1"/>
    <col min="9695" max="9696" width="10.109375" style="2" customWidth="1"/>
    <col min="9697" max="9698" width="13.6640625" style="2" customWidth="1"/>
    <col min="9699" max="9701" width="23.77734375" style="2" customWidth="1"/>
    <col min="9702" max="9704" width="9.109375" style="2"/>
    <col min="9705" max="9705" width="21" style="2" customWidth="1"/>
    <col min="9706" max="9706" width="12.33203125" style="2" customWidth="1"/>
    <col min="9707" max="9707" width="14" style="2" customWidth="1"/>
    <col min="9708" max="9708" width="10.109375" style="2" bestFit="1" customWidth="1"/>
    <col min="9709" max="9709" width="10.109375" style="2" customWidth="1"/>
    <col min="9710" max="9710" width="27.21875" style="2" customWidth="1"/>
    <col min="9711" max="9711" width="24.5546875" style="2" customWidth="1"/>
    <col min="9712" max="9712" width="16.21875" style="2" customWidth="1"/>
    <col min="9713" max="9713" width="16.33203125" style="2" customWidth="1"/>
    <col min="9714" max="9714" width="18.5546875" style="2" customWidth="1"/>
    <col min="9715" max="9715" width="20.33203125" style="2" customWidth="1"/>
    <col min="9716" max="9717" width="22.88671875" style="2" customWidth="1"/>
    <col min="9718" max="9721" width="18" style="2" customWidth="1"/>
    <col min="9722" max="9722" width="17.21875" style="2" customWidth="1"/>
    <col min="9723" max="9723" width="16.6640625" style="2" customWidth="1"/>
    <col min="9724" max="9724" width="17.44140625" style="2" customWidth="1"/>
    <col min="9725" max="9725" width="24.21875" style="2" customWidth="1"/>
    <col min="9726" max="9726" width="20.44140625" style="2" customWidth="1"/>
    <col min="9727" max="9727" width="41.5546875" style="2" customWidth="1"/>
    <col min="9728" max="9729" width="32.44140625" style="2" customWidth="1"/>
    <col min="9730" max="9734" width="41.5546875" style="2" customWidth="1"/>
    <col min="9735" max="9735" width="30.44140625" style="2" customWidth="1"/>
    <col min="9736" max="9736" width="22.33203125" style="2" customWidth="1"/>
    <col min="9737" max="9737" width="9.109375" style="2"/>
    <col min="9738" max="9738" width="22.88671875" style="2" customWidth="1"/>
    <col min="9739" max="9739" width="23.77734375" style="2" customWidth="1"/>
    <col min="9740" max="9740" width="74.44140625" style="2" customWidth="1"/>
    <col min="9741" max="9742" width="9.109375" style="2"/>
    <col min="9743" max="9743" width="14.109375" style="2" customWidth="1"/>
    <col min="9744" max="9744" width="12.44140625" style="2" customWidth="1"/>
    <col min="9745" max="9745" width="13.44140625" style="2" customWidth="1"/>
    <col min="9746" max="9746" width="11.109375" style="2" customWidth="1"/>
    <col min="9747" max="9750" width="17.33203125" style="2" customWidth="1"/>
    <col min="9751" max="9754" width="9.109375" style="2"/>
    <col min="9755" max="9756" width="22.33203125" style="2" customWidth="1"/>
    <col min="9757" max="9757" width="11.88671875" style="2" customWidth="1"/>
    <col min="9758" max="9758" width="10.109375" style="2" customWidth="1"/>
    <col min="9759" max="9760" width="9.109375" style="2"/>
    <col min="9761" max="9761" width="13.33203125" style="2" customWidth="1"/>
    <col min="9762" max="9762" width="11.44140625" style="2" customWidth="1"/>
    <col min="9763" max="9763" width="13.33203125" style="2" bestFit="1" customWidth="1"/>
    <col min="9764" max="9764" width="16.88671875" style="2" bestFit="1" customWidth="1"/>
    <col min="9765" max="9767" width="14.44140625" style="2" customWidth="1"/>
    <col min="9768" max="9768" width="9.88671875" style="2" customWidth="1"/>
    <col min="9769" max="9771" width="17" style="2" customWidth="1"/>
    <col min="9772" max="9772" width="9.109375" style="2"/>
    <col min="9773" max="9773" width="17" style="2" customWidth="1"/>
    <col min="9774" max="9774" width="10.44140625" style="2" customWidth="1"/>
    <col min="9775" max="9948" width="9.109375" style="2"/>
    <col min="9949" max="9949" width="18.44140625" style="2" customWidth="1"/>
    <col min="9950" max="9950" width="11.88671875" style="2" customWidth="1"/>
    <col min="9951" max="9952" width="10.109375" style="2" customWidth="1"/>
    <col min="9953" max="9954" width="13.6640625" style="2" customWidth="1"/>
    <col min="9955" max="9957" width="23.77734375" style="2" customWidth="1"/>
    <col min="9958" max="9960" width="9.109375" style="2"/>
    <col min="9961" max="9961" width="21" style="2" customWidth="1"/>
    <col min="9962" max="9962" width="12.33203125" style="2" customWidth="1"/>
    <col min="9963" max="9963" width="14" style="2" customWidth="1"/>
    <col min="9964" max="9964" width="10.109375" style="2" bestFit="1" customWidth="1"/>
    <col min="9965" max="9965" width="10.109375" style="2" customWidth="1"/>
    <col min="9966" max="9966" width="27.21875" style="2" customWidth="1"/>
    <col min="9967" max="9967" width="24.5546875" style="2" customWidth="1"/>
    <col min="9968" max="9968" width="16.21875" style="2" customWidth="1"/>
    <col min="9969" max="9969" width="16.33203125" style="2" customWidth="1"/>
    <col min="9970" max="9970" width="18.5546875" style="2" customWidth="1"/>
    <col min="9971" max="9971" width="20.33203125" style="2" customWidth="1"/>
    <col min="9972" max="9973" width="22.88671875" style="2" customWidth="1"/>
    <col min="9974" max="9977" width="18" style="2" customWidth="1"/>
    <col min="9978" max="9978" width="17.21875" style="2" customWidth="1"/>
    <col min="9979" max="9979" width="16.6640625" style="2" customWidth="1"/>
    <col min="9980" max="9980" width="17.44140625" style="2" customWidth="1"/>
    <col min="9981" max="9981" width="24.21875" style="2" customWidth="1"/>
    <col min="9982" max="9982" width="20.44140625" style="2" customWidth="1"/>
    <col min="9983" max="9983" width="41.5546875" style="2" customWidth="1"/>
    <col min="9984" max="9985" width="32.44140625" style="2" customWidth="1"/>
    <col min="9986" max="9990" width="41.5546875" style="2" customWidth="1"/>
    <col min="9991" max="9991" width="30.44140625" style="2" customWidth="1"/>
    <col min="9992" max="9992" width="22.33203125" style="2" customWidth="1"/>
    <col min="9993" max="9993" width="9.109375" style="2"/>
    <col min="9994" max="9994" width="22.88671875" style="2" customWidth="1"/>
    <col min="9995" max="9995" width="23.77734375" style="2" customWidth="1"/>
    <col min="9996" max="9996" width="74.44140625" style="2" customWidth="1"/>
    <col min="9997" max="9998" width="9.109375" style="2"/>
    <col min="9999" max="9999" width="14.109375" style="2" customWidth="1"/>
    <col min="10000" max="10000" width="12.44140625" style="2" customWidth="1"/>
    <col min="10001" max="10001" width="13.44140625" style="2" customWidth="1"/>
    <col min="10002" max="10002" width="11.109375" style="2" customWidth="1"/>
    <col min="10003" max="10006" width="17.33203125" style="2" customWidth="1"/>
    <col min="10007" max="10010" width="9.109375" style="2"/>
    <col min="10011" max="10012" width="22.33203125" style="2" customWidth="1"/>
    <col min="10013" max="10013" width="11.88671875" style="2" customWidth="1"/>
    <col min="10014" max="10014" width="10.109375" style="2" customWidth="1"/>
    <col min="10015" max="10016" width="9.109375" style="2"/>
    <col min="10017" max="10017" width="13.33203125" style="2" customWidth="1"/>
    <col min="10018" max="10018" width="11.44140625" style="2" customWidth="1"/>
    <col min="10019" max="10019" width="13.33203125" style="2" bestFit="1" customWidth="1"/>
    <col min="10020" max="10020" width="16.88671875" style="2" bestFit="1" customWidth="1"/>
    <col min="10021" max="10023" width="14.44140625" style="2" customWidth="1"/>
    <col min="10024" max="10024" width="9.88671875" style="2" customWidth="1"/>
    <col min="10025" max="10027" width="17" style="2" customWidth="1"/>
    <col min="10028" max="10028" width="9.109375" style="2"/>
    <col min="10029" max="10029" width="17" style="2" customWidth="1"/>
    <col min="10030" max="10030" width="10.44140625" style="2" customWidth="1"/>
    <col min="10031" max="10204" width="9.109375" style="2"/>
    <col min="10205" max="10205" width="18.44140625" style="2" customWidth="1"/>
    <col min="10206" max="10206" width="11.88671875" style="2" customWidth="1"/>
    <col min="10207" max="10208" width="10.109375" style="2" customWidth="1"/>
    <col min="10209" max="10210" width="13.6640625" style="2" customWidth="1"/>
    <col min="10211" max="10213" width="23.77734375" style="2" customWidth="1"/>
    <col min="10214" max="10216" width="9.109375" style="2"/>
    <col min="10217" max="10217" width="21" style="2" customWidth="1"/>
    <col min="10218" max="10218" width="12.33203125" style="2" customWidth="1"/>
    <col min="10219" max="10219" width="14" style="2" customWidth="1"/>
    <col min="10220" max="10220" width="10.109375" style="2" bestFit="1" customWidth="1"/>
    <col min="10221" max="10221" width="10.109375" style="2" customWidth="1"/>
    <col min="10222" max="10222" width="27.21875" style="2" customWidth="1"/>
    <col min="10223" max="10223" width="24.5546875" style="2" customWidth="1"/>
    <col min="10224" max="10224" width="16.21875" style="2" customWidth="1"/>
    <col min="10225" max="10225" width="16.33203125" style="2" customWidth="1"/>
    <col min="10226" max="10226" width="18.5546875" style="2" customWidth="1"/>
    <col min="10227" max="10227" width="20.33203125" style="2" customWidth="1"/>
    <col min="10228" max="10229" width="22.88671875" style="2" customWidth="1"/>
    <col min="10230" max="10233" width="18" style="2" customWidth="1"/>
    <col min="10234" max="10234" width="17.21875" style="2" customWidth="1"/>
    <col min="10235" max="10235" width="16.6640625" style="2" customWidth="1"/>
    <col min="10236" max="10236" width="17.44140625" style="2" customWidth="1"/>
    <col min="10237" max="10237" width="24.21875" style="2" customWidth="1"/>
    <col min="10238" max="10238" width="20.44140625" style="2" customWidth="1"/>
    <col min="10239" max="10239" width="41.5546875" style="2" customWidth="1"/>
    <col min="10240" max="10241" width="32.44140625" style="2" customWidth="1"/>
    <col min="10242" max="10246" width="41.5546875" style="2" customWidth="1"/>
    <col min="10247" max="10247" width="30.44140625" style="2" customWidth="1"/>
    <col min="10248" max="10248" width="22.33203125" style="2" customWidth="1"/>
    <col min="10249" max="10249" width="9.109375" style="2"/>
    <col min="10250" max="10250" width="22.88671875" style="2" customWidth="1"/>
    <col min="10251" max="10251" width="23.77734375" style="2" customWidth="1"/>
    <col min="10252" max="10252" width="74.44140625" style="2" customWidth="1"/>
    <col min="10253" max="10254" width="9.109375" style="2"/>
    <col min="10255" max="10255" width="14.109375" style="2" customWidth="1"/>
    <col min="10256" max="10256" width="12.44140625" style="2" customWidth="1"/>
    <col min="10257" max="10257" width="13.44140625" style="2" customWidth="1"/>
    <col min="10258" max="10258" width="11.109375" style="2" customWidth="1"/>
    <col min="10259" max="10262" width="17.33203125" style="2" customWidth="1"/>
    <col min="10263" max="10266" width="9.109375" style="2"/>
    <col min="10267" max="10268" width="22.33203125" style="2" customWidth="1"/>
    <col min="10269" max="10269" width="11.88671875" style="2" customWidth="1"/>
    <col min="10270" max="10270" width="10.109375" style="2" customWidth="1"/>
    <col min="10271" max="10272" width="9.109375" style="2"/>
    <col min="10273" max="10273" width="13.33203125" style="2" customWidth="1"/>
    <col min="10274" max="10274" width="11.44140625" style="2" customWidth="1"/>
    <col min="10275" max="10275" width="13.33203125" style="2" bestFit="1" customWidth="1"/>
    <col min="10276" max="10276" width="16.88671875" style="2" bestFit="1" customWidth="1"/>
    <col min="10277" max="10279" width="14.44140625" style="2" customWidth="1"/>
    <col min="10280" max="10280" width="9.88671875" style="2" customWidth="1"/>
    <col min="10281" max="10283" width="17" style="2" customWidth="1"/>
    <col min="10284" max="10284" width="9.109375" style="2"/>
    <col min="10285" max="10285" width="17" style="2" customWidth="1"/>
    <col min="10286" max="10286" width="10.44140625" style="2" customWidth="1"/>
    <col min="10287" max="10460" width="9.109375" style="2"/>
    <col min="10461" max="10461" width="18.44140625" style="2" customWidth="1"/>
    <col min="10462" max="10462" width="11.88671875" style="2" customWidth="1"/>
    <col min="10463" max="10464" width="10.109375" style="2" customWidth="1"/>
    <col min="10465" max="10466" width="13.6640625" style="2" customWidth="1"/>
    <col min="10467" max="10469" width="23.77734375" style="2" customWidth="1"/>
    <col min="10470" max="10472" width="9.109375" style="2"/>
    <col min="10473" max="10473" width="21" style="2" customWidth="1"/>
    <col min="10474" max="10474" width="12.33203125" style="2" customWidth="1"/>
    <col min="10475" max="10475" width="14" style="2" customWidth="1"/>
    <col min="10476" max="10476" width="10.109375" style="2" bestFit="1" customWidth="1"/>
    <col min="10477" max="10477" width="10.109375" style="2" customWidth="1"/>
    <col min="10478" max="10478" width="27.21875" style="2" customWidth="1"/>
    <col min="10479" max="10479" width="24.5546875" style="2" customWidth="1"/>
    <col min="10480" max="10480" width="16.21875" style="2" customWidth="1"/>
    <col min="10481" max="10481" width="16.33203125" style="2" customWidth="1"/>
    <col min="10482" max="10482" width="18.5546875" style="2" customWidth="1"/>
    <col min="10483" max="10483" width="20.33203125" style="2" customWidth="1"/>
    <col min="10484" max="10485" width="22.88671875" style="2" customWidth="1"/>
    <col min="10486" max="10489" width="18" style="2" customWidth="1"/>
    <col min="10490" max="10490" width="17.21875" style="2" customWidth="1"/>
    <col min="10491" max="10491" width="16.6640625" style="2" customWidth="1"/>
    <col min="10492" max="10492" width="17.44140625" style="2" customWidth="1"/>
    <col min="10493" max="10493" width="24.21875" style="2" customWidth="1"/>
    <col min="10494" max="10494" width="20.44140625" style="2" customWidth="1"/>
    <col min="10495" max="10495" width="41.5546875" style="2" customWidth="1"/>
    <col min="10496" max="10497" width="32.44140625" style="2" customWidth="1"/>
    <col min="10498" max="10502" width="41.5546875" style="2" customWidth="1"/>
    <col min="10503" max="10503" width="30.44140625" style="2" customWidth="1"/>
    <col min="10504" max="10504" width="22.33203125" style="2" customWidth="1"/>
    <col min="10505" max="10505" width="9.109375" style="2"/>
    <col min="10506" max="10506" width="22.88671875" style="2" customWidth="1"/>
    <col min="10507" max="10507" width="23.77734375" style="2" customWidth="1"/>
    <col min="10508" max="10508" width="74.44140625" style="2" customWidth="1"/>
    <col min="10509" max="10510" width="9.109375" style="2"/>
    <col min="10511" max="10511" width="14.109375" style="2" customWidth="1"/>
    <col min="10512" max="10512" width="12.44140625" style="2" customWidth="1"/>
    <col min="10513" max="10513" width="13.44140625" style="2" customWidth="1"/>
    <col min="10514" max="10514" width="11.109375" style="2" customWidth="1"/>
    <col min="10515" max="10518" width="17.33203125" style="2" customWidth="1"/>
    <col min="10519" max="10522" width="9.109375" style="2"/>
    <col min="10523" max="10524" width="22.33203125" style="2" customWidth="1"/>
    <col min="10525" max="10525" width="11.88671875" style="2" customWidth="1"/>
    <col min="10526" max="10526" width="10.109375" style="2" customWidth="1"/>
    <col min="10527" max="10528" width="9.109375" style="2"/>
    <col min="10529" max="10529" width="13.33203125" style="2" customWidth="1"/>
    <col min="10530" max="10530" width="11.44140625" style="2" customWidth="1"/>
    <col min="10531" max="10531" width="13.33203125" style="2" bestFit="1" customWidth="1"/>
    <col min="10532" max="10532" width="16.88671875" style="2" bestFit="1" customWidth="1"/>
    <col min="10533" max="10535" width="14.44140625" style="2" customWidth="1"/>
    <col min="10536" max="10536" width="9.88671875" style="2" customWidth="1"/>
    <col min="10537" max="10539" width="17" style="2" customWidth="1"/>
    <col min="10540" max="10540" width="9.109375" style="2"/>
    <col min="10541" max="10541" width="17" style="2" customWidth="1"/>
    <col min="10542" max="10542" width="10.44140625" style="2" customWidth="1"/>
    <col min="10543" max="10716" width="9.109375" style="2"/>
    <col min="10717" max="10717" width="18.44140625" style="2" customWidth="1"/>
    <col min="10718" max="10718" width="11.88671875" style="2" customWidth="1"/>
    <col min="10719" max="10720" width="10.109375" style="2" customWidth="1"/>
    <col min="10721" max="10722" width="13.6640625" style="2" customWidth="1"/>
    <col min="10723" max="10725" width="23.77734375" style="2" customWidth="1"/>
    <col min="10726" max="10728" width="9.109375" style="2"/>
    <col min="10729" max="10729" width="21" style="2" customWidth="1"/>
    <col min="10730" max="10730" width="12.33203125" style="2" customWidth="1"/>
    <col min="10731" max="10731" width="14" style="2" customWidth="1"/>
    <col min="10732" max="10732" width="10.109375" style="2" bestFit="1" customWidth="1"/>
    <col min="10733" max="10733" width="10.109375" style="2" customWidth="1"/>
    <col min="10734" max="10734" width="27.21875" style="2" customWidth="1"/>
    <col min="10735" max="10735" width="24.5546875" style="2" customWidth="1"/>
    <col min="10736" max="10736" width="16.21875" style="2" customWidth="1"/>
    <col min="10737" max="10737" width="16.33203125" style="2" customWidth="1"/>
    <col min="10738" max="10738" width="18.5546875" style="2" customWidth="1"/>
    <col min="10739" max="10739" width="20.33203125" style="2" customWidth="1"/>
    <col min="10740" max="10741" width="22.88671875" style="2" customWidth="1"/>
    <col min="10742" max="10745" width="18" style="2" customWidth="1"/>
    <col min="10746" max="10746" width="17.21875" style="2" customWidth="1"/>
    <col min="10747" max="10747" width="16.6640625" style="2" customWidth="1"/>
    <col min="10748" max="10748" width="17.44140625" style="2" customWidth="1"/>
    <col min="10749" max="10749" width="24.21875" style="2" customWidth="1"/>
    <col min="10750" max="10750" width="20.44140625" style="2" customWidth="1"/>
    <col min="10751" max="10751" width="41.5546875" style="2" customWidth="1"/>
    <col min="10752" max="10753" width="32.44140625" style="2" customWidth="1"/>
    <col min="10754" max="10758" width="41.5546875" style="2" customWidth="1"/>
    <col min="10759" max="10759" width="30.44140625" style="2" customWidth="1"/>
    <col min="10760" max="10760" width="22.33203125" style="2" customWidth="1"/>
    <col min="10761" max="10761" width="9.109375" style="2"/>
    <col min="10762" max="10762" width="22.88671875" style="2" customWidth="1"/>
    <col min="10763" max="10763" width="23.77734375" style="2" customWidth="1"/>
    <col min="10764" max="10764" width="74.44140625" style="2" customWidth="1"/>
    <col min="10765" max="10766" width="9.109375" style="2"/>
    <col min="10767" max="10767" width="14.109375" style="2" customWidth="1"/>
    <col min="10768" max="10768" width="12.44140625" style="2" customWidth="1"/>
    <col min="10769" max="10769" width="13.44140625" style="2" customWidth="1"/>
    <col min="10770" max="10770" width="11.109375" style="2" customWidth="1"/>
    <col min="10771" max="10774" width="17.33203125" style="2" customWidth="1"/>
    <col min="10775" max="10778" width="9.109375" style="2"/>
    <col min="10779" max="10780" width="22.33203125" style="2" customWidth="1"/>
    <col min="10781" max="10781" width="11.88671875" style="2" customWidth="1"/>
    <col min="10782" max="10782" width="10.109375" style="2" customWidth="1"/>
    <col min="10783" max="10784" width="9.109375" style="2"/>
    <col min="10785" max="10785" width="13.33203125" style="2" customWidth="1"/>
    <col min="10786" max="10786" width="11.44140625" style="2" customWidth="1"/>
    <col min="10787" max="10787" width="13.33203125" style="2" bestFit="1" customWidth="1"/>
    <col min="10788" max="10788" width="16.88671875" style="2" bestFit="1" customWidth="1"/>
    <col min="10789" max="10791" width="14.44140625" style="2" customWidth="1"/>
    <col min="10792" max="10792" width="9.88671875" style="2" customWidth="1"/>
    <col min="10793" max="10795" width="17" style="2" customWidth="1"/>
    <col min="10796" max="10796" width="9.109375" style="2"/>
    <col min="10797" max="10797" width="17" style="2" customWidth="1"/>
    <col min="10798" max="10798" width="10.44140625" style="2" customWidth="1"/>
    <col min="10799" max="10972" width="9.109375" style="2"/>
    <col min="10973" max="10973" width="18.44140625" style="2" customWidth="1"/>
    <col min="10974" max="10974" width="11.88671875" style="2" customWidth="1"/>
    <col min="10975" max="10976" width="10.109375" style="2" customWidth="1"/>
    <col min="10977" max="10978" width="13.6640625" style="2" customWidth="1"/>
    <col min="10979" max="10981" width="23.77734375" style="2" customWidth="1"/>
    <col min="10982" max="10984" width="9.109375" style="2"/>
    <col min="10985" max="10985" width="21" style="2" customWidth="1"/>
    <col min="10986" max="10986" width="12.33203125" style="2" customWidth="1"/>
    <col min="10987" max="10987" width="14" style="2" customWidth="1"/>
    <col min="10988" max="10988" width="10.109375" style="2" bestFit="1" customWidth="1"/>
    <col min="10989" max="10989" width="10.109375" style="2" customWidth="1"/>
    <col min="10990" max="10990" width="27.21875" style="2" customWidth="1"/>
    <col min="10991" max="10991" width="24.5546875" style="2" customWidth="1"/>
    <col min="10992" max="10992" width="16.21875" style="2" customWidth="1"/>
    <col min="10993" max="10993" width="16.33203125" style="2" customWidth="1"/>
    <col min="10994" max="10994" width="18.5546875" style="2" customWidth="1"/>
    <col min="10995" max="10995" width="20.33203125" style="2" customWidth="1"/>
    <col min="10996" max="10997" width="22.88671875" style="2" customWidth="1"/>
    <col min="10998" max="11001" width="18" style="2" customWidth="1"/>
    <col min="11002" max="11002" width="17.21875" style="2" customWidth="1"/>
    <col min="11003" max="11003" width="16.6640625" style="2" customWidth="1"/>
    <col min="11004" max="11004" width="17.44140625" style="2" customWidth="1"/>
    <col min="11005" max="11005" width="24.21875" style="2" customWidth="1"/>
    <col min="11006" max="11006" width="20.44140625" style="2" customWidth="1"/>
    <col min="11007" max="11007" width="41.5546875" style="2" customWidth="1"/>
    <col min="11008" max="11009" width="32.44140625" style="2" customWidth="1"/>
    <col min="11010" max="11014" width="41.5546875" style="2" customWidth="1"/>
    <col min="11015" max="11015" width="30.44140625" style="2" customWidth="1"/>
    <col min="11016" max="11016" width="22.33203125" style="2" customWidth="1"/>
    <col min="11017" max="11017" width="9.109375" style="2"/>
    <col min="11018" max="11018" width="22.88671875" style="2" customWidth="1"/>
    <col min="11019" max="11019" width="23.77734375" style="2" customWidth="1"/>
    <col min="11020" max="11020" width="74.44140625" style="2" customWidth="1"/>
    <col min="11021" max="11022" width="9.109375" style="2"/>
    <col min="11023" max="11023" width="14.109375" style="2" customWidth="1"/>
    <col min="11024" max="11024" width="12.44140625" style="2" customWidth="1"/>
    <col min="11025" max="11025" width="13.44140625" style="2" customWidth="1"/>
    <col min="11026" max="11026" width="11.109375" style="2" customWidth="1"/>
    <col min="11027" max="11030" width="17.33203125" style="2" customWidth="1"/>
    <col min="11031" max="11034" width="9.109375" style="2"/>
    <col min="11035" max="11036" width="22.33203125" style="2" customWidth="1"/>
    <col min="11037" max="11037" width="11.88671875" style="2" customWidth="1"/>
    <col min="11038" max="11038" width="10.109375" style="2" customWidth="1"/>
    <col min="11039" max="11040" width="9.109375" style="2"/>
    <col min="11041" max="11041" width="13.33203125" style="2" customWidth="1"/>
    <col min="11042" max="11042" width="11.44140625" style="2" customWidth="1"/>
    <col min="11043" max="11043" width="13.33203125" style="2" bestFit="1" customWidth="1"/>
    <col min="11044" max="11044" width="16.88671875" style="2" bestFit="1" customWidth="1"/>
    <col min="11045" max="11047" width="14.44140625" style="2" customWidth="1"/>
    <col min="11048" max="11048" width="9.88671875" style="2" customWidth="1"/>
    <col min="11049" max="11051" width="17" style="2" customWidth="1"/>
    <col min="11052" max="11052" width="9.109375" style="2"/>
    <col min="11053" max="11053" width="17" style="2" customWidth="1"/>
    <col min="11054" max="11054" width="10.44140625" style="2" customWidth="1"/>
    <col min="11055" max="11228" width="9.109375" style="2"/>
    <col min="11229" max="11229" width="18.44140625" style="2" customWidth="1"/>
    <col min="11230" max="11230" width="11.88671875" style="2" customWidth="1"/>
    <col min="11231" max="11232" width="10.109375" style="2" customWidth="1"/>
    <col min="11233" max="11234" width="13.6640625" style="2" customWidth="1"/>
    <col min="11235" max="11237" width="23.77734375" style="2" customWidth="1"/>
    <col min="11238" max="11240" width="9.109375" style="2"/>
    <col min="11241" max="11241" width="21" style="2" customWidth="1"/>
    <col min="11242" max="11242" width="12.33203125" style="2" customWidth="1"/>
    <col min="11243" max="11243" width="14" style="2" customWidth="1"/>
    <col min="11244" max="11244" width="10.109375" style="2" bestFit="1" customWidth="1"/>
    <col min="11245" max="11245" width="10.109375" style="2" customWidth="1"/>
    <col min="11246" max="11246" width="27.21875" style="2" customWidth="1"/>
    <col min="11247" max="11247" width="24.5546875" style="2" customWidth="1"/>
    <col min="11248" max="11248" width="16.21875" style="2" customWidth="1"/>
    <col min="11249" max="11249" width="16.33203125" style="2" customWidth="1"/>
    <col min="11250" max="11250" width="18.5546875" style="2" customWidth="1"/>
    <col min="11251" max="11251" width="20.33203125" style="2" customWidth="1"/>
    <col min="11252" max="11253" width="22.88671875" style="2" customWidth="1"/>
    <col min="11254" max="11257" width="18" style="2" customWidth="1"/>
    <col min="11258" max="11258" width="17.21875" style="2" customWidth="1"/>
    <col min="11259" max="11259" width="16.6640625" style="2" customWidth="1"/>
    <col min="11260" max="11260" width="17.44140625" style="2" customWidth="1"/>
    <col min="11261" max="11261" width="24.21875" style="2" customWidth="1"/>
    <col min="11262" max="11262" width="20.44140625" style="2" customWidth="1"/>
    <col min="11263" max="11263" width="41.5546875" style="2" customWidth="1"/>
    <col min="11264" max="11265" width="32.44140625" style="2" customWidth="1"/>
    <col min="11266" max="11270" width="41.5546875" style="2" customWidth="1"/>
    <col min="11271" max="11271" width="30.44140625" style="2" customWidth="1"/>
    <col min="11272" max="11272" width="22.33203125" style="2" customWidth="1"/>
    <col min="11273" max="11273" width="9.109375" style="2"/>
    <col min="11274" max="11274" width="22.88671875" style="2" customWidth="1"/>
    <col min="11275" max="11275" width="23.77734375" style="2" customWidth="1"/>
    <col min="11276" max="11276" width="74.44140625" style="2" customWidth="1"/>
    <col min="11277" max="11278" width="9.109375" style="2"/>
    <col min="11279" max="11279" width="14.109375" style="2" customWidth="1"/>
    <col min="11280" max="11280" width="12.44140625" style="2" customWidth="1"/>
    <col min="11281" max="11281" width="13.44140625" style="2" customWidth="1"/>
    <col min="11282" max="11282" width="11.109375" style="2" customWidth="1"/>
    <col min="11283" max="11286" width="17.33203125" style="2" customWidth="1"/>
    <col min="11287" max="11290" width="9.109375" style="2"/>
    <col min="11291" max="11292" width="22.33203125" style="2" customWidth="1"/>
    <col min="11293" max="11293" width="11.88671875" style="2" customWidth="1"/>
    <col min="11294" max="11294" width="10.109375" style="2" customWidth="1"/>
    <col min="11295" max="11296" width="9.109375" style="2"/>
    <col min="11297" max="11297" width="13.33203125" style="2" customWidth="1"/>
    <col min="11298" max="11298" width="11.44140625" style="2" customWidth="1"/>
    <col min="11299" max="11299" width="13.33203125" style="2" bestFit="1" customWidth="1"/>
    <col min="11300" max="11300" width="16.88671875" style="2" bestFit="1" customWidth="1"/>
    <col min="11301" max="11303" width="14.44140625" style="2" customWidth="1"/>
    <col min="11304" max="11304" width="9.88671875" style="2" customWidth="1"/>
    <col min="11305" max="11307" width="17" style="2" customWidth="1"/>
    <col min="11308" max="11308" width="9.109375" style="2"/>
    <col min="11309" max="11309" width="17" style="2" customWidth="1"/>
    <col min="11310" max="11310" width="10.44140625" style="2" customWidth="1"/>
    <col min="11311" max="11484" width="9.109375" style="2"/>
    <col min="11485" max="11485" width="18.44140625" style="2" customWidth="1"/>
    <col min="11486" max="11486" width="11.88671875" style="2" customWidth="1"/>
    <col min="11487" max="11488" width="10.109375" style="2" customWidth="1"/>
    <col min="11489" max="11490" width="13.6640625" style="2" customWidth="1"/>
    <col min="11491" max="11493" width="23.77734375" style="2" customWidth="1"/>
    <col min="11494" max="11496" width="9.109375" style="2"/>
    <col min="11497" max="11497" width="21" style="2" customWidth="1"/>
    <col min="11498" max="11498" width="12.33203125" style="2" customWidth="1"/>
    <col min="11499" max="11499" width="14" style="2" customWidth="1"/>
    <col min="11500" max="11500" width="10.109375" style="2" bestFit="1" customWidth="1"/>
    <col min="11501" max="11501" width="10.109375" style="2" customWidth="1"/>
    <col min="11502" max="11502" width="27.21875" style="2" customWidth="1"/>
    <col min="11503" max="11503" width="24.5546875" style="2" customWidth="1"/>
    <col min="11504" max="11504" width="16.21875" style="2" customWidth="1"/>
    <col min="11505" max="11505" width="16.33203125" style="2" customWidth="1"/>
    <col min="11506" max="11506" width="18.5546875" style="2" customWidth="1"/>
    <col min="11507" max="11507" width="20.33203125" style="2" customWidth="1"/>
    <col min="11508" max="11509" width="22.88671875" style="2" customWidth="1"/>
    <col min="11510" max="11513" width="18" style="2" customWidth="1"/>
    <col min="11514" max="11514" width="17.21875" style="2" customWidth="1"/>
    <col min="11515" max="11515" width="16.6640625" style="2" customWidth="1"/>
    <col min="11516" max="11516" width="17.44140625" style="2" customWidth="1"/>
    <col min="11517" max="11517" width="24.21875" style="2" customWidth="1"/>
    <col min="11518" max="11518" width="20.44140625" style="2" customWidth="1"/>
    <col min="11519" max="11519" width="41.5546875" style="2" customWidth="1"/>
    <col min="11520" max="11521" width="32.44140625" style="2" customWidth="1"/>
    <col min="11522" max="11526" width="41.5546875" style="2" customWidth="1"/>
    <col min="11527" max="11527" width="30.44140625" style="2" customWidth="1"/>
    <col min="11528" max="11528" width="22.33203125" style="2" customWidth="1"/>
    <col min="11529" max="11529" width="9.109375" style="2"/>
    <col min="11530" max="11530" width="22.88671875" style="2" customWidth="1"/>
    <col min="11531" max="11531" width="23.77734375" style="2" customWidth="1"/>
    <col min="11532" max="11532" width="74.44140625" style="2" customWidth="1"/>
    <col min="11533" max="11534" width="9.109375" style="2"/>
    <col min="11535" max="11535" width="14.109375" style="2" customWidth="1"/>
    <col min="11536" max="11536" width="12.44140625" style="2" customWidth="1"/>
    <col min="11537" max="11537" width="13.44140625" style="2" customWidth="1"/>
    <col min="11538" max="11538" width="11.109375" style="2" customWidth="1"/>
    <col min="11539" max="11542" width="17.33203125" style="2" customWidth="1"/>
    <col min="11543" max="11546" width="9.109375" style="2"/>
    <col min="11547" max="11548" width="22.33203125" style="2" customWidth="1"/>
    <col min="11549" max="11549" width="11.88671875" style="2" customWidth="1"/>
    <col min="11550" max="11550" width="10.109375" style="2" customWidth="1"/>
    <col min="11551" max="11552" width="9.109375" style="2"/>
    <col min="11553" max="11553" width="13.33203125" style="2" customWidth="1"/>
    <col min="11554" max="11554" width="11.44140625" style="2" customWidth="1"/>
    <col min="11555" max="11555" width="13.33203125" style="2" bestFit="1" customWidth="1"/>
    <col min="11556" max="11556" width="16.88671875" style="2" bestFit="1" customWidth="1"/>
    <col min="11557" max="11559" width="14.44140625" style="2" customWidth="1"/>
    <col min="11560" max="11560" width="9.88671875" style="2" customWidth="1"/>
    <col min="11561" max="11563" width="17" style="2" customWidth="1"/>
    <col min="11564" max="11564" width="9.109375" style="2"/>
    <col min="11565" max="11565" width="17" style="2" customWidth="1"/>
    <col min="11566" max="11566" width="10.44140625" style="2" customWidth="1"/>
    <col min="11567" max="11740" width="9.109375" style="2"/>
    <col min="11741" max="11741" width="18.44140625" style="2" customWidth="1"/>
    <col min="11742" max="11742" width="11.88671875" style="2" customWidth="1"/>
    <col min="11743" max="11744" width="10.109375" style="2" customWidth="1"/>
    <col min="11745" max="11746" width="13.6640625" style="2" customWidth="1"/>
    <col min="11747" max="11749" width="23.77734375" style="2" customWidth="1"/>
    <col min="11750" max="11752" width="9.109375" style="2"/>
    <col min="11753" max="11753" width="21" style="2" customWidth="1"/>
    <col min="11754" max="11754" width="12.33203125" style="2" customWidth="1"/>
    <col min="11755" max="11755" width="14" style="2" customWidth="1"/>
    <col min="11756" max="11756" width="10.109375" style="2" bestFit="1" customWidth="1"/>
    <col min="11757" max="11757" width="10.109375" style="2" customWidth="1"/>
    <col min="11758" max="11758" width="27.21875" style="2" customWidth="1"/>
    <col min="11759" max="11759" width="24.5546875" style="2" customWidth="1"/>
    <col min="11760" max="11760" width="16.21875" style="2" customWidth="1"/>
    <col min="11761" max="11761" width="16.33203125" style="2" customWidth="1"/>
    <col min="11762" max="11762" width="18.5546875" style="2" customWidth="1"/>
    <col min="11763" max="11763" width="20.33203125" style="2" customWidth="1"/>
    <col min="11764" max="11765" width="22.88671875" style="2" customWidth="1"/>
    <col min="11766" max="11769" width="18" style="2" customWidth="1"/>
    <col min="11770" max="11770" width="17.21875" style="2" customWidth="1"/>
    <col min="11771" max="11771" width="16.6640625" style="2" customWidth="1"/>
    <col min="11772" max="11772" width="17.44140625" style="2" customWidth="1"/>
    <col min="11773" max="11773" width="24.21875" style="2" customWidth="1"/>
    <col min="11774" max="11774" width="20.44140625" style="2" customWidth="1"/>
    <col min="11775" max="11775" width="41.5546875" style="2" customWidth="1"/>
    <col min="11776" max="11777" width="32.44140625" style="2" customWidth="1"/>
    <col min="11778" max="11782" width="41.5546875" style="2" customWidth="1"/>
    <col min="11783" max="11783" width="30.44140625" style="2" customWidth="1"/>
    <col min="11784" max="11784" width="22.33203125" style="2" customWidth="1"/>
    <col min="11785" max="11785" width="9.109375" style="2"/>
    <col min="11786" max="11786" width="22.88671875" style="2" customWidth="1"/>
    <col min="11787" max="11787" width="23.77734375" style="2" customWidth="1"/>
    <col min="11788" max="11788" width="74.44140625" style="2" customWidth="1"/>
    <col min="11789" max="11790" width="9.109375" style="2"/>
    <col min="11791" max="11791" width="14.109375" style="2" customWidth="1"/>
    <col min="11792" max="11792" width="12.44140625" style="2" customWidth="1"/>
    <col min="11793" max="11793" width="13.44140625" style="2" customWidth="1"/>
    <col min="11794" max="11794" width="11.109375" style="2" customWidth="1"/>
    <col min="11795" max="11798" width="17.33203125" style="2" customWidth="1"/>
    <col min="11799" max="11802" width="9.109375" style="2"/>
    <col min="11803" max="11804" width="22.33203125" style="2" customWidth="1"/>
    <col min="11805" max="11805" width="11.88671875" style="2" customWidth="1"/>
    <col min="11806" max="11806" width="10.109375" style="2" customWidth="1"/>
    <col min="11807" max="11808" width="9.109375" style="2"/>
    <col min="11809" max="11809" width="13.33203125" style="2" customWidth="1"/>
    <col min="11810" max="11810" width="11.44140625" style="2" customWidth="1"/>
    <col min="11811" max="11811" width="13.33203125" style="2" bestFit="1" customWidth="1"/>
    <col min="11812" max="11812" width="16.88671875" style="2" bestFit="1" customWidth="1"/>
    <col min="11813" max="11815" width="14.44140625" style="2" customWidth="1"/>
    <col min="11816" max="11816" width="9.88671875" style="2" customWidth="1"/>
    <col min="11817" max="11819" width="17" style="2" customWidth="1"/>
    <col min="11820" max="11820" width="9.109375" style="2"/>
    <col min="11821" max="11821" width="17" style="2" customWidth="1"/>
    <col min="11822" max="11822" width="10.44140625" style="2" customWidth="1"/>
    <col min="11823" max="11996" width="9.109375" style="2"/>
    <col min="11997" max="11997" width="18.44140625" style="2" customWidth="1"/>
    <col min="11998" max="11998" width="11.88671875" style="2" customWidth="1"/>
    <col min="11999" max="12000" width="10.109375" style="2" customWidth="1"/>
    <col min="12001" max="12002" width="13.6640625" style="2" customWidth="1"/>
    <col min="12003" max="12005" width="23.77734375" style="2" customWidth="1"/>
    <col min="12006" max="12008" width="9.109375" style="2"/>
    <col min="12009" max="12009" width="21" style="2" customWidth="1"/>
    <col min="12010" max="12010" width="12.33203125" style="2" customWidth="1"/>
    <col min="12011" max="12011" width="14" style="2" customWidth="1"/>
    <col min="12012" max="12012" width="10.109375" style="2" bestFit="1" customWidth="1"/>
    <col min="12013" max="12013" width="10.109375" style="2" customWidth="1"/>
    <col min="12014" max="12014" width="27.21875" style="2" customWidth="1"/>
    <col min="12015" max="12015" width="24.5546875" style="2" customWidth="1"/>
    <col min="12016" max="12016" width="16.21875" style="2" customWidth="1"/>
    <col min="12017" max="12017" width="16.33203125" style="2" customWidth="1"/>
    <col min="12018" max="12018" width="18.5546875" style="2" customWidth="1"/>
    <col min="12019" max="12019" width="20.33203125" style="2" customWidth="1"/>
    <col min="12020" max="12021" width="22.88671875" style="2" customWidth="1"/>
    <col min="12022" max="12025" width="18" style="2" customWidth="1"/>
    <col min="12026" max="12026" width="17.21875" style="2" customWidth="1"/>
    <col min="12027" max="12027" width="16.6640625" style="2" customWidth="1"/>
    <col min="12028" max="12028" width="17.44140625" style="2" customWidth="1"/>
    <col min="12029" max="12029" width="24.21875" style="2" customWidth="1"/>
    <col min="12030" max="12030" width="20.44140625" style="2" customWidth="1"/>
    <col min="12031" max="12031" width="41.5546875" style="2" customWidth="1"/>
    <col min="12032" max="12033" width="32.44140625" style="2" customWidth="1"/>
    <col min="12034" max="12038" width="41.5546875" style="2" customWidth="1"/>
    <col min="12039" max="12039" width="30.44140625" style="2" customWidth="1"/>
    <col min="12040" max="12040" width="22.33203125" style="2" customWidth="1"/>
    <col min="12041" max="12041" width="9.109375" style="2"/>
    <col min="12042" max="12042" width="22.88671875" style="2" customWidth="1"/>
    <col min="12043" max="12043" width="23.77734375" style="2" customWidth="1"/>
    <col min="12044" max="12044" width="74.44140625" style="2" customWidth="1"/>
    <col min="12045" max="12046" width="9.109375" style="2"/>
    <col min="12047" max="12047" width="14.109375" style="2" customWidth="1"/>
    <col min="12048" max="12048" width="12.44140625" style="2" customWidth="1"/>
    <col min="12049" max="12049" width="13.44140625" style="2" customWidth="1"/>
    <col min="12050" max="12050" width="11.109375" style="2" customWidth="1"/>
    <col min="12051" max="12054" width="17.33203125" style="2" customWidth="1"/>
    <col min="12055" max="12058" width="9.109375" style="2"/>
    <col min="12059" max="12060" width="22.33203125" style="2" customWidth="1"/>
    <col min="12061" max="12061" width="11.88671875" style="2" customWidth="1"/>
    <col min="12062" max="12062" width="10.109375" style="2" customWidth="1"/>
    <col min="12063" max="12064" width="9.109375" style="2"/>
    <col min="12065" max="12065" width="13.33203125" style="2" customWidth="1"/>
    <col min="12066" max="12066" width="11.44140625" style="2" customWidth="1"/>
    <col min="12067" max="12067" width="13.33203125" style="2" bestFit="1" customWidth="1"/>
    <col min="12068" max="12068" width="16.88671875" style="2" bestFit="1" customWidth="1"/>
    <col min="12069" max="12071" width="14.44140625" style="2" customWidth="1"/>
    <col min="12072" max="12072" width="9.88671875" style="2" customWidth="1"/>
    <col min="12073" max="12075" width="17" style="2" customWidth="1"/>
    <col min="12076" max="12076" width="9.109375" style="2"/>
    <col min="12077" max="12077" width="17" style="2" customWidth="1"/>
    <col min="12078" max="12078" width="10.44140625" style="2" customWidth="1"/>
    <col min="12079" max="12252" width="9.109375" style="2"/>
    <col min="12253" max="12253" width="18.44140625" style="2" customWidth="1"/>
    <col min="12254" max="12254" width="11.88671875" style="2" customWidth="1"/>
    <col min="12255" max="12256" width="10.109375" style="2" customWidth="1"/>
    <col min="12257" max="12258" width="13.6640625" style="2" customWidth="1"/>
    <col min="12259" max="12261" width="23.77734375" style="2" customWidth="1"/>
    <col min="12262" max="12264" width="9.109375" style="2"/>
    <col min="12265" max="12265" width="21" style="2" customWidth="1"/>
    <col min="12266" max="12266" width="12.33203125" style="2" customWidth="1"/>
    <col min="12267" max="12267" width="14" style="2" customWidth="1"/>
    <col min="12268" max="12268" width="10.109375" style="2" bestFit="1" customWidth="1"/>
    <col min="12269" max="12269" width="10.109375" style="2" customWidth="1"/>
    <col min="12270" max="12270" width="27.21875" style="2" customWidth="1"/>
    <col min="12271" max="12271" width="24.5546875" style="2" customWidth="1"/>
    <col min="12272" max="12272" width="16.21875" style="2" customWidth="1"/>
    <col min="12273" max="12273" width="16.33203125" style="2" customWidth="1"/>
    <col min="12274" max="12274" width="18.5546875" style="2" customWidth="1"/>
    <col min="12275" max="12275" width="20.33203125" style="2" customWidth="1"/>
    <col min="12276" max="12277" width="22.88671875" style="2" customWidth="1"/>
    <col min="12278" max="12281" width="18" style="2" customWidth="1"/>
    <col min="12282" max="12282" width="17.21875" style="2" customWidth="1"/>
    <col min="12283" max="12283" width="16.6640625" style="2" customWidth="1"/>
    <col min="12284" max="12284" width="17.44140625" style="2" customWidth="1"/>
    <col min="12285" max="12285" width="24.21875" style="2" customWidth="1"/>
    <col min="12286" max="12286" width="20.44140625" style="2" customWidth="1"/>
    <col min="12287" max="12287" width="41.5546875" style="2" customWidth="1"/>
    <col min="12288" max="12289" width="32.44140625" style="2" customWidth="1"/>
    <col min="12290" max="12294" width="41.5546875" style="2" customWidth="1"/>
    <col min="12295" max="12295" width="30.44140625" style="2" customWidth="1"/>
    <col min="12296" max="12296" width="22.33203125" style="2" customWidth="1"/>
    <col min="12297" max="12297" width="9.109375" style="2"/>
    <col min="12298" max="12298" width="22.88671875" style="2" customWidth="1"/>
    <col min="12299" max="12299" width="23.77734375" style="2" customWidth="1"/>
    <col min="12300" max="12300" width="74.44140625" style="2" customWidth="1"/>
    <col min="12301" max="12302" width="9.109375" style="2"/>
    <col min="12303" max="12303" width="14.109375" style="2" customWidth="1"/>
    <col min="12304" max="12304" width="12.44140625" style="2" customWidth="1"/>
    <col min="12305" max="12305" width="13.44140625" style="2" customWidth="1"/>
    <col min="12306" max="12306" width="11.109375" style="2" customWidth="1"/>
    <col min="12307" max="12310" width="17.33203125" style="2" customWidth="1"/>
    <col min="12311" max="12314" width="9.109375" style="2"/>
    <col min="12315" max="12316" width="22.33203125" style="2" customWidth="1"/>
    <col min="12317" max="12317" width="11.88671875" style="2" customWidth="1"/>
    <col min="12318" max="12318" width="10.109375" style="2" customWidth="1"/>
    <col min="12319" max="12320" width="9.109375" style="2"/>
    <col min="12321" max="12321" width="13.33203125" style="2" customWidth="1"/>
    <col min="12322" max="12322" width="11.44140625" style="2" customWidth="1"/>
    <col min="12323" max="12323" width="13.33203125" style="2" bestFit="1" customWidth="1"/>
    <col min="12324" max="12324" width="16.88671875" style="2" bestFit="1" customWidth="1"/>
    <col min="12325" max="12327" width="14.44140625" style="2" customWidth="1"/>
    <col min="12328" max="12328" width="9.88671875" style="2" customWidth="1"/>
    <col min="12329" max="12331" width="17" style="2" customWidth="1"/>
    <col min="12332" max="12332" width="9.109375" style="2"/>
    <col min="12333" max="12333" width="17" style="2" customWidth="1"/>
    <col min="12334" max="12334" width="10.44140625" style="2" customWidth="1"/>
    <col min="12335" max="12508" width="9.109375" style="2"/>
    <col min="12509" max="12509" width="18.44140625" style="2" customWidth="1"/>
    <col min="12510" max="12510" width="11.88671875" style="2" customWidth="1"/>
    <col min="12511" max="12512" width="10.109375" style="2" customWidth="1"/>
    <col min="12513" max="12514" width="13.6640625" style="2" customWidth="1"/>
    <col min="12515" max="12517" width="23.77734375" style="2" customWidth="1"/>
    <col min="12518" max="12520" width="9.109375" style="2"/>
    <col min="12521" max="12521" width="21" style="2" customWidth="1"/>
    <col min="12522" max="12522" width="12.33203125" style="2" customWidth="1"/>
    <col min="12523" max="12523" width="14" style="2" customWidth="1"/>
    <col min="12524" max="12524" width="10.109375" style="2" bestFit="1" customWidth="1"/>
    <col min="12525" max="12525" width="10.109375" style="2" customWidth="1"/>
    <col min="12526" max="12526" width="27.21875" style="2" customWidth="1"/>
    <col min="12527" max="12527" width="24.5546875" style="2" customWidth="1"/>
    <col min="12528" max="12528" width="16.21875" style="2" customWidth="1"/>
    <col min="12529" max="12529" width="16.33203125" style="2" customWidth="1"/>
    <col min="12530" max="12530" width="18.5546875" style="2" customWidth="1"/>
    <col min="12531" max="12531" width="20.33203125" style="2" customWidth="1"/>
    <col min="12532" max="12533" width="22.88671875" style="2" customWidth="1"/>
    <col min="12534" max="12537" width="18" style="2" customWidth="1"/>
    <col min="12538" max="12538" width="17.21875" style="2" customWidth="1"/>
    <col min="12539" max="12539" width="16.6640625" style="2" customWidth="1"/>
    <col min="12540" max="12540" width="17.44140625" style="2" customWidth="1"/>
    <col min="12541" max="12541" width="24.21875" style="2" customWidth="1"/>
    <col min="12542" max="12542" width="20.44140625" style="2" customWidth="1"/>
    <col min="12543" max="12543" width="41.5546875" style="2" customWidth="1"/>
    <col min="12544" max="12545" width="32.44140625" style="2" customWidth="1"/>
    <col min="12546" max="12550" width="41.5546875" style="2" customWidth="1"/>
    <col min="12551" max="12551" width="30.44140625" style="2" customWidth="1"/>
    <col min="12552" max="12552" width="22.33203125" style="2" customWidth="1"/>
    <col min="12553" max="12553" width="9.109375" style="2"/>
    <col min="12554" max="12554" width="22.88671875" style="2" customWidth="1"/>
    <col min="12555" max="12555" width="23.77734375" style="2" customWidth="1"/>
    <col min="12556" max="12556" width="74.44140625" style="2" customWidth="1"/>
    <col min="12557" max="12558" width="9.109375" style="2"/>
    <col min="12559" max="12559" width="14.109375" style="2" customWidth="1"/>
    <col min="12560" max="12560" width="12.44140625" style="2" customWidth="1"/>
    <col min="12561" max="12561" width="13.44140625" style="2" customWidth="1"/>
    <col min="12562" max="12562" width="11.109375" style="2" customWidth="1"/>
    <col min="12563" max="12566" width="17.33203125" style="2" customWidth="1"/>
    <col min="12567" max="12570" width="9.109375" style="2"/>
    <col min="12571" max="12572" width="22.33203125" style="2" customWidth="1"/>
    <col min="12573" max="12573" width="11.88671875" style="2" customWidth="1"/>
    <col min="12574" max="12574" width="10.109375" style="2" customWidth="1"/>
    <col min="12575" max="12576" width="9.109375" style="2"/>
    <col min="12577" max="12577" width="13.33203125" style="2" customWidth="1"/>
    <col min="12578" max="12578" width="11.44140625" style="2" customWidth="1"/>
    <col min="12579" max="12579" width="13.33203125" style="2" bestFit="1" customWidth="1"/>
    <col min="12580" max="12580" width="16.88671875" style="2" bestFit="1" customWidth="1"/>
    <col min="12581" max="12583" width="14.44140625" style="2" customWidth="1"/>
    <col min="12584" max="12584" width="9.88671875" style="2" customWidth="1"/>
    <col min="12585" max="12587" width="17" style="2" customWidth="1"/>
    <col min="12588" max="12588" width="9.109375" style="2"/>
    <col min="12589" max="12589" width="17" style="2" customWidth="1"/>
    <col min="12590" max="12590" width="10.44140625" style="2" customWidth="1"/>
    <col min="12591" max="12764" width="9.109375" style="2"/>
    <col min="12765" max="12765" width="18.44140625" style="2" customWidth="1"/>
    <col min="12766" max="12766" width="11.88671875" style="2" customWidth="1"/>
    <col min="12767" max="12768" width="10.109375" style="2" customWidth="1"/>
    <col min="12769" max="12770" width="13.6640625" style="2" customWidth="1"/>
    <col min="12771" max="12773" width="23.77734375" style="2" customWidth="1"/>
    <col min="12774" max="12776" width="9.109375" style="2"/>
    <col min="12777" max="12777" width="21" style="2" customWidth="1"/>
    <col min="12778" max="12778" width="12.33203125" style="2" customWidth="1"/>
    <col min="12779" max="12779" width="14" style="2" customWidth="1"/>
    <col min="12780" max="12780" width="10.109375" style="2" bestFit="1" customWidth="1"/>
    <col min="12781" max="12781" width="10.109375" style="2" customWidth="1"/>
    <col min="12782" max="12782" width="27.21875" style="2" customWidth="1"/>
    <col min="12783" max="12783" width="24.5546875" style="2" customWidth="1"/>
    <col min="12784" max="12784" width="16.21875" style="2" customWidth="1"/>
    <col min="12785" max="12785" width="16.33203125" style="2" customWidth="1"/>
    <col min="12786" max="12786" width="18.5546875" style="2" customWidth="1"/>
    <col min="12787" max="12787" width="20.33203125" style="2" customWidth="1"/>
    <col min="12788" max="12789" width="22.88671875" style="2" customWidth="1"/>
    <col min="12790" max="12793" width="18" style="2" customWidth="1"/>
    <col min="12794" max="12794" width="17.21875" style="2" customWidth="1"/>
    <col min="12795" max="12795" width="16.6640625" style="2" customWidth="1"/>
    <col min="12796" max="12796" width="17.44140625" style="2" customWidth="1"/>
    <col min="12797" max="12797" width="24.21875" style="2" customWidth="1"/>
    <col min="12798" max="12798" width="20.44140625" style="2" customWidth="1"/>
    <col min="12799" max="12799" width="41.5546875" style="2" customWidth="1"/>
    <col min="12800" max="12801" width="32.44140625" style="2" customWidth="1"/>
    <col min="12802" max="12806" width="41.5546875" style="2" customWidth="1"/>
    <col min="12807" max="12807" width="30.44140625" style="2" customWidth="1"/>
    <col min="12808" max="12808" width="22.33203125" style="2" customWidth="1"/>
    <col min="12809" max="12809" width="9.109375" style="2"/>
    <col min="12810" max="12810" width="22.88671875" style="2" customWidth="1"/>
    <col min="12811" max="12811" width="23.77734375" style="2" customWidth="1"/>
    <col min="12812" max="12812" width="74.44140625" style="2" customWidth="1"/>
    <col min="12813" max="12814" width="9.109375" style="2"/>
    <col min="12815" max="12815" width="14.109375" style="2" customWidth="1"/>
    <col min="12816" max="12816" width="12.44140625" style="2" customWidth="1"/>
    <col min="12817" max="12817" width="13.44140625" style="2" customWidth="1"/>
    <col min="12818" max="12818" width="11.109375" style="2" customWidth="1"/>
    <col min="12819" max="12822" width="17.33203125" style="2" customWidth="1"/>
    <col min="12823" max="12826" width="9.109375" style="2"/>
    <col min="12827" max="12828" width="22.33203125" style="2" customWidth="1"/>
    <col min="12829" max="12829" width="11.88671875" style="2" customWidth="1"/>
    <col min="12830" max="12830" width="10.109375" style="2" customWidth="1"/>
    <col min="12831" max="12832" width="9.109375" style="2"/>
    <col min="12833" max="12833" width="13.33203125" style="2" customWidth="1"/>
    <col min="12834" max="12834" width="11.44140625" style="2" customWidth="1"/>
    <col min="12835" max="12835" width="13.33203125" style="2" bestFit="1" customWidth="1"/>
    <col min="12836" max="12836" width="16.88671875" style="2" bestFit="1" customWidth="1"/>
    <col min="12837" max="12839" width="14.44140625" style="2" customWidth="1"/>
    <col min="12840" max="12840" width="9.88671875" style="2" customWidth="1"/>
    <col min="12841" max="12843" width="17" style="2" customWidth="1"/>
    <col min="12844" max="12844" width="9.109375" style="2"/>
    <col min="12845" max="12845" width="17" style="2" customWidth="1"/>
    <col min="12846" max="12846" width="10.44140625" style="2" customWidth="1"/>
    <col min="12847" max="13020" width="9.109375" style="2"/>
    <col min="13021" max="13021" width="18.44140625" style="2" customWidth="1"/>
    <col min="13022" max="13022" width="11.88671875" style="2" customWidth="1"/>
    <col min="13023" max="13024" width="10.109375" style="2" customWidth="1"/>
    <col min="13025" max="13026" width="13.6640625" style="2" customWidth="1"/>
    <col min="13027" max="13029" width="23.77734375" style="2" customWidth="1"/>
    <col min="13030" max="13032" width="9.109375" style="2"/>
    <col min="13033" max="13033" width="21" style="2" customWidth="1"/>
    <col min="13034" max="13034" width="12.33203125" style="2" customWidth="1"/>
    <col min="13035" max="13035" width="14" style="2" customWidth="1"/>
    <col min="13036" max="13036" width="10.109375" style="2" bestFit="1" customWidth="1"/>
    <col min="13037" max="13037" width="10.109375" style="2" customWidth="1"/>
    <col min="13038" max="13038" width="27.21875" style="2" customWidth="1"/>
    <col min="13039" max="13039" width="24.5546875" style="2" customWidth="1"/>
    <col min="13040" max="13040" width="16.21875" style="2" customWidth="1"/>
    <col min="13041" max="13041" width="16.33203125" style="2" customWidth="1"/>
    <col min="13042" max="13042" width="18.5546875" style="2" customWidth="1"/>
    <col min="13043" max="13043" width="20.33203125" style="2" customWidth="1"/>
    <col min="13044" max="13045" width="22.88671875" style="2" customWidth="1"/>
    <col min="13046" max="13049" width="18" style="2" customWidth="1"/>
    <col min="13050" max="13050" width="17.21875" style="2" customWidth="1"/>
    <col min="13051" max="13051" width="16.6640625" style="2" customWidth="1"/>
    <col min="13052" max="13052" width="17.44140625" style="2" customWidth="1"/>
    <col min="13053" max="13053" width="24.21875" style="2" customWidth="1"/>
    <col min="13054" max="13054" width="20.44140625" style="2" customWidth="1"/>
    <col min="13055" max="13055" width="41.5546875" style="2" customWidth="1"/>
    <col min="13056" max="13057" width="32.44140625" style="2" customWidth="1"/>
    <col min="13058" max="13062" width="41.5546875" style="2" customWidth="1"/>
    <col min="13063" max="13063" width="30.44140625" style="2" customWidth="1"/>
    <col min="13064" max="13064" width="22.33203125" style="2" customWidth="1"/>
    <col min="13065" max="13065" width="9.109375" style="2"/>
    <col min="13066" max="13066" width="22.88671875" style="2" customWidth="1"/>
    <col min="13067" max="13067" width="23.77734375" style="2" customWidth="1"/>
    <col min="13068" max="13068" width="74.44140625" style="2" customWidth="1"/>
    <col min="13069" max="13070" width="9.109375" style="2"/>
    <col min="13071" max="13071" width="14.109375" style="2" customWidth="1"/>
    <col min="13072" max="13072" width="12.44140625" style="2" customWidth="1"/>
    <col min="13073" max="13073" width="13.44140625" style="2" customWidth="1"/>
    <col min="13074" max="13074" width="11.109375" style="2" customWidth="1"/>
    <col min="13075" max="13078" width="17.33203125" style="2" customWidth="1"/>
    <col min="13079" max="13082" width="9.109375" style="2"/>
    <col min="13083" max="13084" width="22.33203125" style="2" customWidth="1"/>
    <col min="13085" max="13085" width="11.88671875" style="2" customWidth="1"/>
    <col min="13086" max="13086" width="10.109375" style="2" customWidth="1"/>
    <col min="13087" max="13088" width="9.109375" style="2"/>
    <col min="13089" max="13089" width="13.33203125" style="2" customWidth="1"/>
    <col min="13090" max="13090" width="11.44140625" style="2" customWidth="1"/>
    <col min="13091" max="13091" width="13.33203125" style="2" bestFit="1" customWidth="1"/>
    <col min="13092" max="13092" width="16.88671875" style="2" bestFit="1" customWidth="1"/>
    <col min="13093" max="13095" width="14.44140625" style="2" customWidth="1"/>
    <col min="13096" max="13096" width="9.88671875" style="2" customWidth="1"/>
    <col min="13097" max="13099" width="17" style="2" customWidth="1"/>
    <col min="13100" max="13100" width="9.109375" style="2"/>
    <col min="13101" max="13101" width="17" style="2" customWidth="1"/>
    <col min="13102" max="13102" width="10.44140625" style="2" customWidth="1"/>
    <col min="13103" max="13276" width="9.109375" style="2"/>
    <col min="13277" max="13277" width="18.44140625" style="2" customWidth="1"/>
    <col min="13278" max="13278" width="11.88671875" style="2" customWidth="1"/>
    <col min="13279" max="13280" width="10.109375" style="2" customWidth="1"/>
    <col min="13281" max="13282" width="13.6640625" style="2" customWidth="1"/>
    <col min="13283" max="13285" width="23.77734375" style="2" customWidth="1"/>
    <col min="13286" max="13288" width="9.109375" style="2"/>
    <col min="13289" max="13289" width="21" style="2" customWidth="1"/>
    <col min="13290" max="13290" width="12.33203125" style="2" customWidth="1"/>
    <col min="13291" max="13291" width="14" style="2" customWidth="1"/>
    <col min="13292" max="13292" width="10.109375" style="2" bestFit="1" customWidth="1"/>
    <col min="13293" max="13293" width="10.109375" style="2" customWidth="1"/>
    <col min="13294" max="13294" width="27.21875" style="2" customWidth="1"/>
    <col min="13295" max="13295" width="24.5546875" style="2" customWidth="1"/>
    <col min="13296" max="13296" width="16.21875" style="2" customWidth="1"/>
    <col min="13297" max="13297" width="16.33203125" style="2" customWidth="1"/>
    <col min="13298" max="13298" width="18.5546875" style="2" customWidth="1"/>
    <col min="13299" max="13299" width="20.33203125" style="2" customWidth="1"/>
    <col min="13300" max="13301" width="22.88671875" style="2" customWidth="1"/>
    <col min="13302" max="13305" width="18" style="2" customWidth="1"/>
    <col min="13306" max="13306" width="17.21875" style="2" customWidth="1"/>
    <col min="13307" max="13307" width="16.6640625" style="2" customWidth="1"/>
    <col min="13308" max="13308" width="17.44140625" style="2" customWidth="1"/>
    <col min="13309" max="13309" width="24.21875" style="2" customWidth="1"/>
    <col min="13310" max="13310" width="20.44140625" style="2" customWidth="1"/>
    <col min="13311" max="13311" width="41.5546875" style="2" customWidth="1"/>
    <col min="13312" max="13313" width="32.44140625" style="2" customWidth="1"/>
    <col min="13314" max="13318" width="41.5546875" style="2" customWidth="1"/>
    <col min="13319" max="13319" width="30.44140625" style="2" customWidth="1"/>
    <col min="13320" max="13320" width="22.33203125" style="2" customWidth="1"/>
    <col min="13321" max="13321" width="9.109375" style="2"/>
    <col min="13322" max="13322" width="22.88671875" style="2" customWidth="1"/>
    <col min="13323" max="13323" width="23.77734375" style="2" customWidth="1"/>
    <col min="13324" max="13324" width="74.44140625" style="2" customWidth="1"/>
    <col min="13325" max="13326" width="9.109375" style="2"/>
    <col min="13327" max="13327" width="14.109375" style="2" customWidth="1"/>
    <col min="13328" max="13328" width="12.44140625" style="2" customWidth="1"/>
    <col min="13329" max="13329" width="13.44140625" style="2" customWidth="1"/>
    <col min="13330" max="13330" width="11.109375" style="2" customWidth="1"/>
    <col min="13331" max="13334" width="17.33203125" style="2" customWidth="1"/>
    <col min="13335" max="13338" width="9.109375" style="2"/>
    <col min="13339" max="13340" width="22.33203125" style="2" customWidth="1"/>
    <col min="13341" max="13341" width="11.88671875" style="2" customWidth="1"/>
    <col min="13342" max="13342" width="10.109375" style="2" customWidth="1"/>
    <col min="13343" max="13344" width="9.109375" style="2"/>
    <col min="13345" max="13345" width="13.33203125" style="2" customWidth="1"/>
    <col min="13346" max="13346" width="11.44140625" style="2" customWidth="1"/>
    <col min="13347" max="13347" width="13.33203125" style="2" bestFit="1" customWidth="1"/>
    <col min="13348" max="13348" width="16.88671875" style="2" bestFit="1" customWidth="1"/>
    <col min="13349" max="13351" width="14.44140625" style="2" customWidth="1"/>
    <col min="13352" max="13352" width="9.88671875" style="2" customWidth="1"/>
    <col min="13353" max="13355" width="17" style="2" customWidth="1"/>
    <col min="13356" max="13356" width="9.109375" style="2"/>
    <col min="13357" max="13357" width="17" style="2" customWidth="1"/>
    <col min="13358" max="13358" width="10.44140625" style="2" customWidth="1"/>
    <col min="13359" max="13532" width="9.109375" style="2"/>
    <col min="13533" max="13533" width="18.44140625" style="2" customWidth="1"/>
    <col min="13534" max="13534" width="11.88671875" style="2" customWidth="1"/>
    <col min="13535" max="13536" width="10.109375" style="2" customWidth="1"/>
    <col min="13537" max="13538" width="13.6640625" style="2" customWidth="1"/>
    <col min="13539" max="13541" width="23.77734375" style="2" customWidth="1"/>
    <col min="13542" max="13544" width="9.109375" style="2"/>
    <col min="13545" max="13545" width="21" style="2" customWidth="1"/>
    <col min="13546" max="13546" width="12.33203125" style="2" customWidth="1"/>
    <col min="13547" max="13547" width="14" style="2" customWidth="1"/>
    <col min="13548" max="13548" width="10.109375" style="2" bestFit="1" customWidth="1"/>
    <col min="13549" max="13549" width="10.109375" style="2" customWidth="1"/>
    <col min="13550" max="13550" width="27.21875" style="2" customWidth="1"/>
    <col min="13551" max="13551" width="24.5546875" style="2" customWidth="1"/>
    <col min="13552" max="13552" width="16.21875" style="2" customWidth="1"/>
    <col min="13553" max="13553" width="16.33203125" style="2" customWidth="1"/>
    <col min="13554" max="13554" width="18.5546875" style="2" customWidth="1"/>
    <col min="13555" max="13555" width="20.33203125" style="2" customWidth="1"/>
    <col min="13556" max="13557" width="22.88671875" style="2" customWidth="1"/>
    <col min="13558" max="13561" width="18" style="2" customWidth="1"/>
    <col min="13562" max="13562" width="17.21875" style="2" customWidth="1"/>
    <col min="13563" max="13563" width="16.6640625" style="2" customWidth="1"/>
    <col min="13564" max="13564" width="17.44140625" style="2" customWidth="1"/>
    <col min="13565" max="13565" width="24.21875" style="2" customWidth="1"/>
    <col min="13566" max="13566" width="20.44140625" style="2" customWidth="1"/>
    <col min="13567" max="13567" width="41.5546875" style="2" customWidth="1"/>
    <col min="13568" max="13569" width="32.44140625" style="2" customWidth="1"/>
    <col min="13570" max="13574" width="41.5546875" style="2" customWidth="1"/>
    <col min="13575" max="13575" width="30.44140625" style="2" customWidth="1"/>
    <col min="13576" max="13576" width="22.33203125" style="2" customWidth="1"/>
    <col min="13577" max="13577" width="9.109375" style="2"/>
    <col min="13578" max="13578" width="22.88671875" style="2" customWidth="1"/>
    <col min="13579" max="13579" width="23.77734375" style="2" customWidth="1"/>
    <col min="13580" max="13580" width="74.44140625" style="2" customWidth="1"/>
    <col min="13581" max="13582" width="9.109375" style="2"/>
    <col min="13583" max="13583" width="14.109375" style="2" customWidth="1"/>
    <col min="13584" max="13584" width="12.44140625" style="2" customWidth="1"/>
    <col min="13585" max="13585" width="13.44140625" style="2" customWidth="1"/>
    <col min="13586" max="13586" width="11.109375" style="2" customWidth="1"/>
    <col min="13587" max="13590" width="17.33203125" style="2" customWidth="1"/>
    <col min="13591" max="13594" width="9.109375" style="2"/>
    <col min="13595" max="13596" width="22.33203125" style="2" customWidth="1"/>
    <col min="13597" max="13597" width="11.88671875" style="2" customWidth="1"/>
    <col min="13598" max="13598" width="10.109375" style="2" customWidth="1"/>
    <col min="13599" max="13600" width="9.109375" style="2"/>
    <col min="13601" max="13601" width="13.33203125" style="2" customWidth="1"/>
    <col min="13602" max="13602" width="11.44140625" style="2" customWidth="1"/>
    <col min="13603" max="13603" width="13.33203125" style="2" bestFit="1" customWidth="1"/>
    <col min="13604" max="13604" width="16.88671875" style="2" bestFit="1" customWidth="1"/>
    <col min="13605" max="13607" width="14.44140625" style="2" customWidth="1"/>
    <col min="13608" max="13608" width="9.88671875" style="2" customWidth="1"/>
    <col min="13609" max="13611" width="17" style="2" customWidth="1"/>
    <col min="13612" max="13612" width="9.109375" style="2"/>
    <col min="13613" max="13613" width="17" style="2" customWidth="1"/>
    <col min="13614" max="13614" width="10.44140625" style="2" customWidth="1"/>
    <col min="13615" max="13788" width="9.109375" style="2"/>
    <col min="13789" max="13789" width="18.44140625" style="2" customWidth="1"/>
    <col min="13790" max="13790" width="11.88671875" style="2" customWidth="1"/>
    <col min="13791" max="13792" width="10.109375" style="2" customWidth="1"/>
    <col min="13793" max="13794" width="13.6640625" style="2" customWidth="1"/>
    <col min="13795" max="13797" width="23.77734375" style="2" customWidth="1"/>
    <col min="13798" max="13800" width="9.109375" style="2"/>
    <col min="13801" max="13801" width="21" style="2" customWidth="1"/>
    <col min="13802" max="13802" width="12.33203125" style="2" customWidth="1"/>
    <col min="13803" max="13803" width="14" style="2" customWidth="1"/>
    <col min="13804" max="13804" width="10.109375" style="2" bestFit="1" customWidth="1"/>
    <col min="13805" max="13805" width="10.109375" style="2" customWidth="1"/>
    <col min="13806" max="13806" width="27.21875" style="2" customWidth="1"/>
    <col min="13807" max="13807" width="24.5546875" style="2" customWidth="1"/>
    <col min="13808" max="13808" width="16.21875" style="2" customWidth="1"/>
    <col min="13809" max="13809" width="16.33203125" style="2" customWidth="1"/>
    <col min="13810" max="13810" width="18.5546875" style="2" customWidth="1"/>
    <col min="13811" max="13811" width="20.33203125" style="2" customWidth="1"/>
    <col min="13812" max="13813" width="22.88671875" style="2" customWidth="1"/>
    <col min="13814" max="13817" width="18" style="2" customWidth="1"/>
    <col min="13818" max="13818" width="17.21875" style="2" customWidth="1"/>
    <col min="13819" max="13819" width="16.6640625" style="2" customWidth="1"/>
    <col min="13820" max="13820" width="17.44140625" style="2" customWidth="1"/>
    <col min="13821" max="13821" width="24.21875" style="2" customWidth="1"/>
    <col min="13822" max="13822" width="20.44140625" style="2" customWidth="1"/>
    <col min="13823" max="13823" width="41.5546875" style="2" customWidth="1"/>
    <col min="13824" max="13825" width="32.44140625" style="2" customWidth="1"/>
    <col min="13826" max="13830" width="41.5546875" style="2" customWidth="1"/>
    <col min="13831" max="13831" width="30.44140625" style="2" customWidth="1"/>
    <col min="13832" max="13832" width="22.33203125" style="2" customWidth="1"/>
    <col min="13833" max="13833" width="9.109375" style="2"/>
    <col min="13834" max="13834" width="22.88671875" style="2" customWidth="1"/>
    <col min="13835" max="13835" width="23.77734375" style="2" customWidth="1"/>
    <col min="13836" max="13836" width="74.44140625" style="2" customWidth="1"/>
    <col min="13837" max="13838" width="9.109375" style="2"/>
    <col min="13839" max="13839" width="14.109375" style="2" customWidth="1"/>
    <col min="13840" max="13840" width="12.44140625" style="2" customWidth="1"/>
    <col min="13841" max="13841" width="13.44140625" style="2" customWidth="1"/>
    <col min="13842" max="13842" width="11.109375" style="2" customWidth="1"/>
    <col min="13843" max="13846" width="17.33203125" style="2" customWidth="1"/>
    <col min="13847" max="13850" width="9.109375" style="2"/>
    <col min="13851" max="13852" width="22.33203125" style="2" customWidth="1"/>
    <col min="13853" max="13853" width="11.88671875" style="2" customWidth="1"/>
    <col min="13854" max="13854" width="10.109375" style="2" customWidth="1"/>
    <col min="13855" max="13856" width="9.109375" style="2"/>
    <col min="13857" max="13857" width="13.33203125" style="2" customWidth="1"/>
    <col min="13858" max="13858" width="11.44140625" style="2" customWidth="1"/>
    <col min="13859" max="13859" width="13.33203125" style="2" bestFit="1" customWidth="1"/>
    <col min="13860" max="13860" width="16.88671875" style="2" bestFit="1" customWidth="1"/>
    <col min="13861" max="13863" width="14.44140625" style="2" customWidth="1"/>
    <col min="13864" max="13864" width="9.88671875" style="2" customWidth="1"/>
    <col min="13865" max="13867" width="17" style="2" customWidth="1"/>
    <col min="13868" max="13868" width="9.109375" style="2"/>
    <col min="13869" max="13869" width="17" style="2" customWidth="1"/>
    <col min="13870" max="13870" width="10.44140625" style="2" customWidth="1"/>
    <col min="13871" max="14044" width="9.109375" style="2"/>
    <col min="14045" max="14045" width="18.44140625" style="2" customWidth="1"/>
    <col min="14046" max="14046" width="11.88671875" style="2" customWidth="1"/>
    <col min="14047" max="14048" width="10.109375" style="2" customWidth="1"/>
    <col min="14049" max="14050" width="13.6640625" style="2" customWidth="1"/>
    <col min="14051" max="14053" width="23.77734375" style="2" customWidth="1"/>
    <col min="14054" max="14056" width="9.109375" style="2"/>
    <col min="14057" max="14057" width="21" style="2" customWidth="1"/>
    <col min="14058" max="14058" width="12.33203125" style="2" customWidth="1"/>
    <col min="14059" max="14059" width="14" style="2" customWidth="1"/>
    <col min="14060" max="14060" width="10.109375" style="2" bestFit="1" customWidth="1"/>
    <col min="14061" max="14061" width="10.109375" style="2" customWidth="1"/>
    <col min="14062" max="14062" width="27.21875" style="2" customWidth="1"/>
    <col min="14063" max="14063" width="24.5546875" style="2" customWidth="1"/>
    <col min="14064" max="14064" width="16.21875" style="2" customWidth="1"/>
    <col min="14065" max="14065" width="16.33203125" style="2" customWidth="1"/>
    <col min="14066" max="14066" width="18.5546875" style="2" customWidth="1"/>
    <col min="14067" max="14067" width="20.33203125" style="2" customWidth="1"/>
    <col min="14068" max="14069" width="22.88671875" style="2" customWidth="1"/>
    <col min="14070" max="14073" width="18" style="2" customWidth="1"/>
    <col min="14074" max="14074" width="17.21875" style="2" customWidth="1"/>
    <col min="14075" max="14075" width="16.6640625" style="2" customWidth="1"/>
    <col min="14076" max="14076" width="17.44140625" style="2" customWidth="1"/>
    <col min="14077" max="14077" width="24.21875" style="2" customWidth="1"/>
    <col min="14078" max="14078" width="20.44140625" style="2" customWidth="1"/>
    <col min="14079" max="14079" width="41.5546875" style="2" customWidth="1"/>
    <col min="14080" max="14081" width="32.44140625" style="2" customWidth="1"/>
    <col min="14082" max="14086" width="41.5546875" style="2" customWidth="1"/>
    <col min="14087" max="14087" width="30.44140625" style="2" customWidth="1"/>
    <col min="14088" max="14088" width="22.33203125" style="2" customWidth="1"/>
    <col min="14089" max="14089" width="9.109375" style="2"/>
    <col min="14090" max="14090" width="22.88671875" style="2" customWidth="1"/>
    <col min="14091" max="14091" width="23.77734375" style="2" customWidth="1"/>
    <col min="14092" max="14092" width="74.44140625" style="2" customWidth="1"/>
    <col min="14093" max="14094" width="9.109375" style="2"/>
    <col min="14095" max="14095" width="14.109375" style="2" customWidth="1"/>
    <col min="14096" max="14096" width="12.44140625" style="2" customWidth="1"/>
    <col min="14097" max="14097" width="13.44140625" style="2" customWidth="1"/>
    <col min="14098" max="14098" width="11.109375" style="2" customWidth="1"/>
    <col min="14099" max="14102" width="17.33203125" style="2" customWidth="1"/>
    <col min="14103" max="14106" width="9.109375" style="2"/>
    <col min="14107" max="14108" width="22.33203125" style="2" customWidth="1"/>
    <col min="14109" max="14109" width="11.88671875" style="2" customWidth="1"/>
    <col min="14110" max="14110" width="10.109375" style="2" customWidth="1"/>
    <col min="14111" max="14112" width="9.109375" style="2"/>
    <col min="14113" max="14113" width="13.33203125" style="2" customWidth="1"/>
    <col min="14114" max="14114" width="11.44140625" style="2" customWidth="1"/>
    <col min="14115" max="14115" width="13.33203125" style="2" bestFit="1" customWidth="1"/>
    <col min="14116" max="14116" width="16.88671875" style="2" bestFit="1" customWidth="1"/>
    <col min="14117" max="14119" width="14.44140625" style="2" customWidth="1"/>
    <col min="14120" max="14120" width="9.88671875" style="2" customWidth="1"/>
    <col min="14121" max="14123" width="17" style="2" customWidth="1"/>
    <col min="14124" max="14124" width="9.109375" style="2"/>
    <col min="14125" max="14125" width="17" style="2" customWidth="1"/>
    <col min="14126" max="14126" width="10.44140625" style="2" customWidth="1"/>
    <col min="14127" max="14300" width="9.109375" style="2"/>
    <col min="14301" max="14301" width="18.44140625" style="2" customWidth="1"/>
    <col min="14302" max="14302" width="11.88671875" style="2" customWidth="1"/>
    <col min="14303" max="14304" width="10.109375" style="2" customWidth="1"/>
    <col min="14305" max="14306" width="13.6640625" style="2" customWidth="1"/>
    <col min="14307" max="14309" width="23.77734375" style="2" customWidth="1"/>
    <col min="14310" max="14312" width="9.109375" style="2"/>
    <col min="14313" max="14313" width="21" style="2" customWidth="1"/>
    <col min="14314" max="14314" width="12.33203125" style="2" customWidth="1"/>
    <col min="14315" max="14315" width="14" style="2" customWidth="1"/>
    <col min="14316" max="14316" width="10.109375" style="2" bestFit="1" customWidth="1"/>
    <col min="14317" max="14317" width="10.109375" style="2" customWidth="1"/>
    <col min="14318" max="14318" width="27.21875" style="2" customWidth="1"/>
    <col min="14319" max="14319" width="24.5546875" style="2" customWidth="1"/>
    <col min="14320" max="14320" width="16.21875" style="2" customWidth="1"/>
    <col min="14321" max="14321" width="16.33203125" style="2" customWidth="1"/>
    <col min="14322" max="14322" width="18.5546875" style="2" customWidth="1"/>
    <col min="14323" max="14323" width="20.33203125" style="2" customWidth="1"/>
    <col min="14324" max="14325" width="22.88671875" style="2" customWidth="1"/>
    <col min="14326" max="14329" width="18" style="2" customWidth="1"/>
    <col min="14330" max="14330" width="17.21875" style="2" customWidth="1"/>
    <col min="14331" max="14331" width="16.6640625" style="2" customWidth="1"/>
    <col min="14332" max="14332" width="17.44140625" style="2" customWidth="1"/>
    <col min="14333" max="14333" width="24.21875" style="2" customWidth="1"/>
    <col min="14334" max="14334" width="20.44140625" style="2" customWidth="1"/>
    <col min="14335" max="14335" width="41.5546875" style="2" customWidth="1"/>
    <col min="14336" max="14337" width="32.44140625" style="2" customWidth="1"/>
    <col min="14338" max="14342" width="41.5546875" style="2" customWidth="1"/>
    <col min="14343" max="14343" width="30.44140625" style="2" customWidth="1"/>
    <col min="14344" max="14344" width="22.33203125" style="2" customWidth="1"/>
    <col min="14345" max="14345" width="9.109375" style="2"/>
    <col min="14346" max="14346" width="22.88671875" style="2" customWidth="1"/>
    <col min="14347" max="14347" width="23.77734375" style="2" customWidth="1"/>
    <col min="14348" max="14348" width="74.44140625" style="2" customWidth="1"/>
    <col min="14349" max="14350" width="9.109375" style="2"/>
    <col min="14351" max="14351" width="14.109375" style="2" customWidth="1"/>
    <col min="14352" max="14352" width="12.44140625" style="2" customWidth="1"/>
    <col min="14353" max="14353" width="13.44140625" style="2" customWidth="1"/>
    <col min="14354" max="14354" width="11.109375" style="2" customWidth="1"/>
    <col min="14355" max="14358" width="17.33203125" style="2" customWidth="1"/>
    <col min="14359" max="14362" width="9.109375" style="2"/>
    <col min="14363" max="14364" width="22.33203125" style="2" customWidth="1"/>
    <col min="14365" max="14365" width="11.88671875" style="2" customWidth="1"/>
    <col min="14366" max="14366" width="10.109375" style="2" customWidth="1"/>
    <col min="14367" max="14368" width="9.109375" style="2"/>
    <col min="14369" max="14369" width="13.33203125" style="2" customWidth="1"/>
    <col min="14370" max="14370" width="11.44140625" style="2" customWidth="1"/>
    <col min="14371" max="14371" width="13.33203125" style="2" bestFit="1" customWidth="1"/>
    <col min="14372" max="14372" width="16.88671875" style="2" bestFit="1" customWidth="1"/>
    <col min="14373" max="14375" width="14.44140625" style="2" customWidth="1"/>
    <col min="14376" max="14376" width="9.88671875" style="2" customWidth="1"/>
    <col min="14377" max="14379" width="17" style="2" customWidth="1"/>
    <col min="14380" max="14380" width="9.109375" style="2"/>
    <col min="14381" max="14381" width="17" style="2" customWidth="1"/>
    <col min="14382" max="14382" width="10.44140625" style="2" customWidth="1"/>
    <col min="14383" max="14556" width="9.109375" style="2"/>
    <col min="14557" max="14557" width="18.44140625" style="2" customWidth="1"/>
    <col min="14558" max="14558" width="11.88671875" style="2" customWidth="1"/>
    <col min="14559" max="14560" width="10.109375" style="2" customWidth="1"/>
    <col min="14561" max="14562" width="13.6640625" style="2" customWidth="1"/>
    <col min="14563" max="14565" width="23.77734375" style="2" customWidth="1"/>
    <col min="14566" max="14568" width="9.109375" style="2"/>
    <col min="14569" max="14569" width="21" style="2" customWidth="1"/>
    <col min="14570" max="14570" width="12.33203125" style="2" customWidth="1"/>
    <col min="14571" max="14571" width="14" style="2" customWidth="1"/>
    <col min="14572" max="14572" width="10.109375" style="2" bestFit="1" customWidth="1"/>
    <col min="14573" max="14573" width="10.109375" style="2" customWidth="1"/>
    <col min="14574" max="14574" width="27.21875" style="2" customWidth="1"/>
    <col min="14575" max="14575" width="24.5546875" style="2" customWidth="1"/>
    <col min="14576" max="14576" width="16.21875" style="2" customWidth="1"/>
    <col min="14577" max="14577" width="16.33203125" style="2" customWidth="1"/>
    <col min="14578" max="14578" width="18.5546875" style="2" customWidth="1"/>
    <col min="14579" max="14579" width="20.33203125" style="2" customWidth="1"/>
    <col min="14580" max="14581" width="22.88671875" style="2" customWidth="1"/>
    <col min="14582" max="14585" width="18" style="2" customWidth="1"/>
    <col min="14586" max="14586" width="17.21875" style="2" customWidth="1"/>
    <col min="14587" max="14587" width="16.6640625" style="2" customWidth="1"/>
    <col min="14588" max="14588" width="17.44140625" style="2" customWidth="1"/>
    <col min="14589" max="14589" width="24.21875" style="2" customWidth="1"/>
    <col min="14590" max="14590" width="20.44140625" style="2" customWidth="1"/>
    <col min="14591" max="14591" width="41.5546875" style="2" customWidth="1"/>
    <col min="14592" max="14593" width="32.44140625" style="2" customWidth="1"/>
    <col min="14594" max="14598" width="41.5546875" style="2" customWidth="1"/>
    <col min="14599" max="14599" width="30.44140625" style="2" customWidth="1"/>
    <col min="14600" max="14600" width="22.33203125" style="2" customWidth="1"/>
    <col min="14601" max="14601" width="9.109375" style="2"/>
    <col min="14602" max="14602" width="22.88671875" style="2" customWidth="1"/>
    <col min="14603" max="14603" width="23.77734375" style="2" customWidth="1"/>
    <col min="14604" max="14604" width="74.44140625" style="2" customWidth="1"/>
    <col min="14605" max="14606" width="9.109375" style="2"/>
    <col min="14607" max="14607" width="14.109375" style="2" customWidth="1"/>
    <col min="14608" max="14608" width="12.44140625" style="2" customWidth="1"/>
    <col min="14609" max="14609" width="13.44140625" style="2" customWidth="1"/>
    <col min="14610" max="14610" width="11.109375" style="2" customWidth="1"/>
    <col min="14611" max="14614" width="17.33203125" style="2" customWidth="1"/>
    <col min="14615" max="14618" width="9.109375" style="2"/>
    <col min="14619" max="14620" width="22.33203125" style="2" customWidth="1"/>
    <col min="14621" max="14621" width="11.88671875" style="2" customWidth="1"/>
    <col min="14622" max="14622" width="10.109375" style="2" customWidth="1"/>
    <col min="14623" max="14624" width="9.109375" style="2"/>
    <col min="14625" max="14625" width="13.33203125" style="2" customWidth="1"/>
    <col min="14626" max="14626" width="11.44140625" style="2" customWidth="1"/>
    <col min="14627" max="14627" width="13.33203125" style="2" bestFit="1" customWidth="1"/>
    <col min="14628" max="14628" width="16.88671875" style="2" bestFit="1" customWidth="1"/>
    <col min="14629" max="14631" width="14.44140625" style="2" customWidth="1"/>
    <col min="14632" max="14632" width="9.88671875" style="2" customWidth="1"/>
    <col min="14633" max="14635" width="17" style="2" customWidth="1"/>
    <col min="14636" max="14636" width="9.109375" style="2"/>
    <col min="14637" max="14637" width="17" style="2" customWidth="1"/>
    <col min="14638" max="14638" width="10.44140625" style="2" customWidth="1"/>
    <col min="14639" max="14812" width="9.109375" style="2"/>
    <col min="14813" max="14813" width="18.44140625" style="2" customWidth="1"/>
    <col min="14814" max="14814" width="11.88671875" style="2" customWidth="1"/>
    <col min="14815" max="14816" width="10.109375" style="2" customWidth="1"/>
    <col min="14817" max="14818" width="13.6640625" style="2" customWidth="1"/>
    <col min="14819" max="14821" width="23.77734375" style="2" customWidth="1"/>
    <col min="14822" max="14824" width="9.109375" style="2"/>
    <col min="14825" max="14825" width="21" style="2" customWidth="1"/>
    <col min="14826" max="14826" width="12.33203125" style="2" customWidth="1"/>
    <col min="14827" max="14827" width="14" style="2" customWidth="1"/>
    <col min="14828" max="14828" width="10.109375" style="2" bestFit="1" customWidth="1"/>
    <col min="14829" max="14829" width="10.109375" style="2" customWidth="1"/>
    <col min="14830" max="14830" width="27.21875" style="2" customWidth="1"/>
    <col min="14831" max="14831" width="24.5546875" style="2" customWidth="1"/>
    <col min="14832" max="14832" width="16.21875" style="2" customWidth="1"/>
    <col min="14833" max="14833" width="16.33203125" style="2" customWidth="1"/>
    <col min="14834" max="14834" width="18.5546875" style="2" customWidth="1"/>
    <col min="14835" max="14835" width="20.33203125" style="2" customWidth="1"/>
    <col min="14836" max="14837" width="22.88671875" style="2" customWidth="1"/>
    <col min="14838" max="14841" width="18" style="2" customWidth="1"/>
    <col min="14842" max="14842" width="17.21875" style="2" customWidth="1"/>
    <col min="14843" max="14843" width="16.6640625" style="2" customWidth="1"/>
    <col min="14844" max="14844" width="17.44140625" style="2" customWidth="1"/>
    <col min="14845" max="14845" width="24.21875" style="2" customWidth="1"/>
    <col min="14846" max="14846" width="20.44140625" style="2" customWidth="1"/>
    <col min="14847" max="14847" width="41.5546875" style="2" customWidth="1"/>
    <col min="14848" max="14849" width="32.44140625" style="2" customWidth="1"/>
    <col min="14850" max="14854" width="41.5546875" style="2" customWidth="1"/>
    <col min="14855" max="14855" width="30.44140625" style="2" customWidth="1"/>
    <col min="14856" max="14856" width="22.33203125" style="2" customWidth="1"/>
    <col min="14857" max="14857" width="9.109375" style="2"/>
    <col min="14858" max="14858" width="22.88671875" style="2" customWidth="1"/>
    <col min="14859" max="14859" width="23.77734375" style="2" customWidth="1"/>
    <col min="14860" max="14860" width="74.44140625" style="2" customWidth="1"/>
    <col min="14861" max="14862" width="9.109375" style="2"/>
    <col min="14863" max="14863" width="14.109375" style="2" customWidth="1"/>
    <col min="14864" max="14864" width="12.44140625" style="2" customWidth="1"/>
    <col min="14865" max="14865" width="13.44140625" style="2" customWidth="1"/>
    <col min="14866" max="14866" width="11.109375" style="2" customWidth="1"/>
    <col min="14867" max="14870" width="17.33203125" style="2" customWidth="1"/>
    <col min="14871" max="14874" width="9.109375" style="2"/>
    <col min="14875" max="14876" width="22.33203125" style="2" customWidth="1"/>
    <col min="14877" max="14877" width="11.88671875" style="2" customWidth="1"/>
    <col min="14878" max="14878" width="10.109375" style="2" customWidth="1"/>
    <col min="14879" max="14880" width="9.109375" style="2"/>
    <col min="14881" max="14881" width="13.33203125" style="2" customWidth="1"/>
    <col min="14882" max="14882" width="11.44140625" style="2" customWidth="1"/>
    <col min="14883" max="14883" width="13.33203125" style="2" bestFit="1" customWidth="1"/>
    <col min="14884" max="14884" width="16.88671875" style="2" bestFit="1" customWidth="1"/>
    <col min="14885" max="14887" width="14.44140625" style="2" customWidth="1"/>
    <col min="14888" max="14888" width="9.88671875" style="2" customWidth="1"/>
    <col min="14889" max="14891" width="17" style="2" customWidth="1"/>
    <col min="14892" max="14892" width="9.109375" style="2"/>
    <col min="14893" max="14893" width="17" style="2" customWidth="1"/>
    <col min="14894" max="14894" width="10.44140625" style="2" customWidth="1"/>
    <col min="14895" max="15068" width="9.109375" style="2"/>
    <col min="15069" max="15069" width="18.44140625" style="2" customWidth="1"/>
    <col min="15070" max="15070" width="11.88671875" style="2" customWidth="1"/>
    <col min="15071" max="15072" width="10.109375" style="2" customWidth="1"/>
    <col min="15073" max="15074" width="13.6640625" style="2" customWidth="1"/>
    <col min="15075" max="15077" width="23.77734375" style="2" customWidth="1"/>
    <col min="15078" max="15080" width="9.109375" style="2"/>
    <col min="15081" max="15081" width="21" style="2" customWidth="1"/>
    <col min="15082" max="15082" width="12.33203125" style="2" customWidth="1"/>
    <col min="15083" max="15083" width="14" style="2" customWidth="1"/>
    <col min="15084" max="15084" width="10.109375" style="2" bestFit="1" customWidth="1"/>
    <col min="15085" max="15085" width="10.109375" style="2" customWidth="1"/>
    <col min="15086" max="15086" width="27.21875" style="2" customWidth="1"/>
    <col min="15087" max="15087" width="24.5546875" style="2" customWidth="1"/>
    <col min="15088" max="15088" width="16.21875" style="2" customWidth="1"/>
    <col min="15089" max="15089" width="16.33203125" style="2" customWidth="1"/>
    <col min="15090" max="15090" width="18.5546875" style="2" customWidth="1"/>
    <col min="15091" max="15091" width="20.33203125" style="2" customWidth="1"/>
    <col min="15092" max="15093" width="22.88671875" style="2" customWidth="1"/>
    <col min="15094" max="15097" width="18" style="2" customWidth="1"/>
    <col min="15098" max="15098" width="17.21875" style="2" customWidth="1"/>
    <col min="15099" max="15099" width="16.6640625" style="2" customWidth="1"/>
    <col min="15100" max="15100" width="17.44140625" style="2" customWidth="1"/>
    <col min="15101" max="15101" width="24.21875" style="2" customWidth="1"/>
    <col min="15102" max="15102" width="20.44140625" style="2" customWidth="1"/>
    <col min="15103" max="15103" width="41.5546875" style="2" customWidth="1"/>
    <col min="15104" max="15105" width="32.44140625" style="2" customWidth="1"/>
    <col min="15106" max="15110" width="41.5546875" style="2" customWidth="1"/>
    <col min="15111" max="15111" width="30.44140625" style="2" customWidth="1"/>
    <col min="15112" max="15112" width="22.33203125" style="2" customWidth="1"/>
    <col min="15113" max="15113" width="9.109375" style="2"/>
    <col min="15114" max="15114" width="22.88671875" style="2" customWidth="1"/>
    <col min="15115" max="15115" width="23.77734375" style="2" customWidth="1"/>
    <col min="15116" max="15116" width="74.44140625" style="2" customWidth="1"/>
    <col min="15117" max="15118" width="9.109375" style="2"/>
    <col min="15119" max="15119" width="14.109375" style="2" customWidth="1"/>
    <col min="15120" max="15120" width="12.44140625" style="2" customWidth="1"/>
    <col min="15121" max="15121" width="13.44140625" style="2" customWidth="1"/>
    <col min="15122" max="15122" width="11.109375" style="2" customWidth="1"/>
    <col min="15123" max="15126" width="17.33203125" style="2" customWidth="1"/>
    <col min="15127" max="15130" width="9.109375" style="2"/>
    <col min="15131" max="15132" width="22.33203125" style="2" customWidth="1"/>
    <col min="15133" max="15133" width="11.88671875" style="2" customWidth="1"/>
    <col min="15134" max="15134" width="10.109375" style="2" customWidth="1"/>
    <col min="15135" max="15136" width="9.109375" style="2"/>
    <col min="15137" max="15137" width="13.33203125" style="2" customWidth="1"/>
    <col min="15138" max="15138" width="11.44140625" style="2" customWidth="1"/>
    <col min="15139" max="15139" width="13.33203125" style="2" bestFit="1" customWidth="1"/>
    <col min="15140" max="15140" width="16.88671875" style="2" bestFit="1" customWidth="1"/>
    <col min="15141" max="15143" width="14.44140625" style="2" customWidth="1"/>
    <col min="15144" max="15144" width="9.88671875" style="2" customWidth="1"/>
    <col min="15145" max="15147" width="17" style="2" customWidth="1"/>
    <col min="15148" max="15148" width="9.109375" style="2"/>
    <col min="15149" max="15149" width="17" style="2" customWidth="1"/>
    <col min="15150" max="15150" width="10.44140625" style="2" customWidth="1"/>
    <col min="15151" max="15324" width="9.109375" style="2"/>
    <col min="15325" max="15325" width="18.44140625" style="2" customWidth="1"/>
    <col min="15326" max="15326" width="11.88671875" style="2" customWidth="1"/>
    <col min="15327" max="15328" width="10.109375" style="2" customWidth="1"/>
    <col min="15329" max="15330" width="13.6640625" style="2" customWidth="1"/>
    <col min="15331" max="15333" width="23.77734375" style="2" customWidth="1"/>
    <col min="15334" max="15336" width="9.109375" style="2"/>
    <col min="15337" max="15337" width="21" style="2" customWidth="1"/>
    <col min="15338" max="15338" width="12.33203125" style="2" customWidth="1"/>
    <col min="15339" max="15339" width="14" style="2" customWidth="1"/>
    <col min="15340" max="15340" width="10.109375" style="2" bestFit="1" customWidth="1"/>
    <col min="15341" max="15341" width="10.109375" style="2" customWidth="1"/>
    <col min="15342" max="15342" width="27.21875" style="2" customWidth="1"/>
    <col min="15343" max="15343" width="24.5546875" style="2" customWidth="1"/>
    <col min="15344" max="15344" width="16.21875" style="2" customWidth="1"/>
    <col min="15345" max="15345" width="16.33203125" style="2" customWidth="1"/>
    <col min="15346" max="15346" width="18.5546875" style="2" customWidth="1"/>
    <col min="15347" max="15347" width="20.33203125" style="2" customWidth="1"/>
    <col min="15348" max="15349" width="22.88671875" style="2" customWidth="1"/>
    <col min="15350" max="15353" width="18" style="2" customWidth="1"/>
    <col min="15354" max="15354" width="17.21875" style="2" customWidth="1"/>
    <col min="15355" max="15355" width="16.6640625" style="2" customWidth="1"/>
    <col min="15356" max="15356" width="17.44140625" style="2" customWidth="1"/>
    <col min="15357" max="15357" width="24.21875" style="2" customWidth="1"/>
    <col min="15358" max="15358" width="20.44140625" style="2" customWidth="1"/>
    <col min="15359" max="15359" width="41.5546875" style="2" customWidth="1"/>
    <col min="15360" max="15361" width="32.44140625" style="2" customWidth="1"/>
    <col min="15362" max="15366" width="41.5546875" style="2" customWidth="1"/>
    <col min="15367" max="15367" width="30.44140625" style="2" customWidth="1"/>
    <col min="15368" max="15368" width="22.33203125" style="2" customWidth="1"/>
    <col min="15369" max="15369" width="9.109375" style="2"/>
    <col min="15370" max="15370" width="22.88671875" style="2" customWidth="1"/>
    <col min="15371" max="15371" width="23.77734375" style="2" customWidth="1"/>
    <col min="15372" max="15372" width="74.44140625" style="2" customWidth="1"/>
    <col min="15373" max="15374" width="9.109375" style="2"/>
    <col min="15375" max="15375" width="14.109375" style="2" customWidth="1"/>
    <col min="15376" max="15376" width="12.44140625" style="2" customWidth="1"/>
    <col min="15377" max="15377" width="13.44140625" style="2" customWidth="1"/>
    <col min="15378" max="15378" width="11.109375" style="2" customWidth="1"/>
    <col min="15379" max="15382" width="17.33203125" style="2" customWidth="1"/>
    <col min="15383" max="15386" width="9.109375" style="2"/>
    <col min="15387" max="15388" width="22.33203125" style="2" customWidth="1"/>
    <col min="15389" max="15389" width="11.88671875" style="2" customWidth="1"/>
    <col min="15390" max="15390" width="10.109375" style="2" customWidth="1"/>
    <col min="15391" max="15392" width="9.109375" style="2"/>
    <col min="15393" max="15393" width="13.33203125" style="2" customWidth="1"/>
    <col min="15394" max="15394" width="11.44140625" style="2" customWidth="1"/>
    <col min="15395" max="15395" width="13.33203125" style="2" bestFit="1" customWidth="1"/>
    <col min="15396" max="15396" width="16.88671875" style="2" bestFit="1" customWidth="1"/>
    <col min="15397" max="15399" width="14.44140625" style="2" customWidth="1"/>
    <col min="15400" max="15400" width="9.88671875" style="2" customWidth="1"/>
    <col min="15401" max="15403" width="17" style="2" customWidth="1"/>
    <col min="15404" max="15404" width="9.109375" style="2"/>
    <col min="15405" max="15405" width="17" style="2" customWidth="1"/>
    <col min="15406" max="15406" width="10.44140625" style="2" customWidth="1"/>
    <col min="15407" max="15580" width="9.109375" style="2"/>
    <col min="15581" max="15581" width="18.44140625" style="2" customWidth="1"/>
    <col min="15582" max="15582" width="11.88671875" style="2" customWidth="1"/>
    <col min="15583" max="15584" width="10.109375" style="2" customWidth="1"/>
    <col min="15585" max="15586" width="13.6640625" style="2" customWidth="1"/>
    <col min="15587" max="15589" width="23.77734375" style="2" customWidth="1"/>
    <col min="15590" max="15592" width="9.109375" style="2"/>
    <col min="15593" max="15593" width="21" style="2" customWidth="1"/>
    <col min="15594" max="15594" width="12.33203125" style="2" customWidth="1"/>
    <col min="15595" max="15595" width="14" style="2" customWidth="1"/>
    <col min="15596" max="15596" width="10.109375" style="2" bestFit="1" customWidth="1"/>
    <col min="15597" max="15597" width="10.109375" style="2" customWidth="1"/>
    <col min="15598" max="15598" width="27.21875" style="2" customWidth="1"/>
    <col min="15599" max="15599" width="24.5546875" style="2" customWidth="1"/>
    <col min="15600" max="15600" width="16.21875" style="2" customWidth="1"/>
    <col min="15601" max="15601" width="16.33203125" style="2" customWidth="1"/>
    <col min="15602" max="15602" width="18.5546875" style="2" customWidth="1"/>
    <col min="15603" max="15603" width="20.33203125" style="2" customWidth="1"/>
    <col min="15604" max="15605" width="22.88671875" style="2" customWidth="1"/>
    <col min="15606" max="15609" width="18" style="2" customWidth="1"/>
    <col min="15610" max="15610" width="17.21875" style="2" customWidth="1"/>
    <col min="15611" max="15611" width="16.6640625" style="2" customWidth="1"/>
    <col min="15612" max="15612" width="17.44140625" style="2" customWidth="1"/>
    <col min="15613" max="15613" width="24.21875" style="2" customWidth="1"/>
    <col min="15614" max="15614" width="20.44140625" style="2" customWidth="1"/>
    <col min="15615" max="15615" width="41.5546875" style="2" customWidth="1"/>
    <col min="15616" max="15617" width="32.44140625" style="2" customWidth="1"/>
    <col min="15618" max="15622" width="41.5546875" style="2" customWidth="1"/>
    <col min="15623" max="15623" width="30.44140625" style="2" customWidth="1"/>
    <col min="15624" max="15624" width="22.33203125" style="2" customWidth="1"/>
    <col min="15625" max="15625" width="9.109375" style="2"/>
    <col min="15626" max="15626" width="22.88671875" style="2" customWidth="1"/>
    <col min="15627" max="15627" width="23.77734375" style="2" customWidth="1"/>
    <col min="15628" max="15628" width="74.44140625" style="2" customWidth="1"/>
    <col min="15629" max="15630" width="9.109375" style="2"/>
    <col min="15631" max="15631" width="14.109375" style="2" customWidth="1"/>
    <col min="15632" max="15632" width="12.44140625" style="2" customWidth="1"/>
    <col min="15633" max="15633" width="13.44140625" style="2" customWidth="1"/>
    <col min="15634" max="15634" width="11.109375" style="2" customWidth="1"/>
    <col min="15635" max="15638" width="17.33203125" style="2" customWidth="1"/>
    <col min="15639" max="15642" width="9.109375" style="2"/>
    <col min="15643" max="15644" width="22.33203125" style="2" customWidth="1"/>
    <col min="15645" max="15645" width="11.88671875" style="2" customWidth="1"/>
    <col min="15646" max="15646" width="10.109375" style="2" customWidth="1"/>
    <col min="15647" max="15648" width="9.109375" style="2"/>
    <col min="15649" max="15649" width="13.33203125" style="2" customWidth="1"/>
    <col min="15650" max="15650" width="11.44140625" style="2" customWidth="1"/>
    <col min="15651" max="15651" width="13.33203125" style="2" bestFit="1" customWidth="1"/>
    <col min="15652" max="15652" width="16.88671875" style="2" bestFit="1" customWidth="1"/>
    <col min="15653" max="15655" width="14.44140625" style="2" customWidth="1"/>
    <col min="15656" max="15656" width="9.88671875" style="2" customWidth="1"/>
    <col min="15657" max="15659" width="17" style="2" customWidth="1"/>
    <col min="15660" max="15660" width="9.109375" style="2"/>
    <col min="15661" max="15661" width="17" style="2" customWidth="1"/>
    <col min="15662" max="15662" width="10.44140625" style="2" customWidth="1"/>
    <col min="15663" max="15836" width="9.109375" style="2"/>
    <col min="15837" max="15837" width="18.44140625" style="2" customWidth="1"/>
    <col min="15838" max="15838" width="11.88671875" style="2" customWidth="1"/>
    <col min="15839" max="15840" width="10.109375" style="2" customWidth="1"/>
    <col min="15841" max="15842" width="13.6640625" style="2" customWidth="1"/>
    <col min="15843" max="15845" width="23.77734375" style="2" customWidth="1"/>
    <col min="15846" max="15848" width="9.109375" style="2"/>
    <col min="15849" max="15849" width="21" style="2" customWidth="1"/>
    <col min="15850" max="15850" width="12.33203125" style="2" customWidth="1"/>
    <col min="15851" max="15851" width="14" style="2" customWidth="1"/>
    <col min="15852" max="15852" width="10.109375" style="2" bestFit="1" customWidth="1"/>
    <col min="15853" max="15853" width="10.109375" style="2" customWidth="1"/>
    <col min="15854" max="15854" width="27.21875" style="2" customWidth="1"/>
    <col min="15855" max="15855" width="24.5546875" style="2" customWidth="1"/>
    <col min="15856" max="15856" width="16.21875" style="2" customWidth="1"/>
    <col min="15857" max="15857" width="16.33203125" style="2" customWidth="1"/>
    <col min="15858" max="15858" width="18.5546875" style="2" customWidth="1"/>
    <col min="15859" max="15859" width="20.33203125" style="2" customWidth="1"/>
    <col min="15860" max="15861" width="22.88671875" style="2" customWidth="1"/>
    <col min="15862" max="15865" width="18" style="2" customWidth="1"/>
    <col min="15866" max="15866" width="17.21875" style="2" customWidth="1"/>
    <col min="15867" max="15867" width="16.6640625" style="2" customWidth="1"/>
    <col min="15868" max="15868" width="17.44140625" style="2" customWidth="1"/>
    <col min="15869" max="15869" width="24.21875" style="2" customWidth="1"/>
    <col min="15870" max="15870" width="20.44140625" style="2" customWidth="1"/>
    <col min="15871" max="15871" width="41.5546875" style="2" customWidth="1"/>
    <col min="15872" max="15873" width="32.44140625" style="2" customWidth="1"/>
    <col min="15874" max="15878" width="41.5546875" style="2" customWidth="1"/>
    <col min="15879" max="15879" width="30.44140625" style="2" customWidth="1"/>
    <col min="15880" max="15880" width="22.33203125" style="2" customWidth="1"/>
    <col min="15881" max="15881" width="9.109375" style="2"/>
    <col min="15882" max="15882" width="22.88671875" style="2" customWidth="1"/>
    <col min="15883" max="15883" width="23.77734375" style="2" customWidth="1"/>
    <col min="15884" max="15884" width="74.44140625" style="2" customWidth="1"/>
    <col min="15885" max="15886" width="9.109375" style="2"/>
    <col min="15887" max="15887" width="14.109375" style="2" customWidth="1"/>
    <col min="15888" max="15888" width="12.44140625" style="2" customWidth="1"/>
    <col min="15889" max="15889" width="13.44140625" style="2" customWidth="1"/>
    <col min="15890" max="15890" width="11.109375" style="2" customWidth="1"/>
    <col min="15891" max="15894" width="17.33203125" style="2" customWidth="1"/>
    <col min="15895" max="15898" width="9.109375" style="2"/>
    <col min="15899" max="15900" width="22.33203125" style="2" customWidth="1"/>
    <col min="15901" max="15901" width="11.88671875" style="2" customWidth="1"/>
    <col min="15902" max="15902" width="10.109375" style="2" customWidth="1"/>
    <col min="15903" max="15904" width="9.109375" style="2"/>
    <col min="15905" max="15905" width="13.33203125" style="2" customWidth="1"/>
    <col min="15906" max="15906" width="11.44140625" style="2" customWidth="1"/>
    <col min="15907" max="15907" width="13.33203125" style="2" bestFit="1" customWidth="1"/>
    <col min="15908" max="15908" width="16.88671875" style="2" bestFit="1" customWidth="1"/>
    <col min="15909" max="15911" width="14.44140625" style="2" customWidth="1"/>
    <col min="15912" max="15912" width="9.88671875" style="2" customWidth="1"/>
    <col min="15913" max="15915" width="17" style="2" customWidth="1"/>
    <col min="15916" max="15916" width="9.109375" style="2"/>
    <col min="15917" max="15917" width="17" style="2" customWidth="1"/>
    <col min="15918" max="15918" width="10.44140625" style="2" customWidth="1"/>
    <col min="15919" max="16092" width="9.109375" style="2"/>
    <col min="16093" max="16093" width="18.44140625" style="2" customWidth="1"/>
    <col min="16094" max="16094" width="11.88671875" style="2" customWidth="1"/>
    <col min="16095" max="16096" width="10.109375" style="2" customWidth="1"/>
    <col min="16097" max="16098" width="13.6640625" style="2" customWidth="1"/>
    <col min="16099" max="16101" width="23.77734375" style="2" customWidth="1"/>
    <col min="16102" max="16104" width="9.109375" style="2"/>
    <col min="16105" max="16105" width="21" style="2" customWidth="1"/>
    <col min="16106" max="16106" width="12.33203125" style="2" customWidth="1"/>
    <col min="16107" max="16107" width="14" style="2" customWidth="1"/>
    <col min="16108" max="16108" width="10.109375" style="2" bestFit="1" customWidth="1"/>
    <col min="16109" max="16109" width="10.109375" style="2" customWidth="1"/>
    <col min="16110" max="16110" width="27.21875" style="2" customWidth="1"/>
    <col min="16111" max="16111" width="24.5546875" style="2" customWidth="1"/>
    <col min="16112" max="16112" width="16.21875" style="2" customWidth="1"/>
    <col min="16113" max="16113" width="16.33203125" style="2" customWidth="1"/>
    <col min="16114" max="16114" width="18.5546875" style="2" customWidth="1"/>
    <col min="16115" max="16115" width="20.33203125" style="2" customWidth="1"/>
    <col min="16116" max="16117" width="22.88671875" style="2" customWidth="1"/>
    <col min="16118" max="16121" width="18" style="2" customWidth="1"/>
    <col min="16122" max="16122" width="17.21875" style="2" customWidth="1"/>
    <col min="16123" max="16123" width="16.6640625" style="2" customWidth="1"/>
    <col min="16124" max="16124" width="17.44140625" style="2" customWidth="1"/>
    <col min="16125" max="16125" width="24.21875" style="2" customWidth="1"/>
    <col min="16126" max="16126" width="20.44140625" style="2" customWidth="1"/>
    <col min="16127" max="16127" width="41.5546875" style="2" customWidth="1"/>
    <col min="16128" max="16129" width="32.44140625" style="2" customWidth="1"/>
    <col min="16130" max="16134" width="41.5546875" style="2" customWidth="1"/>
    <col min="16135" max="16135" width="30.44140625" style="2" customWidth="1"/>
    <col min="16136" max="16136" width="22.33203125" style="2" customWidth="1"/>
    <col min="16137" max="16137" width="9.109375" style="2"/>
    <col min="16138" max="16138" width="22.88671875" style="2" customWidth="1"/>
    <col min="16139" max="16139" width="23.77734375" style="2" customWidth="1"/>
    <col min="16140" max="16140" width="74.44140625" style="2" customWidth="1"/>
    <col min="16141" max="16142" width="9.109375" style="2"/>
    <col min="16143" max="16143" width="14.109375" style="2" customWidth="1"/>
    <col min="16144" max="16144" width="12.44140625" style="2" customWidth="1"/>
    <col min="16145" max="16145" width="13.44140625" style="2" customWidth="1"/>
    <col min="16146" max="16146" width="11.109375" style="2" customWidth="1"/>
    <col min="16147" max="16150" width="17.33203125" style="2" customWidth="1"/>
    <col min="16151" max="16154" width="9.109375" style="2"/>
    <col min="16155" max="16156" width="22.33203125" style="2" customWidth="1"/>
    <col min="16157" max="16157" width="11.88671875" style="2" customWidth="1"/>
    <col min="16158" max="16158" width="10.109375" style="2" customWidth="1"/>
    <col min="16159" max="16160" width="9.109375" style="2"/>
    <col min="16161" max="16161" width="13.33203125" style="2" customWidth="1"/>
    <col min="16162" max="16162" width="11.44140625" style="2" customWidth="1"/>
    <col min="16163" max="16163" width="13.33203125" style="2" bestFit="1" customWidth="1"/>
    <col min="16164" max="16164" width="16.88671875" style="2" bestFit="1" customWidth="1"/>
    <col min="16165" max="16167" width="14.44140625" style="2" customWidth="1"/>
    <col min="16168" max="16168" width="9.88671875" style="2" customWidth="1"/>
    <col min="16169" max="16171" width="17" style="2" customWidth="1"/>
    <col min="16172" max="16172" width="9.109375" style="2"/>
    <col min="16173" max="16173" width="17" style="2" customWidth="1"/>
    <col min="16174" max="16174" width="10.44140625" style="2" customWidth="1"/>
    <col min="16175" max="16384" width="9.109375" style="2"/>
  </cols>
  <sheetData>
    <row r="1" spans="1:47" x14ac:dyDescent="0.3">
      <c r="A1" s="2" t="s">
        <v>38</v>
      </c>
      <c r="B1" s="1" t="s">
        <v>0</v>
      </c>
      <c r="C1" s="1" t="s">
        <v>39</v>
      </c>
      <c r="D1" s="1" t="s">
        <v>1</v>
      </c>
      <c r="E1" s="1" t="s">
        <v>2</v>
      </c>
      <c r="F1" s="1" t="s">
        <v>3</v>
      </c>
      <c r="G1" s="1" t="s">
        <v>17</v>
      </c>
      <c r="H1" s="1" t="s">
        <v>4</v>
      </c>
      <c r="I1" s="1" t="s">
        <v>40</v>
      </c>
      <c r="J1" s="1" t="s">
        <v>41</v>
      </c>
      <c r="K1" s="1" t="s">
        <v>18</v>
      </c>
      <c r="L1" s="1" t="s">
        <v>42</v>
      </c>
      <c r="M1" s="1" t="s">
        <v>43</v>
      </c>
      <c r="N1" s="1" t="s">
        <v>44</v>
      </c>
      <c r="O1" s="1" t="s">
        <v>45</v>
      </c>
      <c r="P1" s="1" t="s">
        <v>46</v>
      </c>
      <c r="Q1" s="1" t="s">
        <v>47</v>
      </c>
      <c r="R1" s="1" t="s">
        <v>48</v>
      </c>
      <c r="S1" s="1" t="s">
        <v>49</v>
      </c>
      <c r="T1" s="1" t="s">
        <v>50</v>
      </c>
      <c r="U1" s="1" t="s">
        <v>51</v>
      </c>
      <c r="V1" s="1" t="s">
        <v>52</v>
      </c>
      <c r="W1" s="1" t="s">
        <v>154</v>
      </c>
      <c r="X1" s="1" t="s">
        <v>53</v>
      </c>
      <c r="Y1" s="1" t="s">
        <v>54</v>
      </c>
      <c r="Z1" s="1" t="s">
        <v>55</v>
      </c>
      <c r="AA1" s="1" t="s">
        <v>56</v>
      </c>
      <c r="AB1" s="1" t="s">
        <v>57</v>
      </c>
      <c r="AC1" s="1" t="s">
        <v>58</v>
      </c>
      <c r="AD1" s="1" t="s">
        <v>59</v>
      </c>
      <c r="AE1" s="1" t="s">
        <v>60</v>
      </c>
      <c r="AF1" s="1" t="s">
        <v>61</v>
      </c>
      <c r="AG1" s="1" t="s">
        <v>62</v>
      </c>
      <c r="AH1" s="1" t="s">
        <v>155</v>
      </c>
      <c r="AI1" s="1" t="s">
        <v>104</v>
      </c>
      <c r="AJ1" s="1" t="s">
        <v>63</v>
      </c>
      <c r="AK1" s="1" t="s">
        <v>64</v>
      </c>
      <c r="AL1" s="1" t="s">
        <v>5</v>
      </c>
      <c r="AM1" s="1" t="s">
        <v>6</v>
      </c>
      <c r="AN1" s="1" t="s">
        <v>57</v>
      </c>
      <c r="AO1" s="1" t="s">
        <v>65</v>
      </c>
      <c r="AP1" s="1"/>
      <c r="AQ1" s="1"/>
      <c r="AR1" s="1"/>
      <c r="AT1" s="1"/>
      <c r="AU1" s="1"/>
    </row>
    <row r="2" spans="1:47" s="5" customFormat="1" x14ac:dyDescent="0.3">
      <c r="A2" s="5" t="s">
        <v>66</v>
      </c>
      <c r="B2" s="5" t="s">
        <v>105</v>
      </c>
      <c r="C2" s="5" t="s">
        <v>67</v>
      </c>
      <c r="D2" s="5" t="s">
        <v>16</v>
      </c>
      <c r="E2" s="5" t="s">
        <v>29</v>
      </c>
      <c r="F2" s="5" t="s">
        <v>34</v>
      </c>
      <c r="G2" s="5">
        <v>2</v>
      </c>
      <c r="H2" s="5">
        <v>72</v>
      </c>
      <c r="I2" s="5">
        <v>-75</v>
      </c>
      <c r="J2" s="5">
        <v>300</v>
      </c>
      <c r="K2" s="5">
        <v>25</v>
      </c>
      <c r="L2" s="5">
        <v>160</v>
      </c>
      <c r="M2" s="9">
        <v>19.5</v>
      </c>
      <c r="N2" s="5">
        <v>46.4</v>
      </c>
      <c r="O2" s="5">
        <v>0.9</v>
      </c>
      <c r="P2" s="5">
        <v>28.1</v>
      </c>
      <c r="Q2" s="5">
        <v>-36</v>
      </c>
      <c r="R2" s="5">
        <v>0.41888120770454401</v>
      </c>
      <c r="S2" s="5">
        <v>0.78663736581802401</v>
      </c>
      <c r="T2" s="5">
        <v>127.8998795</v>
      </c>
      <c r="U2" s="5">
        <v>-61.622940059999998</v>
      </c>
      <c r="V2" s="5">
        <f t="shared" ref="V2:V27" si="0">T2/U2</f>
        <v>-2.0755238126494544</v>
      </c>
      <c r="W2" s="5">
        <f>(J2*K2)/1000</f>
        <v>7.5</v>
      </c>
      <c r="X2" s="5">
        <v>4.2</v>
      </c>
      <c r="Y2" s="5">
        <v>-15.3</v>
      </c>
      <c r="Z2" s="5">
        <v>0.59999999999999432</v>
      </c>
      <c r="AA2" s="5">
        <f>1/0.5</f>
        <v>2</v>
      </c>
      <c r="AB2" s="5">
        <v>6</v>
      </c>
      <c r="AC2" s="5">
        <f>2/0.5</f>
        <v>4</v>
      </c>
      <c r="AF2" s="5">
        <v>200</v>
      </c>
      <c r="AG2" s="5">
        <v>33.5</v>
      </c>
      <c r="AK2" s="5" t="s">
        <v>80</v>
      </c>
      <c r="AL2" s="5" t="s">
        <v>71</v>
      </c>
      <c r="AM2" s="5">
        <v>4</v>
      </c>
      <c r="AN2" s="5">
        <v>6</v>
      </c>
      <c r="AO2" s="5" t="s">
        <v>69</v>
      </c>
    </row>
    <row r="3" spans="1:47" s="5" customFormat="1" x14ac:dyDescent="0.3">
      <c r="A3" s="5" t="s">
        <v>106</v>
      </c>
      <c r="B3" s="5" t="s">
        <v>21</v>
      </c>
      <c r="C3" s="5" t="s">
        <v>67</v>
      </c>
      <c r="D3" s="5" t="s">
        <v>16</v>
      </c>
      <c r="E3" s="5" t="s">
        <v>29</v>
      </c>
      <c r="F3" s="5" t="s">
        <v>19</v>
      </c>
      <c r="G3" s="5">
        <v>1</v>
      </c>
      <c r="H3" s="5">
        <v>64</v>
      </c>
      <c r="I3" s="5">
        <v>-74</v>
      </c>
      <c r="J3" s="5">
        <v>300</v>
      </c>
      <c r="K3" s="5">
        <v>27</v>
      </c>
      <c r="L3" s="5">
        <v>120</v>
      </c>
      <c r="M3" s="9">
        <v>20</v>
      </c>
      <c r="N3" s="5">
        <v>58.3</v>
      </c>
      <c r="O3" s="5">
        <v>0.92</v>
      </c>
      <c r="P3" s="5">
        <v>41.4</v>
      </c>
      <c r="Q3" s="5">
        <v>-40.299999999999997</v>
      </c>
      <c r="R3" s="5">
        <v>0.433531</v>
      </c>
      <c r="S3" s="5">
        <v>0.78869</v>
      </c>
      <c r="T3" s="5">
        <v>161.68396000000001</v>
      </c>
      <c r="U3" s="5">
        <v>-71.733818049999996</v>
      </c>
      <c r="V3" s="5">
        <f t="shared" si="0"/>
        <v>-2.253943319834208</v>
      </c>
      <c r="W3" s="5">
        <f>(J3*K3)/1000</f>
        <v>8.1</v>
      </c>
      <c r="X3" s="5">
        <v>3.7</v>
      </c>
      <c r="Y3" s="5">
        <v>-16.100000000000001</v>
      </c>
      <c r="Z3" s="5">
        <v>0.90000000000000568</v>
      </c>
      <c r="AA3" s="5">
        <v>4</v>
      </c>
      <c r="AB3" s="5">
        <v>3</v>
      </c>
      <c r="AC3" s="5">
        <f>40/0.5</f>
        <v>80</v>
      </c>
      <c r="AD3" s="5">
        <f>39.8/61.6</f>
        <v>0.64610389610389607</v>
      </c>
      <c r="AE3" s="5">
        <f>12.9/9.7</f>
        <v>1.329896907216495</v>
      </c>
      <c r="AF3" s="5">
        <v>320</v>
      </c>
      <c r="AG3" s="5">
        <v>27.1</v>
      </c>
      <c r="AH3" s="5">
        <f>1/0.0097</f>
        <v>103.09278350515464</v>
      </c>
      <c r="AI3" s="5">
        <f>1/0.013275</f>
        <v>75.329566854990588</v>
      </c>
      <c r="AJ3" s="5">
        <f>AI3/AH3</f>
        <v>0.73069679849340874</v>
      </c>
      <c r="AK3" s="5" t="s">
        <v>80</v>
      </c>
      <c r="AL3" s="5" t="s">
        <v>7</v>
      </c>
      <c r="AM3" s="5">
        <v>4</v>
      </c>
      <c r="AN3" s="5">
        <v>3</v>
      </c>
      <c r="AO3" s="5" t="s">
        <v>69</v>
      </c>
    </row>
    <row r="4" spans="1:47" s="5" customFormat="1" x14ac:dyDescent="0.3">
      <c r="A4" s="5" t="s">
        <v>72</v>
      </c>
      <c r="B4" s="5" t="s">
        <v>22</v>
      </c>
      <c r="C4" s="5" t="s">
        <v>67</v>
      </c>
      <c r="D4" s="5" t="s">
        <v>16</v>
      </c>
      <c r="E4" s="5" t="s">
        <v>29</v>
      </c>
      <c r="F4" s="5" t="s">
        <v>20</v>
      </c>
      <c r="G4" s="5">
        <v>0</v>
      </c>
      <c r="H4" s="5">
        <v>74</v>
      </c>
      <c r="I4" s="5">
        <v>-76</v>
      </c>
      <c r="J4" s="5">
        <v>300</v>
      </c>
      <c r="K4" s="5">
        <v>24</v>
      </c>
      <c r="L4" s="5">
        <v>120</v>
      </c>
      <c r="M4" s="9">
        <v>18.399999999999999</v>
      </c>
      <c r="N4" s="5">
        <v>51.3</v>
      </c>
      <c r="O4" s="5">
        <v>0.84</v>
      </c>
      <c r="P4" s="5">
        <v>43.4</v>
      </c>
      <c r="Q4" s="5">
        <v>-41.5</v>
      </c>
      <c r="R4" s="5">
        <v>0.41676962400000001</v>
      </c>
      <c r="S4" s="5">
        <v>0.83102804399999997</v>
      </c>
      <c r="T4" s="5">
        <v>143.99023439999999</v>
      </c>
      <c r="U4" s="5">
        <v>-65.628814700000007</v>
      </c>
      <c r="V4" s="5">
        <f t="shared" si="0"/>
        <v>-2.1940093700945655</v>
      </c>
      <c r="W4" s="5">
        <f>(J4*K4)/1000</f>
        <v>7.2</v>
      </c>
      <c r="X4" s="5">
        <v>3.5</v>
      </c>
      <c r="Y4" s="5">
        <v>-7.9</v>
      </c>
      <c r="Z4" s="5">
        <v>0.30000000000001137</v>
      </c>
      <c r="AA4" s="5">
        <v>60</v>
      </c>
      <c r="AB4" s="5">
        <v>9</v>
      </c>
      <c r="AC4" s="5">
        <f>60/0.5</f>
        <v>120</v>
      </c>
      <c r="AD4" s="5">
        <f>38.9/51.3</f>
        <v>0.75828460038986356</v>
      </c>
      <c r="AE4" s="5">
        <f>8.7/6.2</f>
        <v>1.4032258064516128</v>
      </c>
      <c r="AF4" s="5">
        <v>320</v>
      </c>
      <c r="AG4" s="5">
        <v>22.3</v>
      </c>
      <c r="AH4" s="5">
        <f>1/0.0059</f>
        <v>169.49152542372883</v>
      </c>
      <c r="AI4" s="5">
        <f>1/0.008825</f>
        <v>113.31444759206799</v>
      </c>
      <c r="AJ4" s="5">
        <f>AI4/AH4</f>
        <v>0.66855524079320106</v>
      </c>
      <c r="AK4" s="5" t="s">
        <v>68</v>
      </c>
      <c r="AL4" s="5" t="s">
        <v>7</v>
      </c>
      <c r="AM4" s="5">
        <v>4</v>
      </c>
      <c r="AN4" s="5">
        <v>9</v>
      </c>
      <c r="AO4" s="5" t="s">
        <v>69</v>
      </c>
    </row>
    <row r="5" spans="1:47" s="5" customFormat="1" x14ac:dyDescent="0.3">
      <c r="A5" s="5" t="s">
        <v>72</v>
      </c>
      <c r="B5" s="5" t="s">
        <v>107</v>
      </c>
      <c r="C5" s="5" t="s">
        <v>67</v>
      </c>
      <c r="D5" s="5" t="s">
        <v>16</v>
      </c>
      <c r="E5" s="5" t="s">
        <v>29</v>
      </c>
      <c r="F5" s="5" t="s">
        <v>20</v>
      </c>
      <c r="G5" s="5">
        <v>0</v>
      </c>
      <c r="H5" s="5">
        <v>74</v>
      </c>
      <c r="I5" s="5">
        <v>-73</v>
      </c>
      <c r="J5" s="5">
        <v>460</v>
      </c>
      <c r="K5" s="5">
        <v>30</v>
      </c>
      <c r="L5" s="5">
        <v>80</v>
      </c>
      <c r="M5" s="9">
        <v>40.200000000000003</v>
      </c>
      <c r="N5" s="5">
        <v>61.2</v>
      </c>
      <c r="O5" s="5">
        <v>0.8</v>
      </c>
      <c r="P5" s="5">
        <v>36.700000000000003</v>
      </c>
      <c r="Q5" s="5">
        <v>-33.700000000000003</v>
      </c>
      <c r="R5" s="5">
        <v>0.31896987599999999</v>
      </c>
      <c r="S5" s="5">
        <v>0.64783948700000005</v>
      </c>
      <c r="T5" s="5">
        <v>211.84370419999999</v>
      </c>
      <c r="U5" s="5">
        <v>-88.82783508</v>
      </c>
      <c r="V5" s="5">
        <f t="shared" si="0"/>
        <v>-2.3848797396582908</v>
      </c>
      <c r="W5" s="5">
        <f>(J5*K5)/1000</f>
        <v>13.8</v>
      </c>
      <c r="X5" s="5">
        <v>3.4</v>
      </c>
      <c r="Y5" s="5">
        <v>-15.8</v>
      </c>
      <c r="Z5" s="5">
        <v>0.70000000000000284</v>
      </c>
      <c r="AA5" s="5">
        <v>22</v>
      </c>
      <c r="AB5" s="5">
        <v>17</v>
      </c>
      <c r="AC5" s="5">
        <f>35/0.5</f>
        <v>70</v>
      </c>
      <c r="AD5" s="5">
        <f>55.6/63.6</f>
        <v>0.87421383647798745</v>
      </c>
      <c r="AE5" s="5">
        <f>14.9/8.9</f>
        <v>1.6741573033707864</v>
      </c>
      <c r="AF5" s="5">
        <v>440</v>
      </c>
      <c r="AG5" s="5">
        <v>19.3</v>
      </c>
      <c r="AH5" s="5">
        <f>1/0.0051</f>
        <v>196.07843137254901</v>
      </c>
      <c r="AI5" s="5">
        <f>1/0.0118</f>
        <v>84.745762711864415</v>
      </c>
      <c r="AJ5" s="5">
        <f>AI5/AH5</f>
        <v>0.43220338983050854</v>
      </c>
      <c r="AK5" s="5" t="s">
        <v>80</v>
      </c>
      <c r="AL5" s="5" t="s">
        <v>7</v>
      </c>
      <c r="AM5" s="5">
        <v>4</v>
      </c>
      <c r="AN5" s="5">
        <v>17</v>
      </c>
      <c r="AO5" s="5" t="s">
        <v>87</v>
      </c>
    </row>
    <row r="6" spans="1:47" s="5" customFormat="1" x14ac:dyDescent="0.3">
      <c r="A6" s="5" t="s">
        <v>108</v>
      </c>
      <c r="B6" s="5" t="s">
        <v>23</v>
      </c>
      <c r="C6" s="5" t="s">
        <v>67</v>
      </c>
      <c r="D6" s="5" t="s">
        <v>16</v>
      </c>
      <c r="E6" s="5" t="s">
        <v>29</v>
      </c>
      <c r="F6" s="5" t="s">
        <v>20</v>
      </c>
      <c r="G6" s="5">
        <v>11</v>
      </c>
      <c r="H6" s="5">
        <v>77</v>
      </c>
      <c r="I6" s="5">
        <v>-72</v>
      </c>
      <c r="J6" s="5">
        <v>260</v>
      </c>
      <c r="K6" s="5">
        <v>31</v>
      </c>
      <c r="L6" s="5">
        <v>120</v>
      </c>
      <c r="M6" s="9">
        <v>18.2</v>
      </c>
      <c r="N6" s="5">
        <v>69.7</v>
      </c>
      <c r="O6" s="5">
        <v>1.02</v>
      </c>
      <c r="P6" s="5">
        <v>66.599999999999994</v>
      </c>
      <c r="Q6" s="5">
        <v>-45.2</v>
      </c>
      <c r="R6" s="5">
        <v>0.49874144799999998</v>
      </c>
      <c r="S6" s="5">
        <v>0.94212782399999995</v>
      </c>
      <c r="T6" s="5">
        <v>163.61416629999999</v>
      </c>
      <c r="U6" s="5">
        <v>-71.995117190000002</v>
      </c>
      <c r="V6" s="5">
        <f t="shared" si="0"/>
        <v>-2.2725730950365857</v>
      </c>
      <c r="W6" s="5">
        <f>(J6*K6)/1000</f>
        <v>8.06</v>
      </c>
      <c r="X6" s="5">
        <v>4</v>
      </c>
      <c r="Y6" s="5">
        <v>-10.9</v>
      </c>
      <c r="Z6" s="5">
        <v>0.51999999999999602</v>
      </c>
      <c r="AA6" s="5">
        <v>36</v>
      </c>
      <c r="AB6" s="5">
        <v>0</v>
      </c>
      <c r="AC6" s="5">
        <f>38/0.5</f>
        <v>76</v>
      </c>
      <c r="AD6" s="5">
        <f>55.1/71.6</f>
        <v>0.76955307262569839</v>
      </c>
      <c r="AE6" s="5">
        <f>14/10.7</f>
        <v>1.3084112149532712</v>
      </c>
      <c r="AF6" s="5">
        <v>480</v>
      </c>
      <c r="AG6" s="5">
        <v>21.7</v>
      </c>
      <c r="AH6" s="5">
        <f>1/0.0072</f>
        <v>138.88888888888889</v>
      </c>
      <c r="AI6" s="5">
        <f>1/0.013275</f>
        <v>75.329566854990588</v>
      </c>
      <c r="AJ6" s="5">
        <f>AI6/AH6</f>
        <v>0.5423728813559322</v>
      </c>
      <c r="AK6" s="5" t="s">
        <v>68</v>
      </c>
      <c r="AL6" s="5" t="s">
        <v>7</v>
      </c>
      <c r="AM6" s="5">
        <v>4</v>
      </c>
      <c r="AN6" s="5">
        <v>0</v>
      </c>
      <c r="AO6" s="5" t="s">
        <v>69</v>
      </c>
    </row>
    <row r="7" spans="1:47" s="5" customFormat="1" x14ac:dyDescent="0.3">
      <c r="A7" s="5" t="s">
        <v>109</v>
      </c>
      <c r="B7" s="5" t="s">
        <v>24</v>
      </c>
      <c r="C7" s="5" t="s">
        <v>67</v>
      </c>
      <c r="D7" s="5" t="s">
        <v>16</v>
      </c>
      <c r="E7" s="5" t="s">
        <v>29</v>
      </c>
      <c r="F7" s="5" t="s">
        <v>20</v>
      </c>
      <c r="G7" s="5">
        <v>11</v>
      </c>
      <c r="H7" s="5">
        <v>77</v>
      </c>
      <c r="I7" s="5">
        <v>-65</v>
      </c>
      <c r="J7" s="5">
        <v>280</v>
      </c>
      <c r="K7" s="5">
        <v>21</v>
      </c>
      <c r="L7" s="5">
        <v>80</v>
      </c>
      <c r="M7" s="9">
        <v>33.799999999999997</v>
      </c>
      <c r="N7" s="5">
        <v>80.599999999999994</v>
      </c>
      <c r="O7" s="5">
        <v>0.97</v>
      </c>
      <c r="P7" s="5">
        <v>74.5</v>
      </c>
      <c r="Q7" s="5">
        <v>-43.9</v>
      </c>
      <c r="R7" s="5">
        <v>0.47551938900000001</v>
      </c>
      <c r="S7" s="5">
        <v>0.83461791299999999</v>
      </c>
      <c r="T7" s="5">
        <v>195.0549469</v>
      </c>
      <c r="U7" s="5">
        <v>-91.214157099999994</v>
      </c>
      <c r="V7" s="5">
        <f t="shared" si="0"/>
        <v>-2.1384284315225011</v>
      </c>
      <c r="W7" s="5">
        <f>(J7*K7)/1000</f>
        <v>5.88</v>
      </c>
      <c r="X7" s="5">
        <v>3.6</v>
      </c>
      <c r="Y7" s="5">
        <v>-14.4</v>
      </c>
      <c r="Z7" s="5">
        <v>0.7</v>
      </c>
      <c r="AA7" s="5">
        <v>12</v>
      </c>
      <c r="AB7" s="5">
        <v>2</v>
      </c>
      <c r="AC7" s="5">
        <v>74</v>
      </c>
      <c r="AD7" s="5">
        <f>58.7/75</f>
        <v>0.78266666666666673</v>
      </c>
      <c r="AE7" s="5">
        <f>15.3/11.9</f>
        <v>1.2857142857142858</v>
      </c>
      <c r="AF7" s="5">
        <v>320</v>
      </c>
      <c r="AG7" s="5">
        <v>22.7</v>
      </c>
      <c r="AH7" s="5">
        <f>1/0.0084</f>
        <v>119.04761904761905</v>
      </c>
      <c r="AI7" s="5">
        <f>1/0.0155</f>
        <v>64.516129032258064</v>
      </c>
      <c r="AJ7" s="5">
        <f>AI7/AH7</f>
        <v>0.54193548387096768</v>
      </c>
      <c r="AK7" s="5" t="s">
        <v>80</v>
      </c>
      <c r="AL7" s="5" t="s">
        <v>7</v>
      </c>
      <c r="AM7" s="5">
        <v>4</v>
      </c>
      <c r="AN7" s="5">
        <v>2</v>
      </c>
      <c r="AO7" s="5" t="s">
        <v>76</v>
      </c>
    </row>
    <row r="8" spans="1:47" s="5" customFormat="1" x14ac:dyDescent="0.3">
      <c r="A8" s="5" t="s">
        <v>74</v>
      </c>
      <c r="B8" s="5" t="s">
        <v>110</v>
      </c>
      <c r="C8" s="5" t="s">
        <v>67</v>
      </c>
      <c r="D8" s="5" t="s">
        <v>16</v>
      </c>
      <c r="E8" s="5" t="s">
        <v>29</v>
      </c>
      <c r="F8" s="5" t="s">
        <v>26</v>
      </c>
      <c r="G8" s="6" t="s">
        <v>75</v>
      </c>
      <c r="H8" s="5">
        <v>82</v>
      </c>
      <c r="I8" s="5">
        <v>-76</v>
      </c>
      <c r="J8" s="5">
        <v>320</v>
      </c>
      <c r="K8" s="5">
        <v>21</v>
      </c>
      <c r="L8" s="5">
        <v>120</v>
      </c>
      <c r="M8" s="9">
        <v>11.2</v>
      </c>
      <c r="N8" s="5">
        <v>54.5</v>
      </c>
      <c r="O8" s="5">
        <v>1.1299999999999999</v>
      </c>
      <c r="P8" s="5">
        <v>45.8</v>
      </c>
      <c r="Q8" s="5">
        <v>-46.1</v>
      </c>
      <c r="R8" s="5">
        <v>0.51012462400000003</v>
      </c>
      <c r="S8" s="5">
        <v>0.89935874900000001</v>
      </c>
      <c r="T8" s="5">
        <v>125.38133240000001</v>
      </c>
      <c r="U8" s="5">
        <v>-59.523811340000002</v>
      </c>
      <c r="V8" s="5">
        <f t="shared" si="0"/>
        <v>-2.1064063200493304</v>
      </c>
      <c r="W8" s="5">
        <f>(J8*K8)/1000</f>
        <v>6.72</v>
      </c>
      <c r="X8" s="5">
        <v>4.3</v>
      </c>
      <c r="Y8" s="5">
        <v>-18.7</v>
      </c>
      <c r="Z8" s="5">
        <v>0.80000000000001137</v>
      </c>
      <c r="AA8" s="5">
        <v>8</v>
      </c>
      <c r="AB8" s="5">
        <v>1</v>
      </c>
      <c r="AC8" s="5">
        <v>70</v>
      </c>
      <c r="AD8" s="5">
        <f>36.1/56.6</f>
        <v>0.63780918727915192</v>
      </c>
      <c r="AE8" s="5">
        <f>14.6/10.5</f>
        <v>1.3904761904761904</v>
      </c>
      <c r="AL8" s="5" t="s">
        <v>7</v>
      </c>
      <c r="AM8" s="5">
        <v>4</v>
      </c>
      <c r="AN8" s="5">
        <v>1</v>
      </c>
      <c r="AO8" s="5" t="s">
        <v>69</v>
      </c>
    </row>
    <row r="9" spans="1:47" s="5" customFormat="1" x14ac:dyDescent="0.3">
      <c r="A9" s="5" t="s">
        <v>74</v>
      </c>
      <c r="B9" s="5" t="s">
        <v>111</v>
      </c>
      <c r="C9" s="5" t="s">
        <v>67</v>
      </c>
      <c r="D9" s="5" t="s">
        <v>16</v>
      </c>
      <c r="E9" s="5" t="s">
        <v>29</v>
      </c>
      <c r="F9" s="5" t="s">
        <v>26</v>
      </c>
      <c r="G9" s="6" t="s">
        <v>75</v>
      </c>
      <c r="H9" s="5">
        <v>82</v>
      </c>
      <c r="I9" s="5">
        <v>-69</v>
      </c>
      <c r="J9" s="5">
        <v>260</v>
      </c>
      <c r="K9" s="5">
        <v>26</v>
      </c>
      <c r="L9" s="5">
        <v>120</v>
      </c>
      <c r="M9" s="9">
        <v>21.2</v>
      </c>
      <c r="N9" s="5">
        <v>62.9</v>
      </c>
      <c r="O9" s="5">
        <v>0.84</v>
      </c>
      <c r="P9" s="5">
        <v>42.5</v>
      </c>
      <c r="Q9" s="5">
        <v>-41.8</v>
      </c>
      <c r="R9" s="5">
        <v>0.41295942699999999</v>
      </c>
      <c r="S9" s="5">
        <v>0.65527969600000002</v>
      </c>
      <c r="T9" s="5">
        <v>173.88652039999999</v>
      </c>
      <c r="U9" s="5">
        <v>-89.078704830000007</v>
      </c>
      <c r="V9" s="5">
        <f t="shared" si="0"/>
        <v>-1.9520548792424555</v>
      </c>
      <c r="W9" s="5">
        <f>(J9*K9)/1000</f>
        <v>6.76</v>
      </c>
      <c r="X9" s="5">
        <v>3.1</v>
      </c>
      <c r="Y9" s="5">
        <v>-17.8</v>
      </c>
      <c r="Z9" s="5">
        <v>0.5</v>
      </c>
      <c r="AA9" s="5">
        <v>8</v>
      </c>
      <c r="AB9" s="5">
        <v>9</v>
      </c>
      <c r="AC9" s="5">
        <v>94</v>
      </c>
      <c r="AD9" s="5">
        <f>52.8/64.9</f>
        <v>0.81355932203389814</v>
      </c>
      <c r="AE9" s="5">
        <f>11.6/9.3</f>
        <v>1.247311827956989</v>
      </c>
      <c r="AF9" s="5">
        <v>600</v>
      </c>
      <c r="AG9" s="5">
        <v>18.2</v>
      </c>
      <c r="AH9" s="5">
        <f>1/0.0065</f>
        <v>153.84615384615384</v>
      </c>
      <c r="AI9" s="5">
        <f>1/0.009</f>
        <v>111.11111111111111</v>
      </c>
      <c r="AJ9" s="5">
        <f t="shared" ref="AJ9:AJ14" si="1">AI9/AH9</f>
        <v>0.72222222222222232</v>
      </c>
      <c r="AK9" s="5" t="s">
        <v>80</v>
      </c>
      <c r="AL9" s="5" t="s">
        <v>7</v>
      </c>
      <c r="AM9" s="5">
        <v>4</v>
      </c>
      <c r="AN9" s="5">
        <v>9</v>
      </c>
      <c r="AO9" s="5" t="s">
        <v>76</v>
      </c>
    </row>
    <row r="10" spans="1:47" s="5" customFormat="1" x14ac:dyDescent="0.3">
      <c r="A10" s="5" t="s">
        <v>77</v>
      </c>
      <c r="B10" s="5" t="s">
        <v>25</v>
      </c>
      <c r="C10" s="5" t="s">
        <v>67</v>
      </c>
      <c r="D10" s="5" t="s">
        <v>16</v>
      </c>
      <c r="E10" s="5" t="s">
        <v>29</v>
      </c>
      <c r="F10" s="5" t="s">
        <v>26</v>
      </c>
      <c r="G10" s="6" t="s">
        <v>27</v>
      </c>
      <c r="H10" s="5">
        <v>83</v>
      </c>
      <c r="I10" s="5">
        <v>-71</v>
      </c>
      <c r="J10" s="5">
        <v>240</v>
      </c>
      <c r="K10" s="5">
        <v>32</v>
      </c>
      <c r="L10" s="5">
        <v>160</v>
      </c>
      <c r="M10" s="9">
        <v>17.600000000000001</v>
      </c>
      <c r="N10" s="5">
        <v>58.4</v>
      </c>
      <c r="O10" s="5">
        <v>0.84</v>
      </c>
      <c r="P10" s="5">
        <v>36.4</v>
      </c>
      <c r="Q10" s="5">
        <v>-41</v>
      </c>
      <c r="R10" s="5">
        <v>0.37463027199999999</v>
      </c>
      <c r="S10" s="5">
        <v>0.72668832500000002</v>
      </c>
      <c r="T10" s="5">
        <v>180.9029846</v>
      </c>
      <c r="U10" s="5">
        <v>-78.449325560000005</v>
      </c>
      <c r="V10" s="5">
        <f t="shared" si="0"/>
        <v>-2.3059852115827417</v>
      </c>
      <c r="W10" s="5">
        <f>(J10*K10)/1000</f>
        <v>7.68</v>
      </c>
      <c r="X10" s="5">
        <v>3.5</v>
      </c>
      <c r="Y10" s="5">
        <v>-16.2</v>
      </c>
      <c r="Z10" s="5">
        <v>0.69999999999998863</v>
      </c>
      <c r="AA10" s="5">
        <v>42</v>
      </c>
      <c r="AB10" s="5">
        <v>2</v>
      </c>
      <c r="AC10" s="5">
        <v>88</v>
      </c>
      <c r="AD10" s="5">
        <f>43.4/61.8</f>
        <v>0.70226537216828477</v>
      </c>
      <c r="AE10" s="5">
        <f>11.6/9.1</f>
        <v>1.2747252747252746</v>
      </c>
      <c r="AF10" s="5">
        <v>560</v>
      </c>
      <c r="AG10" s="5">
        <v>21.6</v>
      </c>
      <c r="AH10" s="5">
        <f>1/0.0073</f>
        <v>136.98630136986301</v>
      </c>
      <c r="AI10" s="5">
        <f>1/0.01085</f>
        <v>92.165898617511516</v>
      </c>
      <c r="AJ10" s="5">
        <f t="shared" si="1"/>
        <v>0.67281105990783407</v>
      </c>
      <c r="AK10" s="5" t="s">
        <v>80</v>
      </c>
      <c r="AL10" s="5" t="s">
        <v>7</v>
      </c>
      <c r="AM10" s="5">
        <v>4</v>
      </c>
      <c r="AN10" s="5">
        <v>2</v>
      </c>
      <c r="AO10" s="5" t="s">
        <v>76</v>
      </c>
    </row>
    <row r="11" spans="1:47" s="5" customFormat="1" x14ac:dyDescent="0.3">
      <c r="A11" s="5" t="s">
        <v>78</v>
      </c>
      <c r="B11" s="5" t="s">
        <v>112</v>
      </c>
      <c r="C11" s="5" t="s">
        <v>67</v>
      </c>
      <c r="D11" s="5" t="s">
        <v>16</v>
      </c>
      <c r="E11" s="5" t="s">
        <v>29</v>
      </c>
      <c r="F11" s="5" t="s">
        <v>26</v>
      </c>
      <c r="G11" s="6" t="s">
        <v>79</v>
      </c>
      <c r="H11" s="5">
        <v>87</v>
      </c>
      <c r="I11" s="5">
        <v>-70</v>
      </c>
      <c r="J11" s="5">
        <v>360</v>
      </c>
      <c r="K11" s="5">
        <v>25</v>
      </c>
      <c r="L11" s="5">
        <v>120</v>
      </c>
      <c r="M11" s="9">
        <v>21</v>
      </c>
      <c r="N11" s="5">
        <v>62</v>
      </c>
      <c r="O11" s="5">
        <v>0.89</v>
      </c>
      <c r="P11" s="5">
        <v>48.7</v>
      </c>
      <c r="Q11" s="5">
        <v>-39.5</v>
      </c>
      <c r="R11" s="5">
        <v>0.38896212000000002</v>
      </c>
      <c r="S11" s="5">
        <v>0.78861296199999997</v>
      </c>
      <c r="T11" s="5">
        <v>196.58119199999999</v>
      </c>
      <c r="U11" s="5">
        <v>-76.312576289999996</v>
      </c>
      <c r="V11" s="5">
        <f t="shared" si="0"/>
        <v>-2.575999940730084</v>
      </c>
      <c r="W11" s="5">
        <f>(J11*K11)/1000</f>
        <v>9</v>
      </c>
      <c r="X11" s="5">
        <v>3.4</v>
      </c>
      <c r="Y11" s="5">
        <v>-15.5</v>
      </c>
      <c r="Z11" s="5">
        <v>1.0999999999999943</v>
      </c>
      <c r="AA11" s="5">
        <v>34</v>
      </c>
      <c r="AB11" s="5">
        <v>11</v>
      </c>
      <c r="AC11" s="5">
        <v>76</v>
      </c>
      <c r="AD11" s="5">
        <f>44.6/64.1</f>
        <v>0.69578783151326062</v>
      </c>
      <c r="AE11" s="5">
        <f>13.9/9.3</f>
        <v>1.4946236559139785</v>
      </c>
      <c r="AF11" s="5">
        <v>520</v>
      </c>
      <c r="AG11" s="5">
        <v>21.8</v>
      </c>
      <c r="AH11" s="5">
        <f>1/0.007</f>
        <v>142.85714285714286</v>
      </c>
      <c r="AI11" s="5">
        <f>1/0.01195</f>
        <v>83.682008368200826</v>
      </c>
      <c r="AJ11" s="5">
        <f t="shared" si="1"/>
        <v>0.58577405857740572</v>
      </c>
      <c r="AK11" s="5" t="s">
        <v>80</v>
      </c>
      <c r="AL11" s="5" t="s">
        <v>7</v>
      </c>
      <c r="AM11" s="5">
        <v>4</v>
      </c>
      <c r="AN11" s="5">
        <v>11</v>
      </c>
      <c r="AO11" s="5" t="s">
        <v>86</v>
      </c>
    </row>
    <row r="12" spans="1:47" s="5" customFormat="1" x14ac:dyDescent="0.3">
      <c r="A12" s="5" t="s">
        <v>78</v>
      </c>
      <c r="B12" s="5" t="s">
        <v>113</v>
      </c>
      <c r="C12" s="5" t="s">
        <v>67</v>
      </c>
      <c r="D12" s="5" t="s">
        <v>16</v>
      </c>
      <c r="E12" s="5" t="s">
        <v>29</v>
      </c>
      <c r="F12" s="5" t="s">
        <v>26</v>
      </c>
      <c r="G12" s="5">
        <v>569</v>
      </c>
      <c r="H12" s="5">
        <v>87</v>
      </c>
      <c r="I12" s="5">
        <v>-66</v>
      </c>
      <c r="J12" s="5">
        <v>340</v>
      </c>
      <c r="K12" s="5">
        <v>46</v>
      </c>
      <c r="L12" s="5">
        <v>120</v>
      </c>
      <c r="M12" s="9">
        <v>23.5</v>
      </c>
      <c r="N12" s="5">
        <v>57</v>
      </c>
      <c r="O12" s="5">
        <v>0.94</v>
      </c>
      <c r="P12" s="5">
        <v>42.7</v>
      </c>
      <c r="Q12" s="5">
        <v>-40.4</v>
      </c>
      <c r="R12" s="5">
        <v>0.38919949500000001</v>
      </c>
      <c r="S12" s="5">
        <v>0.935665309</v>
      </c>
      <c r="T12" s="5">
        <v>165.1404114</v>
      </c>
      <c r="U12" s="5">
        <v>-61.355312349999998</v>
      </c>
      <c r="V12" s="5">
        <f t="shared" si="0"/>
        <v>-2.6915421839589087</v>
      </c>
      <c r="W12" s="5">
        <f>(J12*K12)/1000</f>
        <v>15.64</v>
      </c>
      <c r="X12" s="5">
        <v>4.9000000000000004</v>
      </c>
      <c r="Y12" s="5">
        <v>-13.1</v>
      </c>
      <c r="Z12" s="5">
        <v>0.39999999999999147</v>
      </c>
      <c r="AA12" s="5">
        <v>28</v>
      </c>
      <c r="AB12" s="5">
        <v>12</v>
      </c>
      <c r="AC12" s="5">
        <v>62</v>
      </c>
      <c r="AD12" s="5">
        <f>45.8/61.3</f>
        <v>0.74714518760195758</v>
      </c>
      <c r="AE12" s="5">
        <f>18.4/11.5</f>
        <v>1.5999999999999999</v>
      </c>
      <c r="AF12" s="5">
        <v>480</v>
      </c>
      <c r="AG12" s="5">
        <v>24.6</v>
      </c>
      <c r="AH12" s="5">
        <f>1/0.0081</f>
        <v>123.4567901234568</v>
      </c>
      <c r="AI12" s="5">
        <f>1/0.0168</f>
        <v>59.523809523809526</v>
      </c>
      <c r="AJ12" s="5">
        <f t="shared" si="1"/>
        <v>0.48214285714285715</v>
      </c>
      <c r="AK12" s="5" t="s">
        <v>80</v>
      </c>
      <c r="AL12" s="5" t="s">
        <v>7</v>
      </c>
      <c r="AM12" s="5">
        <v>4</v>
      </c>
      <c r="AN12" s="5">
        <v>12</v>
      </c>
      <c r="AO12" s="5" t="s">
        <v>81</v>
      </c>
    </row>
    <row r="13" spans="1:47" s="5" customFormat="1" x14ac:dyDescent="0.3">
      <c r="A13" s="5" t="s">
        <v>78</v>
      </c>
      <c r="B13" s="5" t="s">
        <v>114</v>
      </c>
      <c r="C13" s="5" t="s">
        <v>67</v>
      </c>
      <c r="D13" s="5" t="s">
        <v>16</v>
      </c>
      <c r="E13" s="5" t="s">
        <v>29</v>
      </c>
      <c r="F13" s="5" t="s">
        <v>26</v>
      </c>
      <c r="G13" s="6" t="s">
        <v>79</v>
      </c>
      <c r="H13" s="5">
        <v>87</v>
      </c>
      <c r="I13" s="5">
        <v>-71</v>
      </c>
      <c r="J13" s="5">
        <v>260</v>
      </c>
      <c r="K13" s="5">
        <v>24</v>
      </c>
      <c r="L13" s="5">
        <v>120</v>
      </c>
      <c r="M13" s="9">
        <v>20.5</v>
      </c>
      <c r="N13" s="5">
        <v>67</v>
      </c>
      <c r="O13" s="5">
        <v>0.88</v>
      </c>
      <c r="P13" s="5">
        <v>51.7</v>
      </c>
      <c r="Q13" s="5">
        <v>-41.1</v>
      </c>
      <c r="R13" s="5">
        <v>0.37339049600000002</v>
      </c>
      <c r="S13" s="5">
        <v>0.72193801400000002</v>
      </c>
      <c r="T13" s="5">
        <v>199.8169556</v>
      </c>
      <c r="U13" s="5">
        <v>-85.470085139999995</v>
      </c>
      <c r="V13" s="5">
        <f t="shared" si="0"/>
        <v>-2.3378583895488094</v>
      </c>
      <c r="W13" s="5">
        <f>(J13*K13)/1000</f>
        <v>6.24</v>
      </c>
      <c r="X13" s="5">
        <v>3.3</v>
      </c>
      <c r="Y13" s="5">
        <v>-17.5</v>
      </c>
      <c r="Z13" s="5">
        <v>0.60000000000000853</v>
      </c>
      <c r="AA13" s="5">
        <v>38</v>
      </c>
      <c r="AB13" s="5">
        <v>14</v>
      </c>
      <c r="AC13" s="5">
        <v>82</v>
      </c>
      <c r="AD13" s="5">
        <f>50.9/68.5</f>
        <v>0.74306569343065687</v>
      </c>
      <c r="AE13" s="5">
        <f>13.3/9.3</f>
        <v>1.4301075268817205</v>
      </c>
      <c r="AF13" s="5">
        <v>520</v>
      </c>
      <c r="AG13" s="5">
        <v>20.100000000000001</v>
      </c>
      <c r="AH13" s="5">
        <f>1/0.0068</f>
        <v>147.05882352941177</v>
      </c>
      <c r="AI13" s="5">
        <f>1/0.011425</f>
        <v>87.527352297592998</v>
      </c>
      <c r="AJ13" s="5">
        <f t="shared" si="1"/>
        <v>0.59518599562363239</v>
      </c>
      <c r="AK13" s="5" t="s">
        <v>80</v>
      </c>
      <c r="AL13" s="5" t="s">
        <v>7</v>
      </c>
      <c r="AM13" s="5">
        <v>4</v>
      </c>
      <c r="AN13" s="5">
        <v>14</v>
      </c>
      <c r="AO13" s="5" t="s">
        <v>76</v>
      </c>
    </row>
    <row r="14" spans="1:47" s="5" customFormat="1" x14ac:dyDescent="0.3">
      <c r="A14" s="5" t="s">
        <v>115</v>
      </c>
      <c r="B14" s="5" t="s">
        <v>116</v>
      </c>
      <c r="C14" s="5" t="s">
        <v>67</v>
      </c>
      <c r="D14" s="5" t="s">
        <v>16</v>
      </c>
      <c r="E14" s="5" t="s">
        <v>29</v>
      </c>
      <c r="F14" s="5" t="s">
        <v>117</v>
      </c>
      <c r="G14" s="6">
        <v>3</v>
      </c>
      <c r="H14" s="5">
        <v>73</v>
      </c>
      <c r="I14" s="5">
        <v>-70</v>
      </c>
      <c r="J14" s="5">
        <v>200</v>
      </c>
      <c r="K14" s="5">
        <v>24</v>
      </c>
      <c r="L14" s="5">
        <v>80</v>
      </c>
      <c r="M14" s="9">
        <v>21.5</v>
      </c>
      <c r="N14" s="5">
        <v>70.7</v>
      </c>
      <c r="O14" s="5">
        <v>0.79</v>
      </c>
      <c r="P14" s="5">
        <v>44.6</v>
      </c>
      <c r="Q14" s="5">
        <v>-49.1</v>
      </c>
      <c r="R14" s="5">
        <v>0.34896376729011502</v>
      </c>
      <c r="S14" s="5">
        <v>0.690060615539551</v>
      </c>
      <c r="T14" s="5">
        <v>238.5601044</v>
      </c>
      <c r="U14" s="5">
        <v>-100.1221008</v>
      </c>
      <c r="V14" s="5">
        <f t="shared" si="0"/>
        <v>-2.3826917583015796</v>
      </c>
      <c r="W14" s="5">
        <f>(J14*K14)/1000</f>
        <v>4.8</v>
      </c>
      <c r="X14" s="5">
        <v>3.1</v>
      </c>
      <c r="Y14" s="5">
        <v>-17.5</v>
      </c>
      <c r="Z14" s="5">
        <v>0.70000000000000284</v>
      </c>
      <c r="AA14" s="5">
        <v>32</v>
      </c>
      <c r="AB14" s="5">
        <v>25</v>
      </c>
      <c r="AC14" s="5">
        <v>74</v>
      </c>
      <c r="AD14" s="5">
        <f>61.6/71.8</f>
        <v>0.85793871866295268</v>
      </c>
      <c r="AE14" s="5">
        <f>14/10.7</f>
        <v>1.3084112149532712</v>
      </c>
      <c r="AF14" s="5">
        <v>600</v>
      </c>
      <c r="AG14" s="5">
        <v>32.6</v>
      </c>
      <c r="AH14" s="5">
        <f>1/0.0059</f>
        <v>169.49152542372883</v>
      </c>
      <c r="AI14" s="5">
        <f>1/0.00975</f>
        <v>102.56410256410257</v>
      </c>
      <c r="AJ14" s="5">
        <f t="shared" si="1"/>
        <v>0.60512820512820509</v>
      </c>
      <c r="AK14" s="5" t="s">
        <v>80</v>
      </c>
      <c r="AL14" s="5" t="s">
        <v>7</v>
      </c>
      <c r="AM14" s="5">
        <v>4</v>
      </c>
      <c r="AN14" s="5">
        <v>25</v>
      </c>
      <c r="AO14" s="5" t="s">
        <v>69</v>
      </c>
    </row>
    <row r="15" spans="1:47" s="5" customFormat="1" x14ac:dyDescent="0.3">
      <c r="A15" s="5" t="s">
        <v>8</v>
      </c>
      <c r="B15" s="5" t="s">
        <v>118</v>
      </c>
      <c r="C15" s="5" t="s">
        <v>83</v>
      </c>
      <c r="D15" s="5" t="s">
        <v>16</v>
      </c>
      <c r="E15" s="5" t="s">
        <v>29</v>
      </c>
      <c r="F15" s="5" t="s">
        <v>119</v>
      </c>
      <c r="G15" s="5">
        <v>1204</v>
      </c>
      <c r="H15" s="5">
        <v>87</v>
      </c>
      <c r="I15" s="5">
        <v>-70</v>
      </c>
      <c r="J15" s="5">
        <v>160</v>
      </c>
      <c r="K15" s="5">
        <v>33</v>
      </c>
      <c r="L15" s="5">
        <v>80</v>
      </c>
      <c r="M15" s="9">
        <v>27.3</v>
      </c>
      <c r="N15" s="5">
        <v>60.8</v>
      </c>
      <c r="O15" s="5">
        <v>1.17</v>
      </c>
      <c r="P15" s="5">
        <v>58.1</v>
      </c>
      <c r="Q15" s="5">
        <v>-52.9</v>
      </c>
      <c r="R15" s="5">
        <v>0.43803220999999998</v>
      </c>
      <c r="S15" s="5">
        <v>1.0642417669999999</v>
      </c>
      <c r="T15" s="5">
        <v>147.74114990000001</v>
      </c>
      <c r="U15" s="5">
        <v>-51.282051090000003</v>
      </c>
      <c r="V15" s="5">
        <v>-2.880952433839167</v>
      </c>
      <c r="W15" s="5">
        <f>(J15*K15)/1000</f>
        <v>5.28</v>
      </c>
      <c r="X15" s="5">
        <v>5</v>
      </c>
      <c r="Y15" s="5">
        <v>-12.4</v>
      </c>
      <c r="Z15" s="5">
        <v>0.76</v>
      </c>
      <c r="AA15" s="5">
        <v>2</v>
      </c>
      <c r="AB15" s="5">
        <v>1</v>
      </c>
      <c r="AC15" s="5">
        <v>50</v>
      </c>
      <c r="AD15" s="5">
        <v>0.76605504587155959</v>
      </c>
      <c r="AE15" s="5">
        <v>1.3043478260869565</v>
      </c>
      <c r="AL15" s="5" t="s">
        <v>7</v>
      </c>
      <c r="AM15" s="5">
        <v>4</v>
      </c>
      <c r="AN15" s="5">
        <v>1</v>
      </c>
      <c r="AO15" s="5" t="s">
        <v>92</v>
      </c>
    </row>
    <row r="16" spans="1:47" s="5" customFormat="1" x14ac:dyDescent="0.3">
      <c r="A16" s="5" t="s">
        <v>9</v>
      </c>
      <c r="B16" s="5" t="s">
        <v>120</v>
      </c>
      <c r="C16" s="5" t="s">
        <v>83</v>
      </c>
      <c r="D16" s="5" t="s">
        <v>16</v>
      </c>
      <c r="E16" s="5" t="s">
        <v>29</v>
      </c>
      <c r="F16" s="5" t="s">
        <v>121</v>
      </c>
      <c r="G16" s="5">
        <v>4</v>
      </c>
      <c r="H16" s="5">
        <v>66</v>
      </c>
      <c r="I16" s="5">
        <v>-70</v>
      </c>
      <c r="J16" s="5">
        <v>350</v>
      </c>
      <c r="K16" s="5">
        <v>25</v>
      </c>
      <c r="L16" s="5">
        <v>120</v>
      </c>
      <c r="M16" s="9">
        <v>21.5</v>
      </c>
      <c r="N16" s="5">
        <v>69.400000000000006</v>
      </c>
      <c r="O16" s="5">
        <v>1.21</v>
      </c>
      <c r="P16" s="5">
        <v>67.099999999999994</v>
      </c>
      <c r="Q16" s="5">
        <v>-47.2</v>
      </c>
      <c r="R16" s="5">
        <v>0.52198159700000002</v>
      </c>
      <c r="S16" s="5">
        <v>1.0574719909999999</v>
      </c>
      <c r="T16" s="5">
        <v>156.59339900000001</v>
      </c>
      <c r="U16" s="5">
        <v>-61.355312349999998</v>
      </c>
      <c r="V16" s="5">
        <v>-2.5522386408322149</v>
      </c>
      <c r="W16" s="5">
        <f>(J16*K16)/1000</f>
        <v>8.75</v>
      </c>
      <c r="X16" s="5">
        <v>4.5</v>
      </c>
      <c r="Y16" s="5">
        <v>-15.9</v>
      </c>
      <c r="Z16" s="5">
        <v>0.76</v>
      </c>
      <c r="AA16" s="5">
        <v>32</v>
      </c>
      <c r="AB16" s="5">
        <v>3</v>
      </c>
      <c r="AC16" s="5">
        <v>66</v>
      </c>
      <c r="AD16" s="5">
        <v>0.8036723163841808</v>
      </c>
      <c r="AE16" s="5">
        <v>1.4122807017543861</v>
      </c>
      <c r="AF16" s="5" t="s">
        <v>71</v>
      </c>
      <c r="AH16" s="5">
        <v>128.2051282051282</v>
      </c>
      <c r="AI16" s="5">
        <v>73.152889539136794</v>
      </c>
      <c r="AJ16" s="5">
        <v>1.7525641025641026</v>
      </c>
      <c r="AK16" s="5" t="s">
        <v>84</v>
      </c>
      <c r="AL16" s="5" t="s">
        <v>7</v>
      </c>
      <c r="AM16" s="5">
        <v>4</v>
      </c>
      <c r="AN16" s="5">
        <v>3</v>
      </c>
      <c r="AO16" s="5" t="s">
        <v>91</v>
      </c>
    </row>
    <row r="17" spans="1:41" s="5" customFormat="1" x14ac:dyDescent="0.3">
      <c r="A17" s="5" t="s">
        <v>9</v>
      </c>
      <c r="B17" s="5" t="s">
        <v>122</v>
      </c>
      <c r="C17" s="5" t="s">
        <v>83</v>
      </c>
      <c r="D17" s="5" t="s">
        <v>16</v>
      </c>
      <c r="E17" s="5" t="s">
        <v>29</v>
      </c>
      <c r="F17" s="5" t="s">
        <v>121</v>
      </c>
      <c r="G17" s="5">
        <v>4</v>
      </c>
      <c r="H17" s="5">
        <v>66</v>
      </c>
      <c r="I17" s="5">
        <v>-63</v>
      </c>
      <c r="J17" s="5">
        <v>280</v>
      </c>
      <c r="K17" s="5">
        <v>20</v>
      </c>
      <c r="L17" s="5">
        <v>120</v>
      </c>
      <c r="M17" s="9">
        <v>22.4</v>
      </c>
      <c r="N17" s="5">
        <v>72.3</v>
      </c>
      <c r="O17" s="5">
        <v>1.62</v>
      </c>
      <c r="P17" s="5">
        <v>100.4</v>
      </c>
      <c r="Q17" s="5">
        <v>-44.1</v>
      </c>
      <c r="R17" s="5">
        <v>0.60425609400000002</v>
      </c>
      <c r="S17" s="5">
        <v>1.550137162</v>
      </c>
      <c r="T17" s="5">
        <v>132.17338559999999</v>
      </c>
      <c r="U17" s="5">
        <v>-43.650794980000001</v>
      </c>
      <c r="V17" s="5">
        <v>-3.0279720142682263</v>
      </c>
      <c r="W17" s="5">
        <f>(J17*K17)/1000</f>
        <v>5.6</v>
      </c>
      <c r="X17" s="5">
        <v>5.8</v>
      </c>
      <c r="Y17" s="5">
        <v>-15.8</v>
      </c>
      <c r="Z17" s="5">
        <v>0.85</v>
      </c>
      <c r="AA17" s="5">
        <v>28</v>
      </c>
      <c r="AB17" s="5">
        <v>5</v>
      </c>
      <c r="AC17" s="5">
        <v>56</v>
      </c>
      <c r="AD17" s="5">
        <v>0.74965034965034971</v>
      </c>
      <c r="AE17" s="5">
        <v>1.5725190839694658</v>
      </c>
      <c r="AL17" s="5" t="s">
        <v>7</v>
      </c>
      <c r="AM17" s="5">
        <v>4</v>
      </c>
      <c r="AN17" s="5">
        <v>5</v>
      </c>
      <c r="AO17" s="5" t="s">
        <v>73</v>
      </c>
    </row>
    <row r="18" spans="1:41" s="5" customFormat="1" x14ac:dyDescent="0.3">
      <c r="A18" s="5" t="s">
        <v>10</v>
      </c>
      <c r="B18" s="5" t="s">
        <v>123</v>
      </c>
      <c r="C18" s="5" t="s">
        <v>83</v>
      </c>
      <c r="D18" s="5" t="s">
        <v>16</v>
      </c>
      <c r="E18" s="5" t="s">
        <v>29</v>
      </c>
      <c r="F18" s="5" t="s">
        <v>124</v>
      </c>
      <c r="G18" s="5">
        <v>2</v>
      </c>
      <c r="H18" s="5">
        <v>66</v>
      </c>
      <c r="I18" s="5">
        <v>-68</v>
      </c>
      <c r="J18" s="5">
        <v>480</v>
      </c>
      <c r="K18" s="5">
        <v>30</v>
      </c>
      <c r="L18" s="5">
        <v>80</v>
      </c>
      <c r="M18" s="9">
        <v>34.299999999999997</v>
      </c>
      <c r="N18" s="5">
        <v>67.7</v>
      </c>
      <c r="O18" s="5">
        <v>1.32</v>
      </c>
      <c r="P18" s="5">
        <v>66.3</v>
      </c>
      <c r="Q18" s="5">
        <v>-43.4</v>
      </c>
      <c r="R18" s="5">
        <v>0.60296267299999995</v>
      </c>
      <c r="S18" s="5">
        <v>1.12712872</v>
      </c>
      <c r="T18" s="5">
        <v>132.17338559999999</v>
      </c>
      <c r="U18" s="5">
        <v>-56.166057590000001</v>
      </c>
      <c r="V18" s="5">
        <f>T18/U18</f>
        <v>-2.3532608709131222</v>
      </c>
      <c r="W18" s="5">
        <f>(J18*K18)/1000</f>
        <v>14.4</v>
      </c>
      <c r="X18" s="5">
        <v>5</v>
      </c>
      <c r="Y18" s="5">
        <v>-18.7</v>
      </c>
      <c r="Z18" s="5">
        <v>0.52</v>
      </c>
      <c r="AA18" s="5">
        <v>24</v>
      </c>
      <c r="AB18" s="5">
        <v>2</v>
      </c>
      <c r="AC18" s="5">
        <v>54</v>
      </c>
      <c r="AD18" s="5">
        <f>54.1/69.2</f>
        <v>0.78179190751445082</v>
      </c>
      <c r="AE18" s="5">
        <f>20/15.3</f>
        <v>1.3071895424836601</v>
      </c>
      <c r="AF18" s="5">
        <v>440</v>
      </c>
      <c r="AG18" s="5">
        <v>-19</v>
      </c>
      <c r="AH18" s="5">
        <f>1/0.0104</f>
        <v>96.15384615384616</v>
      </c>
      <c r="AI18" s="5">
        <f>1/0.0172</f>
        <v>58.139534883720927</v>
      </c>
      <c r="AJ18" s="5">
        <f>AH18/AI18</f>
        <v>1.653846153846154</v>
      </c>
      <c r="AK18" s="5" t="s">
        <v>95</v>
      </c>
      <c r="AL18" s="5" t="s">
        <v>7</v>
      </c>
      <c r="AM18" s="5">
        <v>4</v>
      </c>
      <c r="AN18" s="5">
        <v>2</v>
      </c>
      <c r="AO18" s="5" t="s">
        <v>86</v>
      </c>
    </row>
    <row r="19" spans="1:41" s="5" customFormat="1" x14ac:dyDescent="0.3">
      <c r="A19" s="5" t="s">
        <v>10</v>
      </c>
      <c r="B19" s="5" t="s">
        <v>125</v>
      </c>
      <c r="C19" s="5" t="s">
        <v>83</v>
      </c>
      <c r="D19" s="5" t="s">
        <v>16</v>
      </c>
      <c r="E19" s="5" t="s">
        <v>29</v>
      </c>
      <c r="F19" s="5" t="s">
        <v>124</v>
      </c>
      <c r="G19" s="5">
        <v>2</v>
      </c>
      <c r="H19" s="5">
        <v>66</v>
      </c>
      <c r="I19" s="5">
        <v>-66</v>
      </c>
      <c r="J19" s="5">
        <v>190</v>
      </c>
      <c r="K19" s="5">
        <v>22</v>
      </c>
      <c r="L19" s="5">
        <v>160</v>
      </c>
      <c r="M19" s="9">
        <v>56.5</v>
      </c>
      <c r="N19" s="5">
        <v>74.099999999999994</v>
      </c>
      <c r="O19" s="5">
        <v>0.85</v>
      </c>
      <c r="P19" s="5">
        <v>53</v>
      </c>
      <c r="Q19" s="5">
        <v>-39.299999999999997</v>
      </c>
      <c r="R19" s="5">
        <v>0.37370440399999999</v>
      </c>
      <c r="S19" s="5">
        <v>0.75138896700000002</v>
      </c>
      <c r="T19" s="5">
        <v>215.9853516</v>
      </c>
      <c r="U19" s="5">
        <v>-93.654670719999999</v>
      </c>
      <c r="V19" s="5">
        <f>T19/U19</f>
        <v>-2.3061887884452967</v>
      </c>
      <c r="W19" s="5">
        <f>(J19*K19)/1000</f>
        <v>4.18</v>
      </c>
      <c r="X19" s="5">
        <v>3</v>
      </c>
      <c r="Y19" s="5">
        <v>-15.9</v>
      </c>
      <c r="Z19" s="5">
        <v>1.1000000000000001</v>
      </c>
      <c r="AA19" s="5">
        <v>6</v>
      </c>
      <c r="AB19" s="5">
        <v>3</v>
      </c>
      <c r="AC19" s="5">
        <v>70</v>
      </c>
      <c r="AD19" s="5">
        <f>63/73</f>
        <v>0.86301369863013699</v>
      </c>
      <c r="AE19" s="5">
        <f>15.1/9.5</f>
        <v>1.5894736842105264</v>
      </c>
      <c r="AF19" s="5" t="s">
        <v>71</v>
      </c>
      <c r="AH19" s="5">
        <f>1/0.0064</f>
        <v>156.25</v>
      </c>
      <c r="AI19" s="5">
        <f>1/0.0116</f>
        <v>86.206896551724142</v>
      </c>
      <c r="AJ19" s="5">
        <f>AH19/AI19</f>
        <v>1.8125</v>
      </c>
      <c r="AK19" s="5" t="s">
        <v>84</v>
      </c>
      <c r="AL19" s="5" t="s">
        <v>7</v>
      </c>
      <c r="AM19" s="5">
        <v>4</v>
      </c>
      <c r="AN19" s="5">
        <v>3</v>
      </c>
      <c r="AO19" s="5" t="s">
        <v>126</v>
      </c>
    </row>
    <row r="20" spans="1:41" s="5" customFormat="1" x14ac:dyDescent="0.3">
      <c r="A20" s="5" t="s">
        <v>11</v>
      </c>
      <c r="B20" s="5" t="s">
        <v>127</v>
      </c>
      <c r="C20" s="5" t="s">
        <v>83</v>
      </c>
      <c r="D20" s="5" t="s">
        <v>16</v>
      </c>
      <c r="E20" s="5" t="s">
        <v>29</v>
      </c>
      <c r="F20" s="5" t="s">
        <v>82</v>
      </c>
      <c r="G20" s="5">
        <v>8</v>
      </c>
      <c r="H20" s="5">
        <v>72</v>
      </c>
      <c r="I20" s="5">
        <v>-63</v>
      </c>
      <c r="J20" s="5">
        <v>250</v>
      </c>
      <c r="K20" s="5">
        <v>23</v>
      </c>
      <c r="L20" s="5">
        <v>200</v>
      </c>
      <c r="M20" s="9">
        <v>6.3</v>
      </c>
      <c r="N20" s="5">
        <v>52.9</v>
      </c>
      <c r="O20" s="5">
        <v>0.84</v>
      </c>
      <c r="P20" s="5">
        <v>43.1</v>
      </c>
      <c r="Q20" s="5">
        <v>-54.2</v>
      </c>
      <c r="R20" s="5">
        <v>0.39488977199999997</v>
      </c>
      <c r="S20" s="5">
        <v>0.81531685600000003</v>
      </c>
      <c r="T20" s="5">
        <v>161.78266909999999</v>
      </c>
      <c r="U20" s="5">
        <v>-68.681320189999994</v>
      </c>
      <c r="V20" s="5">
        <f>T20/U20</f>
        <v>-2.3555556103529232</v>
      </c>
      <c r="W20" s="5">
        <f>(J20*K20)/1000</f>
        <v>5.75</v>
      </c>
      <c r="X20" s="5">
        <v>3</v>
      </c>
      <c r="Y20" s="5">
        <v>-8.1</v>
      </c>
      <c r="Z20" s="5">
        <v>0.52</v>
      </c>
      <c r="AA20" s="5">
        <v>82</v>
      </c>
      <c r="AB20" s="5">
        <v>2</v>
      </c>
      <c r="AC20" s="5">
        <v>136</v>
      </c>
      <c r="AD20" s="5">
        <f>36.1/54</f>
        <v>0.66851851851851851</v>
      </c>
      <c r="AE20" s="5">
        <f>7.8/5.9</f>
        <v>1.3220338983050846</v>
      </c>
      <c r="AH20" s="5">
        <f>1/0.0056</f>
        <v>178.57142857142858</v>
      </c>
      <c r="AI20" s="5">
        <f>1/0.0077</f>
        <v>129.87012987012986</v>
      </c>
      <c r="AJ20" s="5">
        <f>AH20/AI20</f>
        <v>1.3750000000000002</v>
      </c>
      <c r="AL20" s="5" t="s">
        <v>7</v>
      </c>
      <c r="AM20" s="5">
        <v>4</v>
      </c>
      <c r="AN20" s="5">
        <v>2</v>
      </c>
      <c r="AO20" s="5" t="s">
        <v>101</v>
      </c>
    </row>
    <row r="21" spans="1:41" s="5" customFormat="1" x14ac:dyDescent="0.3">
      <c r="A21" s="5" t="s">
        <v>11</v>
      </c>
      <c r="B21" s="5" t="s">
        <v>128</v>
      </c>
      <c r="C21" s="5" t="s">
        <v>83</v>
      </c>
      <c r="D21" s="5" t="s">
        <v>16</v>
      </c>
      <c r="E21" s="5" t="s">
        <v>29</v>
      </c>
      <c r="F21" s="5" t="s">
        <v>82</v>
      </c>
      <c r="G21" s="5">
        <v>8</v>
      </c>
      <c r="H21" s="5">
        <v>69</v>
      </c>
      <c r="I21" s="5">
        <v>-65</v>
      </c>
      <c r="J21" s="5">
        <v>400</v>
      </c>
      <c r="K21" s="5">
        <v>20</v>
      </c>
      <c r="L21" s="5">
        <v>120</v>
      </c>
      <c r="M21" s="9">
        <v>108</v>
      </c>
      <c r="N21" s="5">
        <v>57.6</v>
      </c>
      <c r="O21" s="5">
        <v>0.91</v>
      </c>
      <c r="P21" s="5">
        <v>28</v>
      </c>
      <c r="Q21" s="5">
        <v>-34.6</v>
      </c>
      <c r="R21" s="5">
        <v>0.42776051199999998</v>
      </c>
      <c r="S21" s="5">
        <v>0.74859726400000004</v>
      </c>
      <c r="T21" s="5">
        <v>143.1623993</v>
      </c>
      <c r="U21" s="5">
        <v>-73.565322879999997</v>
      </c>
      <c r="V21" s="5">
        <f>T21/U21</f>
        <v>-1.9460581928462</v>
      </c>
      <c r="W21" s="5">
        <f>(J21*K21)/1000</f>
        <v>8</v>
      </c>
      <c r="X21" s="5">
        <v>3.9</v>
      </c>
      <c r="Y21" s="5">
        <v>-17.600000000000001</v>
      </c>
      <c r="Z21" s="5">
        <v>1.5</v>
      </c>
      <c r="AA21" s="5">
        <v>28</v>
      </c>
      <c r="AB21" s="5">
        <v>11</v>
      </c>
      <c r="AC21" s="5">
        <v>84</v>
      </c>
      <c r="AD21" s="5">
        <f>48.5/58.5</f>
        <v>0.82905982905982911</v>
      </c>
      <c r="AE21" s="5">
        <f>11.9/11.6</f>
        <v>1.0258620689655173</v>
      </c>
      <c r="AL21" s="5" t="s">
        <v>7</v>
      </c>
      <c r="AM21" s="5">
        <v>4</v>
      </c>
      <c r="AN21" s="5">
        <v>11</v>
      </c>
      <c r="AO21" s="5" t="s">
        <v>73</v>
      </c>
    </row>
    <row r="22" spans="1:41" s="5" customFormat="1" x14ac:dyDescent="0.3">
      <c r="A22" s="5" t="s">
        <v>11</v>
      </c>
      <c r="B22" s="5" t="s">
        <v>129</v>
      </c>
      <c r="C22" s="5" t="s">
        <v>83</v>
      </c>
      <c r="D22" s="5" t="s">
        <v>16</v>
      </c>
      <c r="E22" s="5" t="s">
        <v>29</v>
      </c>
      <c r="F22" s="5" t="s">
        <v>82</v>
      </c>
      <c r="G22" s="5">
        <v>8</v>
      </c>
      <c r="H22" s="5">
        <v>69</v>
      </c>
      <c r="I22" s="5">
        <v>-66</v>
      </c>
      <c r="J22" s="5">
        <v>250</v>
      </c>
      <c r="K22" s="5">
        <v>31</v>
      </c>
      <c r="L22" s="5">
        <v>200</v>
      </c>
      <c r="M22" s="9">
        <v>38.5</v>
      </c>
      <c r="N22" s="5">
        <v>56.2</v>
      </c>
      <c r="O22" s="5">
        <v>0.84</v>
      </c>
      <c r="P22" s="5">
        <v>16.600000000000001</v>
      </c>
      <c r="Q22" s="5">
        <v>-29.2</v>
      </c>
      <c r="R22" s="5">
        <v>0.36528188</v>
      </c>
      <c r="S22" s="5">
        <v>0.70084285700000004</v>
      </c>
      <c r="T22" s="5">
        <v>172.77166750000001</v>
      </c>
      <c r="U22" s="5">
        <v>-73.260070799999994</v>
      </c>
      <c r="V22" s="5">
        <f>T22/U22</f>
        <v>-2.3583333405678339</v>
      </c>
      <c r="W22" s="5">
        <f>(J22*K22)/1000</f>
        <v>7.75</v>
      </c>
      <c r="X22" s="5">
        <v>4.2</v>
      </c>
      <c r="Y22" s="5">
        <v>-17.899999999999999</v>
      </c>
      <c r="Z22" s="5">
        <v>1.71</v>
      </c>
      <c r="AA22" s="5">
        <v>28</v>
      </c>
      <c r="AB22" s="5">
        <v>13</v>
      </c>
      <c r="AC22" s="5">
        <v>100</v>
      </c>
      <c r="AD22" s="5">
        <f>42.4/60.2</f>
        <v>0.70431893687707636</v>
      </c>
      <c r="AE22" s="5">
        <f>10.7/7.8</f>
        <v>1.3717948717948718</v>
      </c>
      <c r="AF22" s="5" t="s">
        <v>71</v>
      </c>
      <c r="AH22" s="5">
        <f>1/0.0065</f>
        <v>153.84615384615384</v>
      </c>
      <c r="AI22" s="5">
        <f>1/0.010075</f>
        <v>99.25558312655086</v>
      </c>
      <c r="AJ22" s="5">
        <f>AH22/AI22</f>
        <v>1.55</v>
      </c>
      <c r="AK22" s="5" t="s">
        <v>84</v>
      </c>
      <c r="AL22" s="5" t="s">
        <v>7</v>
      </c>
      <c r="AM22" s="5">
        <v>4</v>
      </c>
      <c r="AN22" s="5">
        <v>13</v>
      </c>
      <c r="AO22" s="5" t="s">
        <v>85</v>
      </c>
    </row>
    <row r="23" spans="1:41" s="7" customFormat="1" x14ac:dyDescent="0.3">
      <c r="A23" s="7" t="s">
        <v>89</v>
      </c>
      <c r="B23" s="7" t="s">
        <v>30</v>
      </c>
      <c r="C23" s="7" t="s">
        <v>67</v>
      </c>
      <c r="D23" s="7" t="s">
        <v>12</v>
      </c>
      <c r="E23" s="7" t="s">
        <v>29</v>
      </c>
      <c r="F23" s="7" t="s">
        <v>20</v>
      </c>
      <c r="G23" s="7">
        <v>12</v>
      </c>
      <c r="H23" s="7">
        <v>78</v>
      </c>
      <c r="I23" s="7">
        <v>-77</v>
      </c>
      <c r="J23" s="7">
        <v>160</v>
      </c>
      <c r="K23" s="7">
        <v>37</v>
      </c>
      <c r="L23" s="7">
        <v>120</v>
      </c>
      <c r="M23" s="10">
        <v>22.4</v>
      </c>
      <c r="N23" s="7">
        <v>55.7</v>
      </c>
      <c r="O23" s="7">
        <v>0.82</v>
      </c>
      <c r="P23" s="7">
        <v>30.4</v>
      </c>
      <c r="Q23" s="7">
        <v>-46.7</v>
      </c>
      <c r="R23" s="7">
        <v>0.34982788599999998</v>
      </c>
      <c r="S23" s="7">
        <v>0.65549284200000002</v>
      </c>
      <c r="T23" s="7">
        <v>166.97192380000001</v>
      </c>
      <c r="U23" s="7">
        <v>-76.266014100000007</v>
      </c>
      <c r="V23" s="7">
        <f t="shared" si="0"/>
        <v>-2.189335915484798</v>
      </c>
      <c r="W23" s="7">
        <f>(J23*K23)/1000</f>
        <v>5.92</v>
      </c>
      <c r="X23" s="7">
        <v>3.1</v>
      </c>
      <c r="Y23" s="7">
        <v>-18</v>
      </c>
      <c r="Z23" s="7">
        <v>0.5</v>
      </c>
      <c r="AA23" s="7">
        <v>46</v>
      </c>
      <c r="AB23" s="7">
        <v>0</v>
      </c>
      <c r="AC23" s="7">
        <f>47/0.5</f>
        <v>94</v>
      </c>
      <c r="AD23" s="7">
        <f>42.5/59.7</f>
        <v>0.71189279731993294</v>
      </c>
      <c r="AE23" s="7">
        <f>11.3/8.7</f>
        <v>1.2988505747126438</v>
      </c>
      <c r="AF23" s="7">
        <v>440</v>
      </c>
      <c r="AG23" s="7">
        <v>30.6</v>
      </c>
      <c r="AH23" s="7">
        <f>1/0.0066</f>
        <v>151.51515151515153</v>
      </c>
      <c r="AI23" s="7">
        <f>1/0.011475</f>
        <v>87.145969498910674</v>
      </c>
      <c r="AJ23" s="7">
        <f>AI23/AH23</f>
        <v>0.57516339869281041</v>
      </c>
      <c r="AK23" s="7" t="s">
        <v>68</v>
      </c>
      <c r="AL23" s="7" t="s">
        <v>7</v>
      </c>
      <c r="AM23" s="7">
        <v>4</v>
      </c>
      <c r="AN23" s="7">
        <v>0</v>
      </c>
      <c r="AO23" s="7" t="s">
        <v>69</v>
      </c>
    </row>
    <row r="24" spans="1:41" s="7" customFormat="1" x14ac:dyDescent="0.3">
      <c r="A24" s="7" t="s">
        <v>89</v>
      </c>
      <c r="B24" s="7" t="s">
        <v>31</v>
      </c>
      <c r="C24" s="7" t="s">
        <v>67</v>
      </c>
      <c r="D24" s="7" t="s">
        <v>12</v>
      </c>
      <c r="E24" s="7" t="s">
        <v>29</v>
      </c>
      <c r="F24" s="7" t="s">
        <v>20</v>
      </c>
      <c r="G24" s="7">
        <v>12</v>
      </c>
      <c r="H24" s="7">
        <v>78</v>
      </c>
      <c r="I24" s="7">
        <v>-66</v>
      </c>
      <c r="J24" s="7">
        <v>268</v>
      </c>
      <c r="K24" s="7">
        <v>26</v>
      </c>
      <c r="L24" s="7">
        <v>120</v>
      </c>
      <c r="M24" s="10">
        <v>31.5</v>
      </c>
      <c r="N24" s="7">
        <v>65.599999999999994</v>
      </c>
      <c r="O24" s="7">
        <v>1.05</v>
      </c>
      <c r="P24" s="7">
        <v>48</v>
      </c>
      <c r="Q24" s="7">
        <v>-32.799999999999997</v>
      </c>
      <c r="R24" s="7">
        <v>0.41746622300000003</v>
      </c>
      <c r="S24" s="7">
        <v>0.880728662</v>
      </c>
      <c r="T24" s="7">
        <v>166.56497189999999</v>
      </c>
      <c r="U24" s="7">
        <v>-68.33435059</v>
      </c>
      <c r="V24" s="7">
        <f t="shared" si="0"/>
        <v>-2.4374998878583765</v>
      </c>
      <c r="W24" s="7">
        <f>(J24*K24)/1000</f>
        <v>6.968</v>
      </c>
      <c r="X24" s="7">
        <v>3.5</v>
      </c>
      <c r="Y24" s="7">
        <v>-17.5</v>
      </c>
      <c r="Z24" s="7">
        <v>0.84999999999999432</v>
      </c>
      <c r="AA24" s="7">
        <v>32</v>
      </c>
      <c r="AB24" s="7">
        <v>6</v>
      </c>
      <c r="AC24" s="7">
        <f>36/0.5</f>
        <v>72</v>
      </c>
      <c r="AD24" s="7">
        <f>48.6/67.3</f>
        <v>0.72213967310549787</v>
      </c>
      <c r="AE24" s="7">
        <f>14.1/10.6</f>
        <v>1.3301886792452831</v>
      </c>
      <c r="AF24" s="7">
        <v>440</v>
      </c>
      <c r="AG24" s="7">
        <v>15</v>
      </c>
      <c r="AH24" s="7">
        <f>1/0.0079</f>
        <v>126.58227848101265</v>
      </c>
      <c r="AI24" s="7">
        <f>1/0.0142</f>
        <v>70.422535211267601</v>
      </c>
      <c r="AJ24" s="7">
        <f>AI24/AH24</f>
        <v>0.55633802816901412</v>
      </c>
      <c r="AK24" s="7" t="s">
        <v>68</v>
      </c>
      <c r="AL24" s="7" t="s">
        <v>7</v>
      </c>
      <c r="AM24" s="7">
        <v>4</v>
      </c>
      <c r="AN24" s="7">
        <v>6</v>
      </c>
      <c r="AO24" s="7" t="s">
        <v>86</v>
      </c>
    </row>
    <row r="25" spans="1:41" s="7" customFormat="1" x14ac:dyDescent="0.3">
      <c r="A25" s="7" t="s">
        <v>89</v>
      </c>
      <c r="B25" s="7" t="s">
        <v>32</v>
      </c>
      <c r="C25" s="7" t="s">
        <v>67</v>
      </c>
      <c r="D25" s="7" t="s">
        <v>12</v>
      </c>
      <c r="E25" s="7" t="s">
        <v>29</v>
      </c>
      <c r="F25" s="7" t="s">
        <v>20</v>
      </c>
      <c r="G25" s="7">
        <v>12</v>
      </c>
      <c r="H25" s="7">
        <v>78</v>
      </c>
      <c r="I25" s="7">
        <v>-66</v>
      </c>
      <c r="J25" s="7">
        <v>260</v>
      </c>
      <c r="K25" s="7">
        <v>33</v>
      </c>
      <c r="L25" s="7">
        <v>120</v>
      </c>
      <c r="M25" s="10">
        <v>23.3</v>
      </c>
      <c r="N25" s="7">
        <v>56</v>
      </c>
      <c r="O25" s="7">
        <v>0.92</v>
      </c>
      <c r="P25" s="7">
        <v>48.3</v>
      </c>
      <c r="Q25" s="7">
        <v>-39.299999999999997</v>
      </c>
      <c r="R25" s="7">
        <v>0.36844959900000002</v>
      </c>
      <c r="S25" s="7">
        <v>0.87683141200000003</v>
      </c>
      <c r="T25" s="7">
        <v>156.1927948</v>
      </c>
      <c r="U25" s="7">
        <v>-64.713066100000006</v>
      </c>
      <c r="V25" s="7">
        <f t="shared" si="0"/>
        <v>-2.4136206830107216</v>
      </c>
      <c r="W25" s="7">
        <f>(J25*K25)/1000</f>
        <v>8.58</v>
      </c>
      <c r="X25" s="7">
        <v>3.3</v>
      </c>
      <c r="Y25" s="7">
        <v>-8.4</v>
      </c>
      <c r="Z25" s="7">
        <v>2.0999999999999943</v>
      </c>
      <c r="AA25" s="7">
        <v>34</v>
      </c>
      <c r="AB25" s="7">
        <v>9</v>
      </c>
      <c r="AC25" s="7">
        <f>48/0.5</f>
        <v>96</v>
      </c>
      <c r="AD25" s="7">
        <f>46.4/55.8</f>
        <v>0.8315412186379928</v>
      </c>
      <c r="AE25" s="7">
        <f>11.7/7.4</f>
        <v>1.5810810810810809</v>
      </c>
      <c r="AF25" s="7">
        <v>600</v>
      </c>
      <c r="AG25" s="7">
        <v>7.8</v>
      </c>
      <c r="AH25" s="7">
        <f>1/0.005</f>
        <v>200</v>
      </c>
      <c r="AI25" s="7">
        <f>1/0.009825</f>
        <v>101.78117048346056</v>
      </c>
      <c r="AJ25" s="7">
        <f>AI25/AH25</f>
        <v>0.5089058524173028</v>
      </c>
      <c r="AK25" s="7" t="s">
        <v>68</v>
      </c>
      <c r="AL25" s="7" t="s">
        <v>7</v>
      </c>
      <c r="AM25" s="7">
        <v>4</v>
      </c>
      <c r="AN25" s="7">
        <v>9</v>
      </c>
      <c r="AO25" s="7" t="s">
        <v>87</v>
      </c>
    </row>
    <row r="26" spans="1:41" s="7" customFormat="1" x14ac:dyDescent="0.3">
      <c r="A26" s="7" t="s">
        <v>130</v>
      </c>
      <c r="B26" s="7" t="s">
        <v>33</v>
      </c>
      <c r="C26" s="7" t="s">
        <v>67</v>
      </c>
      <c r="D26" s="7" t="s">
        <v>12</v>
      </c>
      <c r="E26" s="7" t="s">
        <v>29</v>
      </c>
      <c r="F26" s="7" t="s">
        <v>20</v>
      </c>
      <c r="G26" s="7">
        <v>10</v>
      </c>
      <c r="H26" s="7">
        <v>80</v>
      </c>
      <c r="I26" s="7">
        <v>-60</v>
      </c>
      <c r="J26" s="7">
        <v>175</v>
      </c>
      <c r="K26" s="7">
        <v>31</v>
      </c>
      <c r="L26" s="7">
        <v>160</v>
      </c>
      <c r="M26" s="10">
        <v>240</v>
      </c>
      <c r="N26" s="7">
        <v>60</v>
      </c>
      <c r="O26" s="7">
        <v>0.79</v>
      </c>
      <c r="P26" s="7">
        <v>37.9</v>
      </c>
      <c r="Q26" s="7">
        <v>-46</v>
      </c>
      <c r="R26" s="7">
        <v>0.37515726700000002</v>
      </c>
      <c r="S26" s="7">
        <v>0.66378462299999996</v>
      </c>
      <c r="T26" s="7">
        <v>170.3296661</v>
      </c>
      <c r="U26" s="7">
        <v>-89.743591309999999</v>
      </c>
      <c r="V26" s="7">
        <f t="shared" si="0"/>
        <v>-1.8979591034153367</v>
      </c>
      <c r="W26" s="7">
        <f>(J26*K26)/1000</f>
        <v>5.4249999999999998</v>
      </c>
      <c r="X26" s="7">
        <v>2.9</v>
      </c>
      <c r="Y26" s="7">
        <v>-14.7</v>
      </c>
      <c r="Z26" s="7">
        <v>0.10000000000000853</v>
      </c>
      <c r="AA26" s="7">
        <v>6</v>
      </c>
      <c r="AB26" s="7">
        <v>6</v>
      </c>
      <c r="AC26" s="7">
        <f>39/0.5</f>
        <v>78</v>
      </c>
      <c r="AD26" s="7">
        <f>52.1/57.7</f>
        <v>0.90294627383015591</v>
      </c>
      <c r="AE26" s="7">
        <f>13.1/8.8</f>
        <v>1.4886363636363635</v>
      </c>
      <c r="AF26" s="7" t="s">
        <v>88</v>
      </c>
      <c r="AH26" s="7">
        <f>1/0.0061</f>
        <v>163.93442622950818</v>
      </c>
      <c r="AI26" s="7">
        <f>1/0.008875</f>
        <v>112.67605633802818</v>
      </c>
      <c r="AJ26" s="7">
        <f>AI26/AH26</f>
        <v>0.68732394366197191</v>
      </c>
      <c r="AK26" s="7" t="s">
        <v>68</v>
      </c>
      <c r="AL26" s="7" t="s">
        <v>7</v>
      </c>
      <c r="AM26" s="7">
        <v>4</v>
      </c>
      <c r="AN26" s="7">
        <v>6</v>
      </c>
      <c r="AO26" s="7" t="s">
        <v>131</v>
      </c>
    </row>
    <row r="27" spans="1:41" s="7" customFormat="1" x14ac:dyDescent="0.3">
      <c r="A27" s="7" t="s">
        <v>90</v>
      </c>
      <c r="B27" s="7" t="s">
        <v>132</v>
      </c>
      <c r="C27" s="7" t="s">
        <v>67</v>
      </c>
      <c r="D27" s="7" t="s">
        <v>12</v>
      </c>
      <c r="E27" s="7" t="s">
        <v>29</v>
      </c>
      <c r="F27" s="7" t="s">
        <v>35</v>
      </c>
      <c r="G27" s="7">
        <v>4</v>
      </c>
      <c r="H27" s="7">
        <v>68</v>
      </c>
      <c r="I27" s="7">
        <v>-69</v>
      </c>
      <c r="J27" s="7">
        <v>220</v>
      </c>
      <c r="K27" s="7">
        <v>27</v>
      </c>
      <c r="L27" s="7">
        <v>120</v>
      </c>
      <c r="M27" s="10">
        <v>29.5</v>
      </c>
      <c r="N27" s="7">
        <v>42.7</v>
      </c>
      <c r="O27" s="7">
        <v>0.78</v>
      </c>
      <c r="P27" s="7">
        <v>17.5</v>
      </c>
      <c r="Q27" s="7">
        <v>-29.6</v>
      </c>
      <c r="R27" s="7">
        <v>0.349938213825226</v>
      </c>
      <c r="S27" s="7">
        <v>0.69309705495834395</v>
      </c>
      <c r="T27" s="7">
        <v>154.45664980000001</v>
      </c>
      <c r="U27" s="7">
        <v>-65.018318179999994</v>
      </c>
      <c r="V27" s="7">
        <f t="shared" si="0"/>
        <v>-2.3755866673203454</v>
      </c>
      <c r="W27" s="7">
        <f>(J27*K27)/1000</f>
        <v>5.94</v>
      </c>
      <c r="X27" s="7">
        <v>3.4</v>
      </c>
      <c r="Y27" s="7">
        <v>-16</v>
      </c>
      <c r="Z27" s="7">
        <v>1.0999999999999943</v>
      </c>
      <c r="AA27" s="7">
        <v>2</v>
      </c>
      <c r="AB27" s="7">
        <v>11</v>
      </c>
      <c r="AC27" s="7">
        <f>39/0.5</f>
        <v>78</v>
      </c>
      <c r="AD27" s="7">
        <f>27.7/45.1</f>
        <v>0.61419068736141902</v>
      </c>
      <c r="AE27" s="7">
        <f>13.4/8.6</f>
        <v>1.558139534883721</v>
      </c>
      <c r="AF27" s="7">
        <v>280</v>
      </c>
      <c r="AG27" s="7">
        <v>20.97</v>
      </c>
      <c r="AH27" s="7">
        <f>1/0.0087</f>
        <v>114.94252873563219</v>
      </c>
      <c r="AI27" s="7">
        <f>1/0.0136</f>
        <v>73.529411764705884</v>
      </c>
      <c r="AJ27" s="7">
        <f>AI27/AH27</f>
        <v>0.63970588235294112</v>
      </c>
      <c r="AK27" s="7" t="s">
        <v>80</v>
      </c>
      <c r="AL27" s="7" t="s">
        <v>7</v>
      </c>
      <c r="AM27" s="7">
        <v>4</v>
      </c>
      <c r="AN27" s="7">
        <v>11</v>
      </c>
      <c r="AO27" s="7" t="s">
        <v>133</v>
      </c>
    </row>
    <row r="28" spans="1:41" s="7" customFormat="1" x14ac:dyDescent="0.3">
      <c r="A28" s="7" t="s">
        <v>93</v>
      </c>
      <c r="B28" s="7" t="s">
        <v>134</v>
      </c>
      <c r="C28" s="7" t="s">
        <v>83</v>
      </c>
      <c r="D28" s="7" t="s">
        <v>12</v>
      </c>
      <c r="E28" s="7" t="s">
        <v>29</v>
      </c>
      <c r="F28" s="7" t="s">
        <v>94</v>
      </c>
      <c r="G28" s="7">
        <v>1</v>
      </c>
      <c r="H28" s="7">
        <v>93</v>
      </c>
      <c r="I28" s="7">
        <v>-64</v>
      </c>
      <c r="J28" s="7">
        <v>200</v>
      </c>
      <c r="K28" s="7">
        <v>32</v>
      </c>
      <c r="L28" s="7">
        <v>160</v>
      </c>
      <c r="M28" s="10">
        <v>27.1</v>
      </c>
      <c r="N28" s="7">
        <v>64.2</v>
      </c>
      <c r="O28" s="7">
        <v>0.97</v>
      </c>
      <c r="P28" s="7">
        <v>50.2</v>
      </c>
      <c r="Q28" s="7">
        <v>-39.799999999999997</v>
      </c>
      <c r="R28" s="7">
        <v>0.39986193199999998</v>
      </c>
      <c r="S28" s="7">
        <v>0.84304588999999996</v>
      </c>
      <c r="T28" s="7">
        <v>189.13972469999999</v>
      </c>
      <c r="U28" s="7">
        <v>-71.690055849999993</v>
      </c>
      <c r="V28" s="7">
        <v>-2.6382979125549113</v>
      </c>
      <c r="W28" s="7">
        <f>(J28*K28)/1000</f>
        <v>6.4</v>
      </c>
      <c r="X28" s="7">
        <v>3.7</v>
      </c>
      <c r="Y28" s="7">
        <v>-15.5</v>
      </c>
      <c r="Z28" s="7">
        <v>0.85</v>
      </c>
      <c r="AA28" s="7">
        <v>28</v>
      </c>
      <c r="AB28" s="7">
        <v>8</v>
      </c>
      <c r="AC28" s="7">
        <v>80</v>
      </c>
      <c r="AD28" s="7">
        <v>0.67045454545454541</v>
      </c>
      <c r="AE28" s="7">
        <v>1.2959183673469385</v>
      </c>
      <c r="AF28" s="7" t="s">
        <v>71</v>
      </c>
      <c r="AH28" s="7">
        <v>144.92753623188406</v>
      </c>
      <c r="AI28" s="7">
        <v>92.592592592592581</v>
      </c>
      <c r="AJ28" s="7">
        <v>1.5652173913043481</v>
      </c>
      <c r="AK28" s="7" t="s">
        <v>84</v>
      </c>
      <c r="AL28" s="7" t="s">
        <v>7</v>
      </c>
      <c r="AM28" s="7">
        <v>4</v>
      </c>
      <c r="AN28" s="7">
        <v>8</v>
      </c>
      <c r="AO28" s="7" t="s">
        <v>135</v>
      </c>
    </row>
    <row r="29" spans="1:41" s="7" customFormat="1" x14ac:dyDescent="0.3">
      <c r="A29" s="7" t="s">
        <v>136</v>
      </c>
      <c r="B29" s="7" t="s">
        <v>137</v>
      </c>
      <c r="C29" s="7" t="s">
        <v>83</v>
      </c>
      <c r="D29" s="7" t="s">
        <v>12</v>
      </c>
      <c r="E29" s="7" t="s">
        <v>29</v>
      </c>
      <c r="F29" s="7" t="s">
        <v>138</v>
      </c>
      <c r="G29" s="7">
        <v>0</v>
      </c>
      <c r="H29" s="7">
        <v>68</v>
      </c>
      <c r="I29" s="7">
        <v>-66</v>
      </c>
      <c r="J29" s="7">
        <v>320</v>
      </c>
      <c r="K29" s="7">
        <v>34</v>
      </c>
      <c r="L29" s="7">
        <v>120</v>
      </c>
      <c r="M29" s="10">
        <v>24.8</v>
      </c>
      <c r="N29" s="7">
        <v>76.599999999999994</v>
      </c>
      <c r="O29" s="7">
        <v>1.0900000000000001</v>
      </c>
      <c r="P29" s="7">
        <v>77.8</v>
      </c>
      <c r="Q29" s="7">
        <v>-36.700000000000003</v>
      </c>
      <c r="R29" s="7">
        <v>0.453776181</v>
      </c>
      <c r="S29" s="7">
        <v>1.1107784510000001</v>
      </c>
      <c r="T29" s="7">
        <v>200.24420169999999</v>
      </c>
      <c r="U29" s="7">
        <v>-70.818069460000004</v>
      </c>
      <c r="V29" s="7">
        <v>-2.8275862816777777</v>
      </c>
      <c r="W29" s="7">
        <f>(J29*K29)/1000</f>
        <v>10.88</v>
      </c>
      <c r="X29" s="7">
        <v>4.2</v>
      </c>
      <c r="Y29" s="7">
        <v>-12.9</v>
      </c>
      <c r="Z29" s="7">
        <v>1.22</v>
      </c>
      <c r="AA29" s="7">
        <v>30</v>
      </c>
      <c r="AB29" s="7">
        <v>1</v>
      </c>
      <c r="AC29" s="7">
        <v>62</v>
      </c>
      <c r="AD29" s="7">
        <v>0.6739690721649485</v>
      </c>
      <c r="AE29" s="7">
        <v>1.3643410852713178</v>
      </c>
      <c r="AF29" s="7">
        <v>480</v>
      </c>
      <c r="AG29" s="7">
        <v>19.7</v>
      </c>
      <c r="AH29" s="7">
        <v>120.48192771084337</v>
      </c>
      <c r="AI29" s="7">
        <v>54.644808743169399</v>
      </c>
      <c r="AJ29" s="7">
        <v>2.2048192771084336</v>
      </c>
      <c r="AK29" s="7" t="s">
        <v>95</v>
      </c>
      <c r="AL29" s="7" t="s">
        <v>7</v>
      </c>
      <c r="AM29" s="7">
        <v>4</v>
      </c>
      <c r="AN29" s="7">
        <v>1</v>
      </c>
      <c r="AO29" s="7" t="s">
        <v>103</v>
      </c>
    </row>
    <row r="30" spans="1:41" s="7" customFormat="1" x14ac:dyDescent="0.3">
      <c r="A30" s="7" t="s">
        <v>139</v>
      </c>
      <c r="B30" s="7" t="s">
        <v>140</v>
      </c>
      <c r="C30" s="7" t="s">
        <v>83</v>
      </c>
      <c r="D30" s="7" t="s">
        <v>12</v>
      </c>
      <c r="E30" s="7" t="s">
        <v>29</v>
      </c>
      <c r="F30" s="7" t="s">
        <v>121</v>
      </c>
      <c r="G30" s="7">
        <v>3</v>
      </c>
      <c r="H30" s="7">
        <v>68</v>
      </c>
      <c r="I30" s="7">
        <v>-60</v>
      </c>
      <c r="J30" s="7">
        <v>180</v>
      </c>
      <c r="K30" s="7">
        <v>40</v>
      </c>
      <c r="L30" s="7">
        <v>120</v>
      </c>
      <c r="M30" s="10">
        <v>361.8</v>
      </c>
      <c r="N30" s="7">
        <v>66.7</v>
      </c>
      <c r="O30" s="7">
        <v>0.84</v>
      </c>
      <c r="P30" s="7">
        <v>22.8</v>
      </c>
      <c r="Q30" s="7">
        <v>-37.4</v>
      </c>
      <c r="R30" s="7">
        <v>0.35775309799999999</v>
      </c>
      <c r="S30" s="7">
        <v>0.68553543100000003</v>
      </c>
      <c r="T30" s="7">
        <v>197.80220030000001</v>
      </c>
      <c r="U30" s="7">
        <v>-87.553382869999993</v>
      </c>
      <c r="V30" s="7">
        <v>-2.2592182485249985</v>
      </c>
      <c r="W30" s="7">
        <f>(J30*K30)/1000</f>
        <v>7.2</v>
      </c>
      <c r="X30" s="7">
        <v>3.5</v>
      </c>
      <c r="Y30" s="7">
        <v>-23.3</v>
      </c>
      <c r="Z30" s="7">
        <v>0.37</v>
      </c>
      <c r="AA30" s="7">
        <v>4</v>
      </c>
      <c r="AB30" s="7">
        <v>1</v>
      </c>
      <c r="AC30" s="7">
        <v>68</v>
      </c>
      <c r="AD30" s="7">
        <v>0.88169014084507047</v>
      </c>
      <c r="AE30" s="7">
        <v>1.0205479452054795</v>
      </c>
      <c r="AF30" s="7" t="s">
        <v>71</v>
      </c>
      <c r="AH30" s="7">
        <v>147.05882352941177</v>
      </c>
      <c r="AI30" s="7">
        <v>101.52284263959392</v>
      </c>
      <c r="AJ30" s="7">
        <v>1.4485294117647058</v>
      </c>
      <c r="AK30" s="7" t="s">
        <v>84</v>
      </c>
      <c r="AL30" s="7" t="s">
        <v>7</v>
      </c>
      <c r="AM30" s="7">
        <v>4</v>
      </c>
      <c r="AN30" s="7">
        <v>1</v>
      </c>
      <c r="AO30" s="7" t="s">
        <v>73</v>
      </c>
    </row>
    <row r="31" spans="1:41" s="7" customFormat="1" x14ac:dyDescent="0.3">
      <c r="A31" s="7" t="s">
        <v>141</v>
      </c>
      <c r="B31" s="7" t="s">
        <v>142</v>
      </c>
      <c r="C31" s="7" t="s">
        <v>83</v>
      </c>
      <c r="D31" s="7" t="s">
        <v>12</v>
      </c>
      <c r="E31" s="7" t="s">
        <v>29</v>
      </c>
      <c r="F31" s="7" t="s">
        <v>143</v>
      </c>
      <c r="G31" s="7">
        <v>8</v>
      </c>
      <c r="H31" s="7">
        <v>67</v>
      </c>
      <c r="I31" s="7">
        <v>-65</v>
      </c>
      <c r="J31" s="7">
        <v>190</v>
      </c>
      <c r="K31" s="7">
        <v>28</v>
      </c>
      <c r="L31" s="7">
        <v>160</v>
      </c>
      <c r="M31" s="10">
        <v>200.6</v>
      </c>
      <c r="N31" s="7">
        <v>57.4</v>
      </c>
      <c r="O31" s="7">
        <v>0.79</v>
      </c>
      <c r="P31" s="7">
        <v>38.5</v>
      </c>
      <c r="Q31" s="7">
        <v>-32.200000000000003</v>
      </c>
      <c r="R31" s="7">
        <v>0.37775266200000002</v>
      </c>
      <c r="S31" s="7">
        <v>0.70187395799999996</v>
      </c>
      <c r="T31" s="7">
        <v>178.8766785</v>
      </c>
      <c r="U31" s="7">
        <v>-82.977424619999994</v>
      </c>
      <c r="V31" s="7">
        <v>-2.1557270464728964</v>
      </c>
      <c r="W31" s="7">
        <f>(J31*K31)/1000</f>
        <v>5.32</v>
      </c>
      <c r="X31" s="7">
        <v>3.1</v>
      </c>
      <c r="Y31" s="7">
        <v>-12.8</v>
      </c>
      <c r="Z31" s="7">
        <v>0.37</v>
      </c>
      <c r="AA31" s="7">
        <v>8</v>
      </c>
      <c r="AB31" s="7">
        <v>1</v>
      </c>
      <c r="AC31" s="7">
        <v>126</v>
      </c>
      <c r="AD31" s="7">
        <v>0.73229706390328153</v>
      </c>
      <c r="AE31" s="7">
        <v>1.1052631578947369</v>
      </c>
      <c r="AH31" s="7">
        <v>147.05882352941177</v>
      </c>
      <c r="AI31" s="7">
        <v>120.91898428053204</v>
      </c>
      <c r="AJ31" s="7">
        <v>1.2161764705882354</v>
      </c>
      <c r="AL31" s="7" t="s">
        <v>7</v>
      </c>
      <c r="AM31" s="7">
        <v>4</v>
      </c>
      <c r="AN31" s="7">
        <v>1</v>
      </c>
      <c r="AO31" s="7" t="s">
        <v>70</v>
      </c>
    </row>
    <row r="32" spans="1:41" s="7" customFormat="1" x14ac:dyDescent="0.3">
      <c r="A32" s="7" t="s">
        <v>141</v>
      </c>
      <c r="B32" s="7" t="s">
        <v>144</v>
      </c>
      <c r="C32" s="7" t="s">
        <v>83</v>
      </c>
      <c r="D32" s="7" t="s">
        <v>12</v>
      </c>
      <c r="E32" s="7" t="s">
        <v>29</v>
      </c>
      <c r="F32" s="7" t="s">
        <v>143</v>
      </c>
      <c r="G32" s="7">
        <v>8</v>
      </c>
      <c r="H32" s="7">
        <v>67</v>
      </c>
      <c r="I32" s="7">
        <v>-63</v>
      </c>
      <c r="J32" s="7">
        <v>300</v>
      </c>
      <c r="K32" s="7">
        <v>30</v>
      </c>
      <c r="L32" s="7">
        <v>120</v>
      </c>
      <c r="M32" s="10">
        <v>35.700000000000003</v>
      </c>
      <c r="N32" s="7">
        <v>72.3</v>
      </c>
      <c r="O32" s="7">
        <v>1.29</v>
      </c>
      <c r="P32" s="7">
        <v>79.400000000000006</v>
      </c>
      <c r="Q32" s="7">
        <v>-37.9</v>
      </c>
      <c r="R32" s="7">
        <v>0.52967441100000001</v>
      </c>
      <c r="S32" s="7">
        <v>1.192085624</v>
      </c>
      <c r="T32" s="7">
        <v>157.5091553</v>
      </c>
      <c r="U32" s="7">
        <v>-57.692306520000002</v>
      </c>
      <c r="V32" s="7">
        <v>-2.7301587473434923</v>
      </c>
      <c r="W32" s="7">
        <f>(J32*K32)/1000</f>
        <v>9</v>
      </c>
      <c r="X32" s="7">
        <v>4.8</v>
      </c>
      <c r="Y32" s="7">
        <v>-15.7</v>
      </c>
      <c r="Z32" s="7">
        <v>0.57999999999999996</v>
      </c>
      <c r="AA32" s="7">
        <v>22</v>
      </c>
      <c r="AB32" s="7">
        <v>5</v>
      </c>
      <c r="AC32" s="7">
        <v>64</v>
      </c>
      <c r="AD32" s="7">
        <v>0.77150916784203105</v>
      </c>
      <c r="AE32" s="7">
        <v>1.3057851239669422</v>
      </c>
      <c r="AF32" s="7">
        <v>400</v>
      </c>
      <c r="AG32" s="7">
        <v>11.6</v>
      </c>
      <c r="AH32" s="7">
        <v>103.09278350515464</v>
      </c>
      <c r="AI32" s="7">
        <v>74.074074074074076</v>
      </c>
      <c r="AJ32" s="7">
        <v>1.3917525773195876</v>
      </c>
      <c r="AK32" s="7" t="s">
        <v>95</v>
      </c>
      <c r="AL32" s="7" t="s">
        <v>7</v>
      </c>
      <c r="AM32" s="7">
        <v>4</v>
      </c>
      <c r="AN32" s="7">
        <v>5</v>
      </c>
    </row>
    <row r="33" spans="1:46" s="7" customFormat="1" x14ac:dyDescent="0.3">
      <c r="A33" s="7" t="s">
        <v>96</v>
      </c>
      <c r="B33" s="7" t="s">
        <v>145</v>
      </c>
      <c r="C33" s="7" t="s">
        <v>83</v>
      </c>
      <c r="D33" s="7" t="s">
        <v>12</v>
      </c>
      <c r="E33" s="7" t="s">
        <v>29</v>
      </c>
      <c r="F33" s="7" t="s">
        <v>97</v>
      </c>
      <c r="G33" s="7">
        <v>10</v>
      </c>
      <c r="H33" s="7">
        <v>75</v>
      </c>
      <c r="I33" s="7">
        <v>-73</v>
      </c>
      <c r="J33" s="7">
        <v>290</v>
      </c>
      <c r="K33" s="7">
        <v>23</v>
      </c>
      <c r="L33" s="7">
        <v>120</v>
      </c>
      <c r="M33" s="10">
        <v>25</v>
      </c>
      <c r="N33" s="7">
        <v>72.2</v>
      </c>
      <c r="O33" s="7">
        <v>0.93</v>
      </c>
      <c r="P33" s="7">
        <v>50.3</v>
      </c>
      <c r="Q33" s="7">
        <v>-36.799999999999997</v>
      </c>
      <c r="R33" s="7">
        <v>0.42941063600000001</v>
      </c>
      <c r="S33" s="7">
        <v>0.77880841499999998</v>
      </c>
      <c r="T33" s="7">
        <v>192.61294559999999</v>
      </c>
      <c r="U33" s="7">
        <v>-83.943832400000005</v>
      </c>
      <c r="V33" s="7">
        <v>-2.2945455323290669</v>
      </c>
      <c r="W33" s="7">
        <f>(J33*K33)/1000</f>
        <v>6.67</v>
      </c>
      <c r="X33" s="7">
        <v>3.5</v>
      </c>
      <c r="Y33" s="7">
        <v>-18.3</v>
      </c>
      <c r="Z33" s="7">
        <v>0.98</v>
      </c>
      <c r="AA33" s="7">
        <v>38</v>
      </c>
      <c r="AB33" s="7">
        <v>8</v>
      </c>
      <c r="AC33" s="7">
        <v>90</v>
      </c>
      <c r="AD33" s="7">
        <v>0.82503364737550466</v>
      </c>
      <c r="AE33" s="7">
        <v>1.2637362637362637</v>
      </c>
      <c r="AH33" s="7">
        <v>153.84615384615384</v>
      </c>
      <c r="AI33" s="7">
        <v>103.09278350515464</v>
      </c>
      <c r="AJ33" s="7">
        <v>1.4923076923076921</v>
      </c>
      <c r="AK33" s="7" t="s">
        <v>84</v>
      </c>
      <c r="AL33" s="7" t="s">
        <v>7</v>
      </c>
      <c r="AM33" s="7">
        <v>4</v>
      </c>
      <c r="AN33" s="7">
        <v>8</v>
      </c>
      <c r="AO33" s="7" t="s">
        <v>81</v>
      </c>
    </row>
    <row r="34" spans="1:46" s="7" customFormat="1" x14ac:dyDescent="0.3">
      <c r="A34" s="7" t="s">
        <v>99</v>
      </c>
      <c r="B34" s="7" t="s">
        <v>146</v>
      </c>
      <c r="C34" s="7" t="s">
        <v>83</v>
      </c>
      <c r="D34" s="7" t="s">
        <v>12</v>
      </c>
      <c r="E34" s="7" t="s">
        <v>29</v>
      </c>
      <c r="F34" s="7" t="s">
        <v>98</v>
      </c>
      <c r="G34" s="7">
        <v>1</v>
      </c>
      <c r="H34" s="7">
        <v>70</v>
      </c>
      <c r="I34" s="7">
        <v>-62</v>
      </c>
      <c r="J34" s="7">
        <v>500</v>
      </c>
      <c r="K34" s="7">
        <v>29</v>
      </c>
      <c r="L34" s="7">
        <v>80</v>
      </c>
      <c r="M34" s="10">
        <v>98.1</v>
      </c>
      <c r="N34" s="7">
        <v>53</v>
      </c>
      <c r="O34" s="7">
        <v>0.89</v>
      </c>
      <c r="P34" s="7">
        <v>24.8</v>
      </c>
      <c r="Q34" s="7">
        <v>-31.6</v>
      </c>
      <c r="R34" s="7">
        <v>0.38350114200000002</v>
      </c>
      <c r="S34" s="7">
        <v>0.74019986400000004</v>
      </c>
      <c r="T34" s="7">
        <v>144.3833923</v>
      </c>
      <c r="U34" s="7">
        <v>-70.512817380000001</v>
      </c>
      <c r="V34" s="7">
        <f>T34/U34</f>
        <v>-2.047619109046583</v>
      </c>
      <c r="W34" s="7">
        <f>(J34*K34)/1000</f>
        <v>14.5</v>
      </c>
      <c r="X34" s="7">
        <v>4</v>
      </c>
      <c r="Y34" s="7">
        <v>-17.7</v>
      </c>
      <c r="Z34" s="7">
        <v>1.43</v>
      </c>
      <c r="AA34" s="7">
        <v>10</v>
      </c>
      <c r="AB34" s="7">
        <v>1</v>
      </c>
      <c r="AC34" s="7">
        <v>56</v>
      </c>
      <c r="AD34" s="7">
        <f>48/53.2</f>
        <v>0.90225563909774431</v>
      </c>
      <c r="AE34" s="7">
        <f>19/16.7</f>
        <v>1.1377245508982037</v>
      </c>
      <c r="AH34" s="7">
        <f>1/0.0081</f>
        <v>123.4567901234568</v>
      </c>
      <c r="AI34" s="7">
        <f>1/0.0121</f>
        <v>82.644628099173559</v>
      </c>
      <c r="AJ34" s="7">
        <f>AH34/AI34</f>
        <v>1.4938271604938271</v>
      </c>
      <c r="AL34" s="7" t="s">
        <v>7</v>
      </c>
      <c r="AM34" s="7">
        <v>4</v>
      </c>
      <c r="AN34" s="7">
        <v>1</v>
      </c>
      <c r="AO34" s="7" t="s">
        <v>147</v>
      </c>
    </row>
    <row r="35" spans="1:46" s="7" customFormat="1" x14ac:dyDescent="0.3">
      <c r="A35" s="7" t="s">
        <v>148</v>
      </c>
      <c r="B35" s="7" t="s">
        <v>149</v>
      </c>
      <c r="C35" s="7" t="s">
        <v>83</v>
      </c>
      <c r="D35" s="7" t="s">
        <v>12</v>
      </c>
      <c r="E35" s="7" t="s">
        <v>29</v>
      </c>
      <c r="F35" s="7" t="s">
        <v>98</v>
      </c>
      <c r="G35" s="7">
        <v>3</v>
      </c>
      <c r="H35" s="7">
        <v>71</v>
      </c>
      <c r="I35" s="7">
        <v>-63</v>
      </c>
      <c r="J35" s="7">
        <v>270</v>
      </c>
      <c r="K35" s="7">
        <v>21</v>
      </c>
      <c r="L35" s="7">
        <v>160</v>
      </c>
      <c r="M35" s="10">
        <v>43.3</v>
      </c>
      <c r="N35" s="7">
        <v>67.2</v>
      </c>
      <c r="O35" s="7">
        <v>0.91</v>
      </c>
      <c r="P35" s="7">
        <v>38.6</v>
      </c>
      <c r="Q35" s="7">
        <v>-34</v>
      </c>
      <c r="R35" s="7">
        <v>0.39038503200000002</v>
      </c>
      <c r="S35" s="7">
        <v>0.74374127400000001</v>
      </c>
      <c r="T35" s="7">
        <v>190.4761963</v>
      </c>
      <c r="U35" s="7">
        <v>-82.062232969999997</v>
      </c>
      <c r="V35" s="7">
        <f>T35/U35</f>
        <v>-2.3211188558521623</v>
      </c>
      <c r="W35" s="7">
        <f>(J35*K35)/1000</f>
        <v>5.67</v>
      </c>
      <c r="X35" s="7">
        <v>3.6</v>
      </c>
      <c r="Y35" s="7">
        <v>-17.5</v>
      </c>
      <c r="Z35" s="7">
        <v>0.64</v>
      </c>
      <c r="AA35" s="7">
        <v>2</v>
      </c>
      <c r="AB35" s="7">
        <v>4</v>
      </c>
      <c r="AC35" s="7">
        <v>84</v>
      </c>
      <c r="AD35" s="7">
        <f>56.9/68.4</f>
        <v>0.83187134502923965</v>
      </c>
      <c r="AE35" s="7">
        <f>12.2/8.8</f>
        <v>1.3863636363636362</v>
      </c>
      <c r="AF35" s="7" t="s">
        <v>71</v>
      </c>
      <c r="AH35" s="7">
        <f>1/0.0054</f>
        <v>185.18518518518516</v>
      </c>
      <c r="AI35" s="7">
        <f>1/0.00885</f>
        <v>112.99435028248587</v>
      </c>
      <c r="AJ35" s="7">
        <f>AH35/AI35</f>
        <v>1.6388888888888888</v>
      </c>
      <c r="AK35" s="7" t="s">
        <v>84</v>
      </c>
      <c r="AL35" s="7" t="s">
        <v>7</v>
      </c>
      <c r="AM35" s="7">
        <v>4</v>
      </c>
      <c r="AN35" s="7">
        <v>4</v>
      </c>
      <c r="AO35" s="7" t="s">
        <v>85</v>
      </c>
    </row>
    <row r="36" spans="1:46" s="7" customFormat="1" x14ac:dyDescent="0.3">
      <c r="A36" s="7" t="s">
        <v>148</v>
      </c>
      <c r="B36" s="7" t="s">
        <v>150</v>
      </c>
      <c r="C36" s="7" t="s">
        <v>83</v>
      </c>
      <c r="D36" s="7" t="s">
        <v>12</v>
      </c>
      <c r="E36" s="7" t="s">
        <v>29</v>
      </c>
      <c r="F36" s="7" t="s">
        <v>98</v>
      </c>
      <c r="G36" s="7">
        <v>3</v>
      </c>
      <c r="H36" s="7">
        <v>71</v>
      </c>
      <c r="I36" s="7">
        <v>-64</v>
      </c>
      <c r="J36" s="7">
        <v>400</v>
      </c>
      <c r="K36" s="7">
        <v>19</v>
      </c>
      <c r="L36" s="7">
        <v>120</v>
      </c>
      <c r="M36" s="10">
        <v>27.8</v>
      </c>
      <c r="N36" s="7">
        <v>52.9</v>
      </c>
      <c r="O36" s="7">
        <v>1.3</v>
      </c>
      <c r="P36" s="7">
        <v>43.5</v>
      </c>
      <c r="Q36" s="7">
        <v>-38.1</v>
      </c>
      <c r="R36" s="7">
        <v>0.52387463999999995</v>
      </c>
      <c r="S36" s="7">
        <v>1.1192737820000001</v>
      </c>
      <c r="T36" s="7">
        <v>111.65345000000001</v>
      </c>
      <c r="U36" s="7">
        <v>-47.284931180000001</v>
      </c>
      <c r="V36" s="7">
        <f>T36/U36</f>
        <v>-2.3612903141376638</v>
      </c>
      <c r="W36" s="7">
        <f>(J36*K36)/1000</f>
        <v>7.6</v>
      </c>
      <c r="X36" s="7">
        <v>5.2</v>
      </c>
      <c r="Y36" s="7">
        <v>-15.5</v>
      </c>
      <c r="Z36" s="7">
        <v>0.18</v>
      </c>
      <c r="AA36" s="7">
        <v>28</v>
      </c>
      <c r="AB36" s="7">
        <v>6</v>
      </c>
      <c r="AC36" s="7">
        <v>66</v>
      </c>
      <c r="AD36" s="7">
        <f>41.6/48.5</f>
        <v>0.85773195876288666</v>
      </c>
      <c r="AE36" s="7">
        <f>16.2/11.8</f>
        <v>1.3728813559322033</v>
      </c>
      <c r="AF36" s="7">
        <v>600</v>
      </c>
      <c r="AG36" s="7">
        <v>2.1</v>
      </c>
      <c r="AH36" s="7">
        <f>1/0.0088</f>
        <v>113.63636363636363</v>
      </c>
      <c r="AI36" s="7">
        <f>1/0.0152</f>
        <v>65.78947368421052</v>
      </c>
      <c r="AJ36" s="7">
        <f>AH36/AI36</f>
        <v>1.7272727272727273</v>
      </c>
      <c r="AK36" s="7" t="s">
        <v>95</v>
      </c>
      <c r="AL36" s="7" t="s">
        <v>7</v>
      </c>
      <c r="AM36" s="7">
        <v>4</v>
      </c>
      <c r="AN36" s="7">
        <v>6</v>
      </c>
      <c r="AO36" s="7" t="s">
        <v>87</v>
      </c>
    </row>
    <row r="37" spans="1:46" s="7" customFormat="1" x14ac:dyDescent="0.3">
      <c r="A37" s="7" t="s">
        <v>100</v>
      </c>
      <c r="B37" s="7" t="s">
        <v>151</v>
      </c>
      <c r="C37" s="7" t="s">
        <v>83</v>
      </c>
      <c r="D37" s="7" t="s">
        <v>12</v>
      </c>
      <c r="E37" s="7" t="s">
        <v>29</v>
      </c>
      <c r="F37" s="7" t="s">
        <v>82</v>
      </c>
      <c r="G37" s="7">
        <v>11</v>
      </c>
      <c r="H37" s="7">
        <v>70</v>
      </c>
      <c r="I37" s="7">
        <v>-75</v>
      </c>
      <c r="J37" s="7">
        <v>300</v>
      </c>
      <c r="K37" s="7">
        <v>26</v>
      </c>
      <c r="L37" s="7">
        <v>160</v>
      </c>
      <c r="M37" s="10">
        <v>21</v>
      </c>
      <c r="N37" s="7">
        <v>51.2</v>
      </c>
      <c r="O37" s="7">
        <v>0.87</v>
      </c>
      <c r="P37" s="7">
        <v>22.9</v>
      </c>
      <c r="Q37" s="7">
        <v>-40.9</v>
      </c>
      <c r="R37" s="7">
        <v>0.35940802100000002</v>
      </c>
      <c r="S37" s="7">
        <v>0.74163609699999999</v>
      </c>
      <c r="T37" s="7">
        <v>156.8986511</v>
      </c>
      <c r="U37" s="7">
        <v>-66.80902863</v>
      </c>
      <c r="V37" s="7">
        <f>T37/U37</f>
        <v>-2.348464785634468</v>
      </c>
      <c r="W37" s="7">
        <f>(J37*K37)/1000</f>
        <v>7.8</v>
      </c>
      <c r="X37" s="7">
        <v>3.4</v>
      </c>
      <c r="Y37" s="7">
        <v>-15.2</v>
      </c>
      <c r="Z37" s="7">
        <v>0.31</v>
      </c>
      <c r="AA37" s="7">
        <v>42</v>
      </c>
      <c r="AB37" s="7">
        <v>3</v>
      </c>
      <c r="AC37" s="7">
        <v>92</v>
      </c>
      <c r="AD37" s="7">
        <f>35.3/52.1</f>
        <v>0.6775431861804222</v>
      </c>
      <c r="AE37" s="7">
        <f>10.9/7.7</f>
        <v>1.4155844155844155</v>
      </c>
      <c r="AF37" s="7">
        <v>520</v>
      </c>
      <c r="AG37" s="7">
        <v>-19.100000000000001</v>
      </c>
      <c r="AH37" s="7">
        <f>1/0.0071</f>
        <v>140.8450704225352</v>
      </c>
      <c r="AI37" s="7">
        <f>1/0.0114</f>
        <v>87.719298245614027</v>
      </c>
      <c r="AJ37" s="7">
        <f>AH37/AI37</f>
        <v>1.6056338028169015</v>
      </c>
      <c r="AK37" s="7" t="s">
        <v>95</v>
      </c>
      <c r="AL37" s="7" t="s">
        <v>7</v>
      </c>
      <c r="AM37" s="7">
        <v>4</v>
      </c>
      <c r="AN37" s="7">
        <v>3</v>
      </c>
      <c r="AO37" s="7" t="s">
        <v>76</v>
      </c>
    </row>
    <row r="38" spans="1:46" s="7" customFormat="1" ht="13.8" customHeight="1" x14ac:dyDescent="0.3">
      <c r="A38" s="7" t="s">
        <v>100</v>
      </c>
      <c r="B38" s="7" t="s">
        <v>152</v>
      </c>
      <c r="C38" s="7" t="s">
        <v>83</v>
      </c>
      <c r="D38" s="7" t="s">
        <v>12</v>
      </c>
      <c r="E38" s="7" t="s">
        <v>29</v>
      </c>
      <c r="F38" s="7" t="s">
        <v>82</v>
      </c>
      <c r="G38" s="7">
        <v>11</v>
      </c>
      <c r="H38" s="7">
        <v>70</v>
      </c>
      <c r="I38" s="7">
        <v>-65</v>
      </c>
      <c r="J38" s="7">
        <v>200</v>
      </c>
      <c r="K38" s="7">
        <v>33</v>
      </c>
      <c r="L38" s="7">
        <v>160</v>
      </c>
      <c r="M38" s="10">
        <v>210</v>
      </c>
      <c r="N38" s="7">
        <v>55.6</v>
      </c>
      <c r="O38" s="7">
        <v>0.88</v>
      </c>
      <c r="P38" s="7">
        <v>32.799999999999997</v>
      </c>
      <c r="Q38" s="7">
        <v>-37.1</v>
      </c>
      <c r="R38" s="7">
        <v>0.38380387399999999</v>
      </c>
      <c r="S38" s="7">
        <v>0.72114497399999999</v>
      </c>
      <c r="T38" s="7">
        <v>156.28816219999999</v>
      </c>
      <c r="U38" s="7">
        <v>-74.786323550000006</v>
      </c>
      <c r="V38" s="7">
        <f>T38/U38</f>
        <v>-2.0897960319644562</v>
      </c>
      <c r="W38" s="7">
        <f>(J38*K38)/1000</f>
        <v>6.6</v>
      </c>
      <c r="X38" s="7">
        <v>3.6</v>
      </c>
      <c r="Y38" s="7">
        <v>-17.2</v>
      </c>
      <c r="Z38" s="7">
        <v>0.92</v>
      </c>
      <c r="AA38" s="7">
        <v>8</v>
      </c>
      <c r="AB38" s="7">
        <v>8</v>
      </c>
      <c r="AC38" s="7">
        <v>58</v>
      </c>
      <c r="AD38" s="7">
        <f>45.6/57.3</f>
        <v>0.79581151832460739</v>
      </c>
      <c r="AE38" s="7">
        <f>17.9/13.9</f>
        <v>1.2877697841726616</v>
      </c>
      <c r="AF38" s="7" t="s">
        <v>71</v>
      </c>
      <c r="AH38" s="7">
        <f>1/0.0074</f>
        <v>135.13513513513513</v>
      </c>
      <c r="AI38" s="7">
        <f>1/0.01453</f>
        <v>68.82312456985548</v>
      </c>
      <c r="AJ38" s="7">
        <f>AH38/AI38</f>
        <v>1.9635135135135131</v>
      </c>
      <c r="AK38" s="7" t="s">
        <v>84</v>
      </c>
      <c r="AL38" s="7" t="s">
        <v>7</v>
      </c>
      <c r="AM38" s="7">
        <v>4</v>
      </c>
      <c r="AN38" s="7">
        <v>8</v>
      </c>
      <c r="AO38" s="7" t="s">
        <v>153</v>
      </c>
    </row>
    <row r="40" spans="1:46" x14ac:dyDescent="0.3">
      <c r="G40" s="2" t="s">
        <v>36</v>
      </c>
      <c r="I40" s="2">
        <f>AVERAGE(I2:I22)</f>
        <v>-69.476190476190482</v>
      </c>
      <c r="J40" s="2">
        <f t="shared" ref="J40:AJ40" si="2">AVERAGE(J2:J22)</f>
        <v>297.14285714285717</v>
      </c>
      <c r="K40" s="2">
        <f t="shared" si="2"/>
        <v>26.666666666666668</v>
      </c>
      <c r="L40" s="2">
        <f t="shared" si="2"/>
        <v>123.80952380952381</v>
      </c>
      <c r="M40" s="2">
        <f t="shared" si="2"/>
        <v>28.638095238095236</v>
      </c>
      <c r="N40" s="2">
        <f t="shared" si="2"/>
        <v>62.428571428571416</v>
      </c>
      <c r="O40" s="2">
        <f t="shared" si="2"/>
        <v>0.97714285714285731</v>
      </c>
      <c r="P40" s="2">
        <f t="shared" si="2"/>
        <v>49.319047619047623</v>
      </c>
      <c r="Q40" s="2">
        <f t="shared" si="2"/>
        <v>-42.119047619047628</v>
      </c>
      <c r="R40" s="2">
        <f t="shared" si="2"/>
        <v>0.43283389942831718</v>
      </c>
      <c r="S40" s="2">
        <f t="shared" si="2"/>
        <v>0.86017475658845599</v>
      </c>
      <c r="T40" s="2">
        <f t="shared" si="2"/>
        <v>168.89237141428572</v>
      </c>
      <c r="U40" s="2">
        <f t="shared" si="2"/>
        <v>-72.521438051904767</v>
      </c>
      <c r="V40" s="2">
        <f t="shared" si="2"/>
        <v>-2.3548788735368813</v>
      </c>
      <c r="W40" s="2">
        <f t="shared" si="2"/>
        <v>7.956666666666667</v>
      </c>
      <c r="X40" s="2">
        <f t="shared" si="2"/>
        <v>3.9238095238095241</v>
      </c>
      <c r="Y40" s="2">
        <f t="shared" si="2"/>
        <v>-15.190476190476193</v>
      </c>
      <c r="Z40" s="2">
        <f t="shared" si="2"/>
        <v>0.77333333333333365</v>
      </c>
      <c r="AA40" s="2">
        <f t="shared" si="2"/>
        <v>26.476190476190474</v>
      </c>
      <c r="AB40" s="2">
        <f t="shared" si="2"/>
        <v>7.1904761904761907</v>
      </c>
      <c r="AC40" s="2">
        <f t="shared" si="2"/>
        <v>75.523809523809518</v>
      </c>
      <c r="AD40" s="2">
        <f t="shared" si="2"/>
        <v>0.75972369937301887</v>
      </c>
      <c r="AE40" s="2">
        <f t="shared" si="2"/>
        <v>1.382628144309217</v>
      </c>
      <c r="AF40" s="2">
        <f t="shared" si="2"/>
        <v>446.15384615384613</v>
      </c>
      <c r="AG40" s="2">
        <f t="shared" si="2"/>
        <v>20.5</v>
      </c>
      <c r="AH40" s="2">
        <f t="shared" si="2"/>
        <v>144.58265888526589</v>
      </c>
      <c r="AI40" s="2">
        <f t="shared" si="2"/>
        <v>87.277174343735169</v>
      </c>
      <c r="AJ40" s="2">
        <f t="shared" si="2"/>
        <v>0.9201836530847769</v>
      </c>
    </row>
    <row r="41" spans="1:46" x14ac:dyDescent="0.3">
      <c r="G41" s="2" t="s">
        <v>13</v>
      </c>
      <c r="I41" s="2">
        <f>STDEV(I2:I22)</f>
        <v>4.0201871550842956</v>
      </c>
      <c r="J41" s="2">
        <f t="shared" ref="J41:AJ41" si="3">STDEV(J2:J22)</f>
        <v>81.187613411336145</v>
      </c>
      <c r="K41" s="2">
        <f t="shared" si="3"/>
        <v>6.0027771350711747</v>
      </c>
      <c r="L41" s="2">
        <f t="shared" si="3"/>
        <v>35.563491177918756</v>
      </c>
      <c r="M41" s="2">
        <f t="shared" si="3"/>
        <v>21.224925822967588</v>
      </c>
      <c r="N41" s="2">
        <f t="shared" si="3"/>
        <v>8.5037722721827507</v>
      </c>
      <c r="O41" s="2">
        <f t="shared" si="3"/>
        <v>0.20690922785470037</v>
      </c>
      <c r="P41" s="2">
        <f t="shared" si="3"/>
        <v>18.447238791960672</v>
      </c>
      <c r="Q41" s="2">
        <f t="shared" si="3"/>
        <v>6.0266590286508395</v>
      </c>
      <c r="R41" s="2">
        <f t="shared" si="3"/>
        <v>7.7319399991269341E-2</v>
      </c>
      <c r="S41" s="2">
        <f t="shared" si="3"/>
        <v>0.20779702320523316</v>
      </c>
      <c r="T41" s="2">
        <f t="shared" si="3"/>
        <v>31.466871770262845</v>
      </c>
      <c r="U41" s="2">
        <f t="shared" si="3"/>
        <v>14.948313115901973</v>
      </c>
      <c r="V41" s="2">
        <f t="shared" si="3"/>
        <v>0.27355130983358578</v>
      </c>
      <c r="W41" s="2">
        <f t="shared" si="3"/>
        <v>3.0771940681948098</v>
      </c>
      <c r="X41" s="2">
        <f t="shared" si="3"/>
        <v>0.7725961182304476</v>
      </c>
      <c r="Y41" s="2">
        <f t="shared" si="3"/>
        <v>3.1110938208136196</v>
      </c>
      <c r="Z41" s="2">
        <f t="shared" si="3"/>
        <v>0.34307919396741826</v>
      </c>
      <c r="AA41" s="2">
        <f t="shared" si="3"/>
        <v>19.798027799806341</v>
      </c>
      <c r="AB41" s="2">
        <f t="shared" si="3"/>
        <v>6.5086023662461328</v>
      </c>
      <c r="AC41" s="2">
        <f t="shared" si="3"/>
        <v>26.31277075417761</v>
      </c>
      <c r="AD41" s="2">
        <f t="shared" si="3"/>
        <v>6.9319828698949412E-2</v>
      </c>
      <c r="AE41" s="2">
        <f t="shared" si="3"/>
        <v>0.14925753119632698</v>
      </c>
      <c r="AF41" s="2">
        <f t="shared" si="3"/>
        <v>123.1217866950215</v>
      </c>
      <c r="AG41" s="2">
        <f t="shared" si="3"/>
        <v>12.764991186835971</v>
      </c>
      <c r="AH41" s="2">
        <f t="shared" si="3"/>
        <v>26.942237056606164</v>
      </c>
      <c r="AI41" s="2">
        <f t="shared" si="3"/>
        <v>20.172707585870693</v>
      </c>
      <c r="AJ41" s="2">
        <f t="shared" si="3"/>
        <v>0.50747789819573896</v>
      </c>
    </row>
    <row r="42" spans="1:46" x14ac:dyDescent="0.3">
      <c r="G42" s="2" t="s">
        <v>14</v>
      </c>
      <c r="I42" s="2">
        <f>I41/SQRT(21)</f>
        <v>0.87727675933633131</v>
      </c>
      <c r="J42" s="2">
        <f t="shared" ref="J42:AG42" si="4">J41/SQRT(21)</f>
        <v>17.716589711917134</v>
      </c>
      <c r="K42" s="2">
        <f t="shared" si="4"/>
        <v>1.3099133619720864</v>
      </c>
      <c r="L42" s="2">
        <f t="shared" si="4"/>
        <v>7.7605900142717585</v>
      </c>
      <c r="M42" s="2">
        <f t="shared" si="4"/>
        <v>4.6316585335034217</v>
      </c>
      <c r="N42" s="2">
        <f t="shared" si="4"/>
        <v>1.8556752442830511</v>
      </c>
      <c r="O42" s="2">
        <f t="shared" si="4"/>
        <v>4.5151295172810947E-2</v>
      </c>
      <c r="P42" s="2">
        <f t="shared" si="4"/>
        <v>4.0255175298612151</v>
      </c>
      <c r="Q42" s="2">
        <f t="shared" si="4"/>
        <v>1.3151248184038813</v>
      </c>
      <c r="R42" s="2">
        <f t="shared" si="4"/>
        <v>1.6872476340407606E-2</v>
      </c>
      <c r="S42" s="2">
        <f t="shared" si="4"/>
        <v>4.5345028001165535E-2</v>
      </c>
      <c r="T42" s="2">
        <f t="shared" si="4"/>
        <v>6.8666343700332648</v>
      </c>
      <c r="U42" s="2">
        <f t="shared" si="4"/>
        <v>3.261989350739142</v>
      </c>
      <c r="V42" s="2">
        <f t="shared" si="4"/>
        <v>5.9693789703177368E-2</v>
      </c>
      <c r="W42" s="2">
        <f t="shared" si="4"/>
        <v>0.67149879740818186</v>
      </c>
      <c r="X42" s="2">
        <f t="shared" si="4"/>
        <v>0.1685942949247656</v>
      </c>
      <c r="Y42" s="2">
        <f t="shared" si="4"/>
        <v>0.67889632990418058</v>
      </c>
      <c r="Z42" s="2">
        <f t="shared" si="4"/>
        <v>7.4866017891434822E-2</v>
      </c>
      <c r="AA42" s="2">
        <f t="shared" si="4"/>
        <v>4.3202838573072659</v>
      </c>
      <c r="AB42" s="2">
        <f t="shared" si="4"/>
        <v>1.4202934767472188</v>
      </c>
      <c r="AC42" s="2">
        <f t="shared" si="4"/>
        <v>5.7419173202399607</v>
      </c>
      <c r="AD42" s="2">
        <f>AD41/SQRT(20)</f>
        <v>1.5500384915949168E-2</v>
      </c>
      <c r="AE42" s="2">
        <f>AE41/SQRT(20)</f>
        <v>3.3374998590878259E-2</v>
      </c>
      <c r="AF42" s="2">
        <f t="shared" si="4"/>
        <v>26.867376534673468</v>
      </c>
      <c r="AG42" s="2">
        <f t="shared" si="4"/>
        <v>2.7855494456723822</v>
      </c>
      <c r="AH42" s="2">
        <f>AH41/SQRT(16)</f>
        <v>6.7355592641515409</v>
      </c>
      <c r="AI42" s="2">
        <f>AI41/SQRT(16)</f>
        <v>5.0431768964676733</v>
      </c>
      <c r="AJ42" s="2">
        <f>AJ41/SQRT(16)</f>
        <v>0.12686947454893474</v>
      </c>
    </row>
    <row r="43" spans="1:46" x14ac:dyDescent="0.3">
      <c r="AP43" s="1"/>
      <c r="AQ43" s="1"/>
      <c r="AR43" s="1"/>
      <c r="AS43" s="1"/>
    </row>
    <row r="44" spans="1:46" x14ac:dyDescent="0.3">
      <c r="G44" s="2" t="s">
        <v>37</v>
      </c>
      <c r="I44" s="2">
        <f>AVERAGE(I23:I38)</f>
        <v>-66.125</v>
      </c>
      <c r="J44" s="2">
        <f>AVERAGE(J23:J38)</f>
        <v>264.5625</v>
      </c>
      <c r="K44" s="2">
        <f>AVERAGE(K23:K38)</f>
        <v>29.3125</v>
      </c>
      <c r="L44" s="2">
        <f>AVERAGE(L23:L38)</f>
        <v>132.5</v>
      </c>
      <c r="M44" s="2">
        <f>AVERAGE(M23:M38)</f>
        <v>88.868750000000006</v>
      </c>
      <c r="N44" s="2">
        <f>AVERAGE(N23:N38)</f>
        <v>60.581250000000004</v>
      </c>
      <c r="O44" s="2">
        <f>AVERAGE(O23:O38)</f>
        <v>0.94500000000000006</v>
      </c>
      <c r="P44" s="2">
        <f>AVERAGE(P23:P38)</f>
        <v>41.481250000000003</v>
      </c>
      <c r="Q44" s="2">
        <f>AVERAGE(Q23:Q38)</f>
        <v>-37.306249999999999</v>
      </c>
      <c r="R44" s="2">
        <f>AVERAGE(R23:R38)</f>
        <v>0.40312755111407667</v>
      </c>
      <c r="S44" s="2">
        <f>AVERAGE(S23:S38)</f>
        <v>0.82175364712239651</v>
      </c>
      <c r="T44" s="2">
        <f>AVERAGE(T23:T38)</f>
        <v>168.15004777499999</v>
      </c>
      <c r="U44" s="2">
        <f>AVERAGE(U23:U38)</f>
        <v>-72.512859106874998</v>
      </c>
      <c r="V44" s="2">
        <f>AVERAGE(V23:V38)</f>
        <v>-2.3367390701642532</v>
      </c>
      <c r="W44" s="2">
        <f>AVERAGE(W23:W38)</f>
        <v>7.5295624999999999</v>
      </c>
      <c r="X44" s="2">
        <f>AVERAGE(X23:X38)</f>
        <v>3.6750000000000003</v>
      </c>
      <c r="Y44" s="2">
        <f>AVERAGE(Y23:Y38)</f>
        <v>-16.012499999999999</v>
      </c>
      <c r="Z44" s="2">
        <f>AVERAGE(Z23:Z38)</f>
        <v>0.78124999999999944</v>
      </c>
      <c r="AA44" s="2">
        <f>AVERAGE(AA23:AA38)</f>
        <v>21.25</v>
      </c>
      <c r="AB44" s="2">
        <f>AVERAGE(AB23:AB38)</f>
        <v>4.875</v>
      </c>
      <c r="AC44" s="2">
        <f>AVERAGE(AC23:AC38)</f>
        <v>79</v>
      </c>
      <c r="AD44" s="2">
        <f>AVERAGE(AD23:AD38)</f>
        <v>0.77517987095220497</v>
      </c>
      <c r="AE44" s="2">
        <f>AVERAGE(AE23:AE38)</f>
        <v>1.325800744995743</v>
      </c>
      <c r="AF44" s="2">
        <f>AVERAGE(AF23:AF38)</f>
        <v>470</v>
      </c>
      <c r="AG44" s="2">
        <f>AVERAGE(AG23:AG38)</f>
        <v>11.083749999999998</v>
      </c>
      <c r="AH44" s="2">
        <f>AVERAGE(AH23:AH38)</f>
        <v>141.98118611355247</v>
      </c>
      <c r="AI44" s="2">
        <f>AVERAGE(AI23:AI38)</f>
        <v>88.148256500801821</v>
      </c>
      <c r="AJ44" s="2">
        <f>AVERAGE(AJ23:AJ38)</f>
        <v>1.2947110011670562</v>
      </c>
    </row>
    <row r="45" spans="1:46" x14ac:dyDescent="0.3">
      <c r="G45" s="2" t="s">
        <v>13</v>
      </c>
      <c r="I45" s="2">
        <f>STDEV(I23:I38)</f>
        <v>5.0049975024968791</v>
      </c>
      <c r="J45" s="2">
        <f>STDEV(J23:J38)</f>
        <v>90.205667782019106</v>
      </c>
      <c r="K45" s="2">
        <f>STDEV(K23:K38)</f>
        <v>5.6417343669005424</v>
      </c>
      <c r="L45" s="2">
        <f>STDEV(L23:L38)</f>
        <v>24.083189157584592</v>
      </c>
      <c r="M45" s="2">
        <f>STDEV(M23:M38)</f>
        <v>104.99065176639935</v>
      </c>
      <c r="N45" s="2">
        <f>STDEV(N23:N38)</f>
        <v>9.138797787455438</v>
      </c>
      <c r="O45" s="2">
        <f>STDEV(O23:O38)</f>
        <v>0.16219330031375087</v>
      </c>
      <c r="P45" s="2">
        <f>STDEV(P23:P38)</f>
        <v>17.850348969511302</v>
      </c>
      <c r="Q45" s="2">
        <f>STDEV(Q23:Q38)</f>
        <v>4.7458710124345744</v>
      </c>
      <c r="R45" s="2">
        <f>STDEV(R23:R38)</f>
        <v>5.6128582054597947E-2</v>
      </c>
      <c r="S45" s="2">
        <f>STDEV(S23:S38)</f>
        <v>0.17308233336932535</v>
      </c>
      <c r="T45" s="2">
        <f>STDEV(T23:T38)</f>
        <v>23.149060216932945</v>
      </c>
      <c r="U45" s="2">
        <f>STDEV(U23:U38)</f>
        <v>11.267594431214254</v>
      </c>
      <c r="V45" s="2">
        <f>STDEV(V23:V38)</f>
        <v>0.24557233298721795</v>
      </c>
      <c r="W45" s="2">
        <f>STDEV(W23:W38)</f>
        <v>2.3712959317287532</v>
      </c>
      <c r="X45" s="2">
        <f>STDEV(X23:X38)</f>
        <v>0.61264454076840602</v>
      </c>
      <c r="Y45" s="2">
        <f>STDEV(Y23:Y38)</f>
        <v>3.1826351764955194</v>
      </c>
      <c r="Z45" s="2">
        <f>STDEV(Z23:Z38)</f>
        <v>0.51947248884485175</v>
      </c>
      <c r="AA45" s="2">
        <f>STDEV(AA23:AA38)</f>
        <v>15.316657598836633</v>
      </c>
      <c r="AB45" s="2">
        <f>STDEV(AB23:AB38)</f>
        <v>3.4229616805723473</v>
      </c>
      <c r="AC45" s="2">
        <f>STDEV(AC23:AC38)</f>
        <v>18.007405883876409</v>
      </c>
      <c r="AD45" s="2">
        <f>STDEV(AD23:AD38)</f>
        <v>9.13840841387321E-2</v>
      </c>
      <c r="AE45" s="2">
        <f>STDEV(AE23:AE38)</f>
        <v>0.15179415227566517</v>
      </c>
      <c r="AF45" s="2">
        <f>STDEV(AF23:AF38)</f>
        <v>106.36863125135019</v>
      </c>
      <c r="AG45" s="2">
        <f>STDEV(AG23:AG38)</f>
        <v>14.981010777933893</v>
      </c>
      <c r="AH45" s="2">
        <f>STDEV(AH23:AH38)</f>
        <v>26.00527573334314</v>
      </c>
      <c r="AI45" s="2">
        <f>STDEV(AI23:AI38)</f>
        <v>19.414803100505889</v>
      </c>
      <c r="AJ45" s="2">
        <f>STDEV(AJ23:AJ38)</f>
        <v>0.53835112771655924</v>
      </c>
      <c r="AP45" s="1"/>
      <c r="AQ45" s="1"/>
      <c r="AR45" s="1"/>
      <c r="AS45" s="1"/>
      <c r="AT45" s="1"/>
    </row>
    <row r="46" spans="1:46" x14ac:dyDescent="0.3">
      <c r="G46" s="2" t="s">
        <v>14</v>
      </c>
      <c r="I46" s="2">
        <f>I45/SQRT(16)</f>
        <v>1.2512493756242198</v>
      </c>
      <c r="J46" s="2">
        <f t="shared" ref="J46:AJ46" si="5">J45/SQRT(16)</f>
        <v>22.551416945504776</v>
      </c>
      <c r="K46" s="2">
        <f t="shared" si="5"/>
        <v>1.4104335917251356</v>
      </c>
      <c r="L46" s="2">
        <f t="shared" si="5"/>
        <v>6.0207972893961479</v>
      </c>
      <c r="M46" s="2">
        <f t="shared" si="5"/>
        <v>26.247662941599838</v>
      </c>
      <c r="N46" s="2">
        <f t="shared" si="5"/>
        <v>2.2846994468638595</v>
      </c>
      <c r="O46" s="2">
        <f t="shared" si="5"/>
        <v>4.0548325078437718E-2</v>
      </c>
      <c r="P46" s="2">
        <f t="shared" si="5"/>
        <v>4.4625872423778254</v>
      </c>
      <c r="Q46" s="2">
        <f t="shared" si="5"/>
        <v>1.1864677531086436</v>
      </c>
      <c r="R46" s="2">
        <f t="shared" si="5"/>
        <v>1.4032145513649487E-2</v>
      </c>
      <c r="S46" s="2">
        <f t="shared" si="5"/>
        <v>4.3270583342331338E-2</v>
      </c>
      <c r="T46" s="2">
        <f t="shared" si="5"/>
        <v>5.7872650542332362</v>
      </c>
      <c r="U46" s="2">
        <f t="shared" si="5"/>
        <v>2.8168986078035636</v>
      </c>
      <c r="V46" s="2">
        <f t="shared" si="5"/>
        <v>6.1393083246804488E-2</v>
      </c>
      <c r="W46" s="2">
        <f t="shared" si="5"/>
        <v>0.5928239829321883</v>
      </c>
      <c r="X46" s="2">
        <f t="shared" si="5"/>
        <v>0.15316113519210151</v>
      </c>
      <c r="Y46" s="2">
        <f t="shared" si="5"/>
        <v>0.79565879412387985</v>
      </c>
      <c r="Z46" s="2">
        <f t="shared" si="5"/>
        <v>0.12986812221121294</v>
      </c>
      <c r="AA46" s="2">
        <f t="shared" si="5"/>
        <v>3.8291643997091582</v>
      </c>
      <c r="AB46" s="2">
        <f t="shared" si="5"/>
        <v>0.85574042014308682</v>
      </c>
      <c r="AC46" s="2">
        <f t="shared" si="5"/>
        <v>4.5018514709691022</v>
      </c>
      <c r="AD46" s="2">
        <f t="shared" si="5"/>
        <v>2.2846021034683025E-2</v>
      </c>
      <c r="AE46" s="2">
        <f t="shared" si="5"/>
        <v>3.7948538068916293E-2</v>
      </c>
      <c r="AF46" s="2">
        <f t="shared" si="5"/>
        <v>26.592157812837549</v>
      </c>
      <c r="AG46" s="2">
        <f t="shared" si="5"/>
        <v>3.7452526944834732</v>
      </c>
      <c r="AH46" s="2">
        <f t="shared" si="5"/>
        <v>6.501318933335785</v>
      </c>
      <c r="AI46" s="2">
        <f t="shared" si="5"/>
        <v>4.8537007751264722</v>
      </c>
      <c r="AJ46" s="2">
        <f t="shared" si="5"/>
        <v>0.13458778192913981</v>
      </c>
    </row>
    <row r="47" spans="1:46" x14ac:dyDescent="0.3">
      <c r="W47" s="1"/>
      <c r="X47" s="1"/>
      <c r="Y47" s="1"/>
      <c r="Z47" s="1"/>
      <c r="AA47" s="1"/>
      <c r="AC47" s="1"/>
      <c r="AD47" s="1"/>
      <c r="AE47" s="1"/>
      <c r="AF47" s="1"/>
      <c r="AG47" s="1"/>
      <c r="AH47" s="1"/>
      <c r="AI47" s="1"/>
      <c r="AJ47" s="1"/>
    </row>
    <row r="48" spans="1:46" x14ac:dyDescent="0.3">
      <c r="C48" s="1"/>
      <c r="F48" s="1"/>
      <c r="G48" s="2" t="s">
        <v>102</v>
      </c>
      <c r="I48" s="1"/>
      <c r="J48" s="1"/>
      <c r="K48" s="1"/>
      <c r="L48" s="1"/>
      <c r="M48" s="1"/>
      <c r="N48" s="1"/>
      <c r="O48" s="1"/>
      <c r="P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</row>
    <row r="49" spans="7:36" x14ac:dyDescent="0.3">
      <c r="G49" s="2" t="s">
        <v>15</v>
      </c>
      <c r="I49" s="4">
        <v>5.8949999999999996</v>
      </c>
      <c r="J49" s="4">
        <v>1.405</v>
      </c>
      <c r="K49" s="4">
        <v>1.9630000000000001</v>
      </c>
      <c r="L49" s="4">
        <v>0.73099999999999998</v>
      </c>
      <c r="M49" s="4">
        <v>6.266</v>
      </c>
      <c r="N49" s="4">
        <v>0.14000000000000001</v>
      </c>
      <c r="O49" s="4">
        <v>0.29499999999999998</v>
      </c>
      <c r="P49" s="4">
        <v>1.24</v>
      </c>
      <c r="Q49" s="4">
        <v>7.3129999999999997</v>
      </c>
      <c r="R49" s="4">
        <v>1.5129999999999999</v>
      </c>
      <c r="S49" s="4">
        <v>0.35899999999999999</v>
      </c>
      <c r="T49" s="4">
        <v>0.41699999999999998</v>
      </c>
      <c r="U49" s="4">
        <v>0.93799999999999994</v>
      </c>
      <c r="V49" s="4">
        <v>3.1059999999999999</v>
      </c>
      <c r="W49" s="4">
        <v>0.224</v>
      </c>
      <c r="X49" s="4">
        <v>1.1200000000000001</v>
      </c>
      <c r="Y49" s="4">
        <v>0.622</v>
      </c>
      <c r="Z49" s="4">
        <v>0.189</v>
      </c>
      <c r="AA49" s="4">
        <v>1.1659999999999999</v>
      </c>
      <c r="AB49" s="4"/>
      <c r="AC49" s="4">
        <v>0.98399999999999999</v>
      </c>
      <c r="AD49" s="4">
        <v>1.7150000000000001</v>
      </c>
      <c r="AE49" s="4">
        <v>0.434</v>
      </c>
      <c r="AF49" s="4">
        <v>0.57299999999999995</v>
      </c>
      <c r="AG49" s="4"/>
      <c r="AH49" s="4">
        <v>0.746</v>
      </c>
      <c r="AI49" s="4">
        <v>1.0609999999999999</v>
      </c>
      <c r="AJ49" s="4">
        <v>0.71799999999999997</v>
      </c>
    </row>
    <row r="50" spans="7:36" x14ac:dyDescent="0.3">
      <c r="G50" s="2" t="s">
        <v>28</v>
      </c>
      <c r="I50" s="12" t="s">
        <v>156</v>
      </c>
      <c r="J50" s="3">
        <v>0.24399999999999999</v>
      </c>
      <c r="K50" s="3">
        <v>0.17</v>
      </c>
      <c r="L50" s="3">
        <v>0.40200000000000002</v>
      </c>
      <c r="M50" s="8" t="s">
        <v>157</v>
      </c>
      <c r="N50" s="3">
        <v>0.71299999999999997</v>
      </c>
      <c r="O50" s="3">
        <v>0.59299999999999997</v>
      </c>
      <c r="P50" s="3">
        <v>0.27600000000000002</v>
      </c>
      <c r="Q50" s="8" t="s">
        <v>158</v>
      </c>
      <c r="R50" s="2">
        <v>0.23200000000000001</v>
      </c>
      <c r="S50" s="2">
        <v>0.55600000000000005</v>
      </c>
      <c r="T50" s="2">
        <v>0.52500000000000002</v>
      </c>
      <c r="U50" s="2">
        <v>0.34100000000000003</v>
      </c>
      <c r="V50" s="2">
        <v>9.4E-2</v>
      </c>
      <c r="W50" s="2">
        <v>0.63900000000000001</v>
      </c>
      <c r="X50" s="2">
        <v>0.29699999999999999</v>
      </c>
      <c r="Y50" s="11">
        <v>0.436</v>
      </c>
      <c r="Z50" s="2">
        <v>0.66700000000000004</v>
      </c>
      <c r="AA50" s="2">
        <v>0.38600000000000001</v>
      </c>
      <c r="AC50" s="2">
        <v>0.33100000000000002</v>
      </c>
      <c r="AD50" s="2">
        <v>0.20200000000000001</v>
      </c>
      <c r="AE50" s="2">
        <v>0.51400000000000001</v>
      </c>
      <c r="AF50" s="2">
        <v>0.58599999999999997</v>
      </c>
      <c r="AH50" s="2">
        <v>0.39600000000000002</v>
      </c>
      <c r="AI50" s="2">
        <v>0.312</v>
      </c>
      <c r="AJ50" s="2">
        <v>0.40500000000000003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Memb. props BC Sh. ctrl vs 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2025-07-12T12:55:53Z</dcterms:modified>
</cp:coreProperties>
</file>