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36409833-E6CE-4300-B20F-FFCDD8CABE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mb props. No DTX VS DTX BC l4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9" i="13" l="1"/>
  <c r="Q80" i="13" s="1"/>
  <c r="Q78" i="13"/>
  <c r="Q75" i="13"/>
  <c r="Q76" i="13" s="1"/>
  <c r="Q74" i="13"/>
  <c r="Q70" i="13"/>
  <c r="Q71" i="13" s="1"/>
  <c r="Q66" i="13"/>
  <c r="Q67" i="13" s="1"/>
  <c r="Q69" i="13"/>
  <c r="Q65" i="13"/>
  <c r="X3" i="13"/>
  <c r="X4" i="13"/>
  <c r="X5" i="13"/>
  <c r="X6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2" i="13"/>
  <c r="AJ79" i="13"/>
  <c r="AJ80" i="13" s="1"/>
  <c r="AD79" i="13"/>
  <c r="AD80" i="13" s="1"/>
  <c r="AC79" i="13"/>
  <c r="AC80" i="13" s="1"/>
  <c r="AB79" i="13"/>
  <c r="AB80" i="13" s="1"/>
  <c r="AA79" i="13"/>
  <c r="AA80" i="13" s="1"/>
  <c r="Z79" i="13"/>
  <c r="Z80" i="13" s="1"/>
  <c r="Y79" i="13"/>
  <c r="Y80" i="13" s="1"/>
  <c r="V79" i="13"/>
  <c r="V80" i="13" s="1"/>
  <c r="U79" i="13"/>
  <c r="U80" i="13" s="1"/>
  <c r="T79" i="13"/>
  <c r="T80" i="13" s="1"/>
  <c r="S79" i="13"/>
  <c r="S80" i="13" s="1"/>
  <c r="R79" i="13"/>
  <c r="R80" i="13" s="1"/>
  <c r="P79" i="13"/>
  <c r="P80" i="13" s="1"/>
  <c r="O79" i="13"/>
  <c r="O80" i="13" s="1"/>
  <c r="N79" i="13"/>
  <c r="N80" i="13" s="1"/>
  <c r="M79" i="13"/>
  <c r="M80" i="13" s="1"/>
  <c r="L79" i="13"/>
  <c r="L80" i="13" s="1"/>
  <c r="K79" i="13"/>
  <c r="K80" i="13" s="1"/>
  <c r="J79" i="13"/>
  <c r="J80" i="13" s="1"/>
  <c r="AJ78" i="13"/>
  <c r="AD78" i="13"/>
  <c r="AC78" i="13"/>
  <c r="AB78" i="13"/>
  <c r="AA78" i="13"/>
  <c r="Z78" i="13"/>
  <c r="Y78" i="13"/>
  <c r="V78" i="13"/>
  <c r="U78" i="13"/>
  <c r="T78" i="13"/>
  <c r="S78" i="13"/>
  <c r="R78" i="13"/>
  <c r="P78" i="13"/>
  <c r="O78" i="13"/>
  <c r="N78" i="13"/>
  <c r="M78" i="13"/>
  <c r="L78" i="13"/>
  <c r="K78" i="13"/>
  <c r="J78" i="13"/>
  <c r="AJ75" i="13"/>
  <c r="AJ76" i="13" s="1"/>
  <c r="AD75" i="13"/>
  <c r="AD76" i="13" s="1"/>
  <c r="AC75" i="13"/>
  <c r="AC76" i="13" s="1"/>
  <c r="AB75" i="13"/>
  <c r="AB76" i="13" s="1"/>
  <c r="AA75" i="13"/>
  <c r="AA76" i="13" s="1"/>
  <c r="Z75" i="13"/>
  <c r="Z76" i="13" s="1"/>
  <c r="Y75" i="13"/>
  <c r="Y76" i="13" s="1"/>
  <c r="V75" i="13"/>
  <c r="V76" i="13" s="1"/>
  <c r="U75" i="13"/>
  <c r="U76" i="13" s="1"/>
  <c r="T75" i="13"/>
  <c r="T76" i="13" s="1"/>
  <c r="S75" i="13"/>
  <c r="S76" i="13" s="1"/>
  <c r="R75" i="13"/>
  <c r="R76" i="13" s="1"/>
  <c r="P75" i="13"/>
  <c r="P76" i="13" s="1"/>
  <c r="O75" i="13"/>
  <c r="O76" i="13" s="1"/>
  <c r="N75" i="13"/>
  <c r="N76" i="13" s="1"/>
  <c r="M75" i="13"/>
  <c r="M76" i="13" s="1"/>
  <c r="L75" i="13"/>
  <c r="L76" i="13" s="1"/>
  <c r="K75" i="13"/>
  <c r="K76" i="13" s="1"/>
  <c r="J75" i="13"/>
  <c r="J76" i="13" s="1"/>
  <c r="AJ74" i="13"/>
  <c r="AD74" i="13"/>
  <c r="AC74" i="13"/>
  <c r="AB74" i="13"/>
  <c r="AA74" i="13"/>
  <c r="Z74" i="13"/>
  <c r="Y74" i="13"/>
  <c r="V74" i="13"/>
  <c r="U74" i="13"/>
  <c r="T74" i="13"/>
  <c r="S74" i="13"/>
  <c r="R74" i="13"/>
  <c r="P74" i="13"/>
  <c r="O74" i="13"/>
  <c r="N74" i="13"/>
  <c r="M74" i="13"/>
  <c r="L74" i="13"/>
  <c r="K74" i="13"/>
  <c r="J74" i="13"/>
  <c r="AK71" i="13"/>
  <c r="AJ70" i="13"/>
  <c r="AJ71" i="13" s="1"/>
  <c r="AD70" i="13"/>
  <c r="AD71" i="13" s="1"/>
  <c r="AC70" i="13"/>
  <c r="AC71" i="13" s="1"/>
  <c r="AB70" i="13"/>
  <c r="AB71" i="13" s="1"/>
  <c r="AA70" i="13"/>
  <c r="AA71" i="13" s="1"/>
  <c r="Z70" i="13"/>
  <c r="Z71" i="13" s="1"/>
  <c r="Y70" i="13"/>
  <c r="Y71" i="13" s="1"/>
  <c r="V70" i="13"/>
  <c r="V71" i="13" s="1"/>
  <c r="U70" i="13"/>
  <c r="U71" i="13" s="1"/>
  <c r="T70" i="13"/>
  <c r="T71" i="13" s="1"/>
  <c r="S70" i="13"/>
  <c r="S71" i="13" s="1"/>
  <c r="R70" i="13"/>
  <c r="R71" i="13" s="1"/>
  <c r="P70" i="13"/>
  <c r="P71" i="13" s="1"/>
  <c r="O70" i="13"/>
  <c r="O71" i="13" s="1"/>
  <c r="N70" i="13"/>
  <c r="N71" i="13" s="1"/>
  <c r="M70" i="13"/>
  <c r="M71" i="13" s="1"/>
  <c r="L70" i="13"/>
  <c r="L71" i="13" s="1"/>
  <c r="K70" i="13"/>
  <c r="K71" i="13" s="1"/>
  <c r="J70" i="13"/>
  <c r="J71" i="13" s="1"/>
  <c r="AJ69" i="13"/>
  <c r="AD69" i="13"/>
  <c r="AC69" i="13"/>
  <c r="AB69" i="13"/>
  <c r="AA69" i="13"/>
  <c r="Z69" i="13"/>
  <c r="Y69" i="13"/>
  <c r="V69" i="13"/>
  <c r="U69" i="13"/>
  <c r="T69" i="13"/>
  <c r="S69" i="13"/>
  <c r="R69" i="13"/>
  <c r="P69" i="13"/>
  <c r="O69" i="13"/>
  <c r="N69" i="13"/>
  <c r="M69" i="13"/>
  <c r="L69" i="13"/>
  <c r="K69" i="13"/>
  <c r="J69" i="13"/>
  <c r="AJ66" i="13"/>
  <c r="AJ67" i="13" s="1"/>
  <c r="AD66" i="13"/>
  <c r="AD67" i="13" s="1"/>
  <c r="AC66" i="13"/>
  <c r="AC67" i="13" s="1"/>
  <c r="AB66" i="13"/>
  <c r="AB67" i="13" s="1"/>
  <c r="AA66" i="13"/>
  <c r="AA67" i="13" s="1"/>
  <c r="Z66" i="13"/>
  <c r="Z67" i="13" s="1"/>
  <c r="Y66" i="13"/>
  <c r="Y67" i="13" s="1"/>
  <c r="V66" i="13"/>
  <c r="V67" i="13" s="1"/>
  <c r="U66" i="13"/>
  <c r="U67" i="13" s="1"/>
  <c r="T66" i="13"/>
  <c r="T67" i="13" s="1"/>
  <c r="S66" i="13"/>
  <c r="S67" i="13" s="1"/>
  <c r="R66" i="13"/>
  <c r="R67" i="13" s="1"/>
  <c r="P66" i="13"/>
  <c r="P67" i="13" s="1"/>
  <c r="O66" i="13"/>
  <c r="O67" i="13" s="1"/>
  <c r="N66" i="13"/>
  <c r="N67" i="13" s="1"/>
  <c r="M66" i="13"/>
  <c r="M67" i="13" s="1"/>
  <c r="L66" i="13"/>
  <c r="L67" i="13" s="1"/>
  <c r="K66" i="13"/>
  <c r="K67" i="13" s="1"/>
  <c r="J66" i="13"/>
  <c r="J67" i="13" s="1"/>
  <c r="AJ65" i="13"/>
  <c r="AD65" i="13"/>
  <c r="AC65" i="13"/>
  <c r="AB65" i="13"/>
  <c r="AA65" i="13"/>
  <c r="Z65" i="13"/>
  <c r="Y65" i="13"/>
  <c r="V65" i="13"/>
  <c r="U65" i="13"/>
  <c r="T65" i="13"/>
  <c r="S65" i="13"/>
  <c r="R65" i="13"/>
  <c r="P65" i="13"/>
  <c r="O65" i="13"/>
  <c r="N65" i="13"/>
  <c r="M65" i="13"/>
  <c r="L65" i="13"/>
  <c r="K65" i="13"/>
  <c r="J65" i="13"/>
  <c r="AH62" i="13"/>
  <c r="AG62" i="13"/>
  <c r="AF62" i="13"/>
  <c r="AE62" i="13"/>
  <c r="W62" i="13"/>
  <c r="AH61" i="13"/>
  <c r="AG61" i="13"/>
  <c r="AF61" i="13"/>
  <c r="AE61" i="13"/>
  <c r="W61" i="13"/>
  <c r="AH60" i="13"/>
  <c r="AG60" i="13"/>
  <c r="AF60" i="13"/>
  <c r="AE60" i="13"/>
  <c r="W60" i="13"/>
  <c r="AH59" i="13"/>
  <c r="AG59" i="13"/>
  <c r="AF59" i="13"/>
  <c r="AE59" i="13"/>
  <c r="W59" i="13"/>
  <c r="AH58" i="13"/>
  <c r="AG58" i="13"/>
  <c r="AF58" i="13"/>
  <c r="AE58" i="13"/>
  <c r="W58" i="13"/>
  <c r="AH57" i="13"/>
  <c r="AG57" i="13"/>
  <c r="AF57" i="13"/>
  <c r="AE57" i="13"/>
  <c r="W57" i="13"/>
  <c r="AH56" i="13"/>
  <c r="AG56" i="13"/>
  <c r="AF56" i="13"/>
  <c r="AE56" i="13"/>
  <c r="W56" i="13"/>
  <c r="AH55" i="13"/>
  <c r="AG55" i="13"/>
  <c r="AF55" i="13"/>
  <c r="AE55" i="13"/>
  <c r="W55" i="13"/>
  <c r="AH54" i="13"/>
  <c r="AG54" i="13"/>
  <c r="AF54" i="13"/>
  <c r="AE54" i="13"/>
  <c r="W54" i="13"/>
  <c r="AH53" i="13"/>
  <c r="AG53" i="13"/>
  <c r="AF53" i="13"/>
  <c r="AE53" i="13"/>
  <c r="W53" i="13"/>
  <c r="AH52" i="13"/>
  <c r="AG52" i="13"/>
  <c r="AF52" i="13"/>
  <c r="AE52" i="13"/>
  <c r="W52" i="13"/>
  <c r="AH51" i="13"/>
  <c r="AG51" i="13"/>
  <c r="AF51" i="13"/>
  <c r="AE51" i="13"/>
  <c r="W51" i="13"/>
  <c r="AH50" i="13"/>
  <c r="AG50" i="13"/>
  <c r="AF50" i="13"/>
  <c r="AE50" i="13"/>
  <c r="W50" i="13"/>
  <c r="AF49" i="13"/>
  <c r="AE49" i="13"/>
  <c r="W49" i="13"/>
  <c r="AH48" i="13"/>
  <c r="AG48" i="13"/>
  <c r="AF48" i="13"/>
  <c r="AE48" i="13"/>
  <c r="W48" i="13"/>
  <c r="AH47" i="13"/>
  <c r="AG47" i="13"/>
  <c r="AF47" i="13"/>
  <c r="AE47" i="13"/>
  <c r="W47" i="13"/>
  <c r="W46" i="13"/>
  <c r="AH45" i="13"/>
  <c r="AG45" i="13"/>
  <c r="AF45" i="13"/>
  <c r="AE45" i="13"/>
  <c r="W45" i="13"/>
  <c r="AH44" i="13"/>
  <c r="AG44" i="13"/>
  <c r="AF44" i="13"/>
  <c r="AE44" i="13"/>
  <c r="W44" i="13"/>
  <c r="AH43" i="13"/>
  <c r="AG43" i="13"/>
  <c r="AF43" i="13"/>
  <c r="AE43" i="13"/>
  <c r="W43" i="13"/>
  <c r="AH42" i="13"/>
  <c r="AG42" i="13"/>
  <c r="AF42" i="13"/>
  <c r="AE42" i="13"/>
  <c r="W42" i="13"/>
  <c r="AH41" i="13"/>
  <c r="AG41" i="13"/>
  <c r="AF41" i="13"/>
  <c r="AE41" i="13"/>
  <c r="W41" i="13"/>
  <c r="AH40" i="13"/>
  <c r="AG40" i="13"/>
  <c r="AF40" i="13"/>
  <c r="AE40" i="13"/>
  <c r="W40" i="13"/>
  <c r="AH39" i="13"/>
  <c r="AG39" i="13"/>
  <c r="AF39" i="13"/>
  <c r="AE39" i="13"/>
  <c r="W39" i="13"/>
  <c r="AH38" i="13"/>
  <c r="AG38" i="13"/>
  <c r="AF38" i="13"/>
  <c r="AE38" i="13"/>
  <c r="W38" i="13"/>
  <c r="AH37" i="13"/>
  <c r="AG37" i="13"/>
  <c r="AF37" i="13"/>
  <c r="AE37" i="13"/>
  <c r="W37" i="13"/>
  <c r="AH36" i="13"/>
  <c r="AG36" i="13"/>
  <c r="AF36" i="13"/>
  <c r="AE36" i="13"/>
  <c r="W36" i="13"/>
  <c r="AH35" i="13"/>
  <c r="AG35" i="13"/>
  <c r="AF35" i="13"/>
  <c r="AE35" i="13"/>
  <c r="W35" i="13"/>
  <c r="AH34" i="13"/>
  <c r="AG34" i="13"/>
  <c r="AF34" i="13"/>
  <c r="AE34" i="13"/>
  <c r="W34" i="13"/>
  <c r="AH33" i="13"/>
  <c r="AG33" i="13"/>
  <c r="AF33" i="13"/>
  <c r="AE33" i="13"/>
  <c r="W33" i="13"/>
  <c r="AH32" i="13"/>
  <c r="AG32" i="13"/>
  <c r="AF32" i="13"/>
  <c r="AE32" i="13"/>
  <c r="W32" i="13"/>
  <c r="AH31" i="13"/>
  <c r="AG31" i="13"/>
  <c r="AF31" i="13"/>
  <c r="AE31" i="13"/>
  <c r="W31" i="13"/>
  <c r="AH30" i="13"/>
  <c r="AG30" i="13"/>
  <c r="AF30" i="13"/>
  <c r="AE30" i="13"/>
  <c r="W30" i="13"/>
  <c r="AH29" i="13"/>
  <c r="AG29" i="13"/>
  <c r="AF29" i="13"/>
  <c r="AE29" i="13"/>
  <c r="W29" i="13"/>
  <c r="AH28" i="13"/>
  <c r="AG28" i="13"/>
  <c r="AF28" i="13"/>
  <c r="AE28" i="13"/>
  <c r="W28" i="13"/>
  <c r="AH27" i="13"/>
  <c r="AG27" i="13"/>
  <c r="AF27" i="13"/>
  <c r="AE27" i="13"/>
  <c r="W27" i="13"/>
  <c r="AH26" i="13"/>
  <c r="AG26" i="13"/>
  <c r="AF26" i="13"/>
  <c r="AE26" i="13"/>
  <c r="W26" i="13"/>
  <c r="AH25" i="13"/>
  <c r="AG25" i="13"/>
  <c r="AF25" i="13"/>
  <c r="AE25" i="13"/>
  <c r="W25" i="13"/>
  <c r="AH24" i="13"/>
  <c r="AG24" i="13"/>
  <c r="AF24" i="13"/>
  <c r="AE24" i="13"/>
  <c r="W24" i="13"/>
  <c r="AH23" i="13"/>
  <c r="AG23" i="13"/>
  <c r="AF23" i="13"/>
  <c r="AE23" i="13"/>
  <c r="W23" i="13"/>
  <c r="AH22" i="13"/>
  <c r="AG22" i="13"/>
  <c r="AF22" i="13"/>
  <c r="AE22" i="13"/>
  <c r="W22" i="13"/>
  <c r="AH21" i="13"/>
  <c r="AG21" i="13"/>
  <c r="AF21" i="13"/>
  <c r="AE21" i="13"/>
  <c r="W21" i="13"/>
  <c r="AH20" i="13"/>
  <c r="AG20" i="13"/>
  <c r="AF20" i="13"/>
  <c r="AE20" i="13"/>
  <c r="W20" i="13"/>
  <c r="AH19" i="13"/>
  <c r="AG19" i="13"/>
  <c r="AF19" i="13"/>
  <c r="AE19" i="13"/>
  <c r="W19" i="13"/>
  <c r="AH18" i="13"/>
  <c r="AG18" i="13"/>
  <c r="AF18" i="13"/>
  <c r="AE18" i="13"/>
  <c r="W18" i="13"/>
  <c r="AH17" i="13"/>
  <c r="AG17" i="13"/>
  <c r="AF17" i="13"/>
  <c r="AE17" i="13"/>
  <c r="W17" i="13"/>
  <c r="AH16" i="13"/>
  <c r="AG16" i="13"/>
  <c r="AF16" i="13"/>
  <c r="AE16" i="13"/>
  <c r="W16" i="13"/>
  <c r="AH15" i="13"/>
  <c r="AG15" i="13"/>
  <c r="AF15" i="13"/>
  <c r="AE15" i="13"/>
  <c r="W15" i="13"/>
  <c r="AH14" i="13"/>
  <c r="AG14" i="13"/>
  <c r="AF14" i="13"/>
  <c r="AE14" i="13"/>
  <c r="W14" i="13"/>
  <c r="AH13" i="13"/>
  <c r="AG13" i="13"/>
  <c r="AF13" i="13"/>
  <c r="AE13" i="13"/>
  <c r="W13" i="13"/>
  <c r="AH12" i="13"/>
  <c r="AG12" i="13"/>
  <c r="AF12" i="13"/>
  <c r="AE12" i="13"/>
  <c r="W12" i="13"/>
  <c r="AH11" i="13"/>
  <c r="AG11" i="13"/>
  <c r="AF11" i="13"/>
  <c r="AE11" i="13"/>
  <c r="W11" i="13"/>
  <c r="AH10" i="13"/>
  <c r="AG10" i="13"/>
  <c r="AF10" i="13"/>
  <c r="AE10" i="13"/>
  <c r="W10" i="13"/>
  <c r="AF9" i="13"/>
  <c r="AE9" i="13"/>
  <c r="W9" i="13"/>
  <c r="AH8" i="13"/>
  <c r="AG8" i="13"/>
  <c r="AF8" i="13"/>
  <c r="AE8" i="13"/>
  <c r="W8" i="13"/>
  <c r="AH7" i="13"/>
  <c r="AG7" i="13"/>
  <c r="AF7" i="13"/>
  <c r="AE7" i="13"/>
  <c r="W7" i="13"/>
  <c r="AH6" i="13"/>
  <c r="AG6" i="13"/>
  <c r="AF6" i="13"/>
  <c r="AE6" i="13"/>
  <c r="W6" i="13"/>
  <c r="AH5" i="13"/>
  <c r="AG5" i="13"/>
  <c r="AF5" i="13"/>
  <c r="AE5" i="13"/>
  <c r="W5" i="13"/>
  <c r="AF4" i="13"/>
  <c r="AE4" i="13"/>
  <c r="W4" i="13"/>
  <c r="AH3" i="13"/>
  <c r="AG3" i="13"/>
  <c r="AF3" i="13"/>
  <c r="AE3" i="13"/>
  <c r="W3" i="13"/>
  <c r="AF2" i="13"/>
  <c r="AE2" i="13"/>
  <c r="W2" i="13"/>
  <c r="W78" i="13" l="1"/>
  <c r="W65" i="13"/>
  <c r="W75" i="13"/>
  <c r="W76" i="13" s="1"/>
  <c r="W79" i="13"/>
  <c r="W80" i="13" s="1"/>
  <c r="W69" i="13"/>
  <c r="W70" i="13"/>
  <c r="W71" i="13" s="1"/>
  <c r="W66" i="13"/>
  <c r="W67" i="13" s="1"/>
  <c r="W74" i="13"/>
  <c r="X78" i="13"/>
  <c r="X65" i="13"/>
  <c r="X69" i="13"/>
  <c r="X74" i="13"/>
  <c r="X79" i="13"/>
  <c r="X80" i="13" s="1"/>
  <c r="X70" i="13"/>
  <c r="X71" i="13" s="1"/>
  <c r="X75" i="13"/>
  <c r="X76" i="13" s="1"/>
  <c r="X66" i="13"/>
  <c r="X67" i="13" s="1"/>
  <c r="AI34" i="13"/>
  <c r="AI23" i="13"/>
  <c r="AI27" i="13"/>
  <c r="AI31" i="13"/>
  <c r="AI56" i="13"/>
  <c r="AI60" i="13"/>
  <c r="AI55" i="13"/>
  <c r="AI26" i="13"/>
  <c r="AI57" i="13"/>
  <c r="AI51" i="13"/>
  <c r="AI33" i="13"/>
  <c r="AI41" i="13"/>
  <c r="AI50" i="13"/>
  <c r="AI62" i="13"/>
  <c r="AI5" i="13"/>
  <c r="AI16" i="13"/>
  <c r="AI20" i="13"/>
  <c r="AI24" i="13"/>
  <c r="AI32" i="13"/>
  <c r="AI36" i="13"/>
  <c r="AI44" i="13"/>
  <c r="AI6" i="13"/>
  <c r="AI25" i="13"/>
  <c r="AI42" i="13"/>
  <c r="AI12" i="13"/>
  <c r="AI11" i="13"/>
  <c r="AI15" i="13"/>
  <c r="AI19" i="13"/>
  <c r="AI7" i="13"/>
  <c r="AI10" i="13"/>
  <c r="AI18" i="13"/>
  <c r="AI22" i="13"/>
  <c r="AI43" i="13"/>
  <c r="AI28" i="13"/>
  <c r="AI37" i="13"/>
  <c r="AI58" i="13"/>
  <c r="AI48" i="13"/>
  <c r="AI52" i="13"/>
  <c r="AI13" i="13"/>
  <c r="AI40" i="13"/>
  <c r="AI45" i="13"/>
  <c r="AI47" i="13"/>
  <c r="AI17" i="13"/>
  <c r="AI30" i="13"/>
  <c r="AI39" i="13"/>
  <c r="AI54" i="13"/>
  <c r="AH66" i="13"/>
  <c r="AH67" i="13" s="1"/>
  <c r="AI21" i="13"/>
  <c r="AI38" i="13"/>
  <c r="AF78" i="13"/>
  <c r="AG66" i="13"/>
  <c r="AG67" i="13" s="1"/>
  <c r="AE66" i="13"/>
  <c r="AE67" i="13" s="1"/>
  <c r="AI14" i="13"/>
  <c r="AG79" i="13"/>
  <c r="AG80" i="13" s="1"/>
  <c r="AF66" i="13"/>
  <c r="AF67" i="13" s="1"/>
  <c r="AE75" i="13"/>
  <c r="AE76" i="13" s="1"/>
  <c r="AH79" i="13"/>
  <c r="AH80" i="13" s="1"/>
  <c r="AH65" i="13"/>
  <c r="AF69" i="13"/>
  <c r="AF75" i="13"/>
  <c r="AF76" i="13" s="1"/>
  <c r="AH70" i="13"/>
  <c r="AH71" i="13" s="1"/>
  <c r="AE79" i="13"/>
  <c r="AE80" i="13" s="1"/>
  <c r="AE69" i="13"/>
  <c r="AG74" i="13"/>
  <c r="AI53" i="13"/>
  <c r="AI59" i="13"/>
  <c r="AH75" i="13"/>
  <c r="AH76" i="13" s="1"/>
  <c r="AI8" i="13"/>
  <c r="AH74" i="13"/>
  <c r="AI29" i="13"/>
  <c r="AI35" i="13"/>
  <c r="AF70" i="13"/>
  <c r="AF71" i="13" s="1"/>
  <c r="AG65" i="13"/>
  <c r="AE70" i="13"/>
  <c r="AE71" i="13" s="1"/>
  <c r="AG75" i="13"/>
  <c r="AG76" i="13" s="1"/>
  <c r="AF79" i="13"/>
  <c r="AF80" i="13" s="1"/>
  <c r="AG78" i="13"/>
  <c r="AI3" i="13"/>
  <c r="AI61" i="13"/>
  <c r="AG69" i="13"/>
  <c r="AE74" i="13"/>
  <c r="AH78" i="13"/>
  <c r="AE65" i="13"/>
  <c r="AH69" i="13"/>
  <c r="AG70" i="13"/>
  <c r="AG71" i="13" s="1"/>
  <c r="AF74" i="13"/>
  <c r="AF65" i="13"/>
  <c r="AE78" i="13"/>
  <c r="AI69" i="13" l="1"/>
  <c r="AI70" i="13"/>
  <c r="AI71" i="13" s="1"/>
  <c r="AI74" i="13"/>
  <c r="AI75" i="13"/>
  <c r="AI76" i="13" s="1"/>
  <c r="AI79" i="13"/>
  <c r="AI80" i="13" s="1"/>
  <c r="AI78" i="13"/>
  <c r="AI66" i="13"/>
  <c r="AI67" i="13" s="1"/>
  <c r="AI65" i="13"/>
</calcChain>
</file>

<file path=xl/sharedStrings.xml><?xml version="1.0" encoding="utf-8"?>
<sst xmlns="http://schemas.openxmlformats.org/spreadsheetml/2006/main" count="720" uniqueCount="177">
  <si>
    <t>Cell</t>
  </si>
  <si>
    <t>Genotype</t>
  </si>
  <si>
    <t>Sex</t>
  </si>
  <si>
    <t>DOB</t>
  </si>
  <si>
    <t>Age</t>
  </si>
  <si>
    <t>Anatomy</t>
  </si>
  <si>
    <t>Layer</t>
  </si>
  <si>
    <t>Tag</t>
  </si>
  <si>
    <t>Animal 5</t>
  </si>
  <si>
    <t>GFP</t>
  </si>
  <si>
    <t>Animal 6</t>
  </si>
  <si>
    <t>Animal 11</t>
  </si>
  <si>
    <t>Animal 13</t>
  </si>
  <si>
    <t>Animal 14</t>
  </si>
  <si>
    <t>Animal 15</t>
  </si>
  <si>
    <t>SD</t>
  </si>
  <si>
    <t>SE</t>
  </si>
  <si>
    <t>Animal 3</t>
  </si>
  <si>
    <t>Animal 4</t>
  </si>
  <si>
    <t>Animal 7</t>
  </si>
  <si>
    <t>Animal 8</t>
  </si>
  <si>
    <t>Animal 9</t>
  </si>
  <si>
    <t>Animal 10</t>
  </si>
  <si>
    <t>ID</t>
  </si>
  <si>
    <t>Cm</t>
  </si>
  <si>
    <t>M</t>
  </si>
  <si>
    <t>Mouse Line</t>
  </si>
  <si>
    <t>Vm</t>
  </si>
  <si>
    <t>Rm</t>
  </si>
  <si>
    <t>Rheobase, pA</t>
  </si>
  <si>
    <t>Latency ms</t>
  </si>
  <si>
    <t>AP ampl, mV</t>
  </si>
  <si>
    <t>AP dur, ms</t>
  </si>
  <si>
    <t>AP thresh, mV</t>
  </si>
  <si>
    <t>File #</t>
  </si>
  <si>
    <t>Firing</t>
  </si>
  <si>
    <t>Injected current</t>
  </si>
  <si>
    <t>0 pA</t>
  </si>
  <si>
    <t>50 pA</t>
  </si>
  <si>
    <t>10 pA</t>
  </si>
  <si>
    <t>30 pA</t>
  </si>
  <si>
    <t>20 pA</t>
  </si>
  <si>
    <t>40 pA</t>
  </si>
  <si>
    <t>20 Pa</t>
  </si>
  <si>
    <t>Fss</t>
  </si>
  <si>
    <t>10 Pa</t>
  </si>
  <si>
    <t>AP area</t>
  </si>
  <si>
    <t>Animal 16</t>
  </si>
  <si>
    <t>Animal 17</t>
  </si>
  <si>
    <t>Subject ID</t>
  </si>
  <si>
    <t xml:space="preserve">Condition </t>
  </si>
  <si>
    <t>Rise time (10-90%)</t>
  </si>
  <si>
    <t>Decay time (10-90%)</t>
  </si>
  <si>
    <t>Max, rise slop (mv/ms)</t>
  </si>
  <si>
    <t>Max, decay slope (mv/ms)</t>
  </si>
  <si>
    <t>Ratio max ris/max decay</t>
  </si>
  <si>
    <t>fAHP time (ms)</t>
  </si>
  <si>
    <t>AHP amplit,,  mV</t>
  </si>
  <si>
    <t>Sag Ih</t>
  </si>
  <si>
    <t>Firing frequ, At rheobase</t>
  </si>
  <si>
    <t>Firing freq, (n spikes in 500 ms) Hz at 2x rheobase</t>
  </si>
  <si>
    <t>spike amplit, AP index At 2x rheobase</t>
  </si>
  <si>
    <t xml:space="preserve">spike freq, AP index at 2x rheobase </t>
  </si>
  <si>
    <t>Adaptation ratio (dimensionless)</t>
  </si>
  <si>
    <t xml:space="preserve">No </t>
  </si>
  <si>
    <t>150223RF1a</t>
  </si>
  <si>
    <t>20.11.22</t>
  </si>
  <si>
    <t>Nkx2,1cre RCE Syngap1 flox</t>
  </si>
  <si>
    <t>0 Pa</t>
  </si>
  <si>
    <t>200323RF2a</t>
  </si>
  <si>
    <t>13.01.23</t>
  </si>
  <si>
    <t>regular no dep. Block</t>
  </si>
  <si>
    <t>50 Pa</t>
  </si>
  <si>
    <t>200323RF2d</t>
  </si>
  <si>
    <t>230522RF1b</t>
  </si>
  <si>
    <t>18.03.23</t>
  </si>
  <si>
    <t>regular with dep. Block</t>
  </si>
  <si>
    <t>230522RF2</t>
  </si>
  <si>
    <t>80 Pa</t>
  </si>
  <si>
    <t>070623RF1c</t>
  </si>
  <si>
    <t>30.03.23</t>
  </si>
  <si>
    <t>100 pA</t>
  </si>
  <si>
    <t>070623RF1d</t>
  </si>
  <si>
    <t>80 pA</t>
  </si>
  <si>
    <t>070623RF4a</t>
  </si>
  <si>
    <t>070623RF4b</t>
  </si>
  <si>
    <t xml:space="preserve">Drug </t>
  </si>
  <si>
    <t>150223RF2a</t>
  </si>
  <si>
    <t>150223RF4a</t>
  </si>
  <si>
    <t>90 Pa</t>
  </si>
  <si>
    <t>150223RF4b</t>
  </si>
  <si>
    <t>60 Pa</t>
  </si>
  <si>
    <t>010323RF2a</t>
  </si>
  <si>
    <t>22.12.22</t>
  </si>
  <si>
    <t>200323RF1</t>
  </si>
  <si>
    <t>30 Pa</t>
  </si>
  <si>
    <t>180523RF1b</t>
  </si>
  <si>
    <t>03.03.23</t>
  </si>
  <si>
    <t>180523RF1c</t>
  </si>
  <si>
    <t>230522RF4</t>
  </si>
  <si>
    <t>110 pA</t>
  </si>
  <si>
    <t>070623RF2</t>
  </si>
  <si>
    <t>fast spiking real</t>
  </si>
  <si>
    <t>70 pA</t>
  </si>
  <si>
    <t>070623RF3b</t>
  </si>
  <si>
    <t>070623RF5a</t>
  </si>
  <si>
    <t>14 et 15</t>
  </si>
  <si>
    <t>280223RF2</t>
  </si>
  <si>
    <t>cHET</t>
  </si>
  <si>
    <t>animal 1</t>
  </si>
  <si>
    <t>090223RF2a</t>
  </si>
  <si>
    <t>08.11.22</t>
  </si>
  <si>
    <t>plus 10 Pa</t>
  </si>
  <si>
    <t>090223RF2b</t>
  </si>
  <si>
    <t>70 pa</t>
  </si>
  <si>
    <t>230323RF1</t>
  </si>
  <si>
    <t>15.01.23</t>
  </si>
  <si>
    <t>60 pA</t>
  </si>
  <si>
    <t>230323RF2C</t>
  </si>
  <si>
    <t>170523RF1</t>
  </si>
  <si>
    <t>220323RF1</t>
  </si>
  <si>
    <t>170523RF5</t>
  </si>
  <si>
    <t>010623RF1a</t>
  </si>
  <si>
    <t>27.03.23</t>
  </si>
  <si>
    <t>010623RF4</t>
  </si>
  <si>
    <t>050623RF1a</t>
  </si>
  <si>
    <t>050623RF1b</t>
  </si>
  <si>
    <t>40 Pa</t>
  </si>
  <si>
    <t>050623RF4</t>
  </si>
  <si>
    <t>050623RF5</t>
  </si>
  <si>
    <t>30 PA</t>
  </si>
  <si>
    <t>060623RF2a</t>
  </si>
  <si>
    <t>060623RF2c</t>
  </si>
  <si>
    <t>080623RF2a</t>
  </si>
  <si>
    <t>080623RF2b</t>
  </si>
  <si>
    <t>080623RF4</t>
  </si>
  <si>
    <t>Animal 18</t>
  </si>
  <si>
    <t>090623RF3a</t>
  </si>
  <si>
    <t>6 et 7</t>
  </si>
  <si>
    <t>150 pA</t>
  </si>
  <si>
    <t>090623RF3b</t>
  </si>
  <si>
    <t>8 et 9</t>
  </si>
  <si>
    <t>90 pA</t>
  </si>
  <si>
    <t>090623RF4</t>
  </si>
  <si>
    <t>090623RF6</t>
  </si>
  <si>
    <t>220323RF2</t>
  </si>
  <si>
    <t>50 pa</t>
  </si>
  <si>
    <t>170523RF2b</t>
  </si>
  <si>
    <t>170523RF2c</t>
  </si>
  <si>
    <t>170523RF4</t>
  </si>
  <si>
    <t>010623RF2a</t>
  </si>
  <si>
    <t>150 Pa</t>
  </si>
  <si>
    <t>010623RF2b</t>
  </si>
  <si>
    <t>3 et 4</t>
  </si>
  <si>
    <t>010623RF3a</t>
  </si>
  <si>
    <t>050623RF2a</t>
  </si>
  <si>
    <t>60 pa</t>
  </si>
  <si>
    <t>050623RF2b</t>
  </si>
  <si>
    <t>050623RF3b</t>
  </si>
  <si>
    <t>050623RF6</t>
  </si>
  <si>
    <t>060623RF1</t>
  </si>
  <si>
    <t>60 PA</t>
  </si>
  <si>
    <t>080623RF1</t>
  </si>
  <si>
    <t>080623RF3</t>
  </si>
  <si>
    <t>090623RF2B</t>
  </si>
  <si>
    <t>090623RF5</t>
  </si>
  <si>
    <t>090223RF1b</t>
  </si>
  <si>
    <t>090223RF3c</t>
  </si>
  <si>
    <t>110 Pa</t>
  </si>
  <si>
    <t>Control</t>
  </si>
  <si>
    <t>Tau (Rm*Cm)/1000</t>
  </si>
  <si>
    <t xml:space="preserve">Fmax </t>
  </si>
  <si>
    <t>BC</t>
  </si>
  <si>
    <t>AVG Control no drug</t>
  </si>
  <si>
    <t>AVG Control DTX</t>
  </si>
  <si>
    <t>AVG cHet DTX</t>
  </si>
  <si>
    <t>AVG cHet no drug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</si>
</sst>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#.##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3" fontId="1" fillId="0" borderId="0" xfId="0" applyNumberFormat="1" applyFont="1"/>
    <xf numFmtId="166" fontId="1" fillId="0" borderId="0" xfId="0" applyNumberFormat="1" applyFont="1"/>
    <xf numFmtId="0" fontId="1" fillId="0" borderId="0" xfId="0" applyFont="1" applyFill="1"/>
    <xf numFmtId="165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quotePrefix="1" applyFont="1" applyFill="1"/>
    <xf numFmtId="0" fontId="1" fillId="0" borderId="0" xfId="0" quotePrefix="1" applyFont="1"/>
    <xf numFmtId="1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AO159"/>
  <sheetViews>
    <sheetView tabSelected="1" workbookViewId="0">
      <selection activeCell="A45" sqref="A45:XFD62"/>
    </sheetView>
  </sheetViews>
  <sheetFormatPr defaultColWidth="9.109375" defaultRowHeight="14.4" x14ac:dyDescent="0.3"/>
  <cols>
    <col min="1" max="1" width="11.6640625" style="1" customWidth="1"/>
    <col min="2" max="2" width="8.77734375" style="1" customWidth="1"/>
    <col min="3" max="3" width="11.88671875" style="1" customWidth="1"/>
    <col min="4" max="4" width="23.77734375" style="1" customWidth="1"/>
    <col min="5" max="5" width="6.109375" style="1" customWidth="1"/>
    <col min="6" max="6" width="11.88671875" style="1" customWidth="1"/>
    <col min="7" max="7" width="10.109375" style="1" customWidth="1"/>
    <col min="8" max="8" width="5.77734375" style="1" customWidth="1"/>
    <col min="9" max="9" width="7.109375" style="1" customWidth="1"/>
    <col min="10" max="10" width="5" style="1" customWidth="1"/>
    <col min="11" max="11" width="6.77734375" style="1" customWidth="1"/>
    <col min="12" max="12" width="6.44140625" style="1" customWidth="1"/>
    <col min="13" max="13" width="13.5546875" style="1" customWidth="1"/>
    <col min="14" max="14" width="12.33203125" style="1" customWidth="1"/>
    <col min="15" max="16" width="14" style="1" customWidth="1"/>
    <col min="17" max="17" width="10.109375" style="1" bestFit="1" customWidth="1"/>
    <col min="18" max="18" width="16.21875" style="1" customWidth="1"/>
    <col min="19" max="19" width="16.33203125" style="1" customWidth="1"/>
    <col min="20" max="20" width="18.5546875" style="1" customWidth="1"/>
    <col min="21" max="21" width="20.33203125" style="1" customWidth="1"/>
    <col min="22" max="23" width="22.88671875" style="1" customWidth="1"/>
    <col min="24" max="24" width="18.77734375" style="1" customWidth="1"/>
    <col min="25" max="26" width="13.44140625" style="1" customWidth="1"/>
    <col min="27" max="27" width="6.6640625" style="1" customWidth="1"/>
    <col min="28" max="28" width="21.5546875" style="1" customWidth="1"/>
    <col min="29" max="29" width="8.6640625" style="1" customWidth="1"/>
    <col min="30" max="30" width="41.5546875" style="1" customWidth="1"/>
    <col min="31" max="32" width="32.44140625" style="1" customWidth="1"/>
    <col min="33" max="33" width="8.33203125" style="1" customWidth="1"/>
    <col min="34" max="34" width="7.77734375" style="1" customWidth="1"/>
    <col min="35" max="35" width="29.44140625" style="1" customWidth="1"/>
    <col min="36" max="36" width="19.6640625" style="1" customWidth="1"/>
    <col min="37" max="37" width="9.109375" style="1" customWidth="1"/>
    <col min="38" max="38" width="6.21875" style="1" customWidth="1"/>
    <col min="39" max="39" width="5.33203125" style="1" customWidth="1"/>
    <col min="40" max="40" width="8" style="1" customWidth="1"/>
    <col min="41" max="41" width="15.6640625" style="1" customWidth="1"/>
    <col min="42" max="210" width="9.109375" style="1"/>
    <col min="211" max="213" width="18.44140625" style="1" customWidth="1"/>
    <col min="214" max="214" width="11.88671875" style="1" customWidth="1"/>
    <col min="215" max="216" width="10.109375" style="1" customWidth="1"/>
    <col min="217" max="218" width="13.6640625" style="1" customWidth="1"/>
    <col min="219" max="221" width="23.77734375" style="1" customWidth="1"/>
    <col min="222" max="222" width="11.77734375" style="1" customWidth="1"/>
    <col min="223" max="224" width="9.109375" style="1"/>
    <col min="225" max="225" width="21" style="1" customWidth="1"/>
    <col min="226" max="226" width="12.33203125" style="1" customWidth="1"/>
    <col min="227" max="228" width="14" style="1" customWidth="1"/>
    <col min="229" max="229" width="10.109375" style="1" bestFit="1" customWidth="1"/>
    <col min="230" max="230" width="27.21875" style="1" customWidth="1"/>
    <col min="231" max="231" width="24.5546875" style="1" customWidth="1"/>
    <col min="232" max="232" width="16.21875" style="1" customWidth="1"/>
    <col min="233" max="233" width="16.33203125" style="1" customWidth="1"/>
    <col min="234" max="234" width="18.5546875" style="1" customWidth="1"/>
    <col min="235" max="235" width="20.33203125" style="1" customWidth="1"/>
    <col min="236" max="237" width="22.88671875" style="1" customWidth="1"/>
    <col min="238" max="240" width="18" style="1" customWidth="1"/>
    <col min="241" max="241" width="17.21875" style="1" customWidth="1"/>
    <col min="242" max="242" width="16.6640625" style="1" customWidth="1"/>
    <col min="243" max="243" width="17.44140625" style="1" customWidth="1"/>
    <col min="244" max="244" width="24.21875" style="1" customWidth="1"/>
    <col min="245" max="245" width="14.5546875" style="1" customWidth="1"/>
    <col min="246" max="246" width="41.5546875" style="1" customWidth="1"/>
    <col min="247" max="248" width="32.44140625" style="1" customWidth="1"/>
    <col min="249" max="253" width="41.5546875" style="1" customWidth="1"/>
    <col min="254" max="254" width="30.44140625" style="1" customWidth="1"/>
    <col min="255" max="256" width="22.33203125" style="1" customWidth="1"/>
    <col min="257" max="257" width="9.109375" style="1"/>
    <col min="258" max="258" width="16.109375" style="1" customWidth="1"/>
    <col min="259" max="259" width="23.77734375" style="1" customWidth="1"/>
    <col min="260" max="260" width="74.44140625" style="1" customWidth="1"/>
    <col min="261" max="262" width="9.109375" style="1"/>
    <col min="263" max="263" width="14.109375" style="1" customWidth="1"/>
    <col min="264" max="264" width="12.44140625" style="1" customWidth="1"/>
    <col min="265" max="265" width="13.44140625" style="1" customWidth="1"/>
    <col min="266" max="266" width="11.109375" style="1" customWidth="1"/>
    <col min="267" max="270" width="17.33203125" style="1" customWidth="1"/>
    <col min="271" max="274" width="9.109375" style="1"/>
    <col min="275" max="276" width="22.33203125" style="1" customWidth="1"/>
    <col min="277" max="277" width="11.88671875" style="1" customWidth="1"/>
    <col min="278" max="278" width="10.109375" style="1" customWidth="1"/>
    <col min="279" max="280" width="9.109375" style="1"/>
    <col min="281" max="281" width="13.33203125" style="1" customWidth="1"/>
    <col min="282" max="282" width="11.44140625" style="1" customWidth="1"/>
    <col min="283" max="283" width="13.33203125" style="1" bestFit="1" customWidth="1"/>
    <col min="284" max="284" width="16.88671875" style="1" bestFit="1" customWidth="1"/>
    <col min="285" max="287" width="14.44140625" style="1" customWidth="1"/>
    <col min="288" max="288" width="9.88671875" style="1" customWidth="1"/>
    <col min="289" max="291" width="17" style="1" customWidth="1"/>
    <col min="292" max="292" width="9.109375" style="1"/>
    <col min="293" max="293" width="17" style="1" customWidth="1"/>
    <col min="294" max="294" width="10.44140625" style="1" customWidth="1"/>
    <col min="295" max="466" width="9.109375" style="1"/>
    <col min="467" max="469" width="18.44140625" style="1" customWidth="1"/>
    <col min="470" max="470" width="11.88671875" style="1" customWidth="1"/>
    <col min="471" max="472" width="10.109375" style="1" customWidth="1"/>
    <col min="473" max="474" width="13.6640625" style="1" customWidth="1"/>
    <col min="475" max="477" width="23.77734375" style="1" customWidth="1"/>
    <col min="478" max="478" width="11.77734375" style="1" customWidth="1"/>
    <col min="479" max="480" width="9.109375" style="1"/>
    <col min="481" max="481" width="21" style="1" customWidth="1"/>
    <col min="482" max="482" width="12.33203125" style="1" customWidth="1"/>
    <col min="483" max="484" width="14" style="1" customWidth="1"/>
    <col min="485" max="485" width="10.109375" style="1" bestFit="1" customWidth="1"/>
    <col min="486" max="486" width="27.21875" style="1" customWidth="1"/>
    <col min="487" max="487" width="24.5546875" style="1" customWidth="1"/>
    <col min="488" max="488" width="16.21875" style="1" customWidth="1"/>
    <col min="489" max="489" width="16.33203125" style="1" customWidth="1"/>
    <col min="490" max="490" width="18.5546875" style="1" customWidth="1"/>
    <col min="491" max="491" width="20.33203125" style="1" customWidth="1"/>
    <col min="492" max="493" width="22.88671875" style="1" customWidth="1"/>
    <col min="494" max="496" width="18" style="1" customWidth="1"/>
    <col min="497" max="497" width="17.21875" style="1" customWidth="1"/>
    <col min="498" max="498" width="16.6640625" style="1" customWidth="1"/>
    <col min="499" max="499" width="17.44140625" style="1" customWidth="1"/>
    <col min="500" max="500" width="24.21875" style="1" customWidth="1"/>
    <col min="501" max="501" width="14.5546875" style="1" customWidth="1"/>
    <col min="502" max="502" width="41.5546875" style="1" customWidth="1"/>
    <col min="503" max="504" width="32.44140625" style="1" customWidth="1"/>
    <col min="505" max="509" width="41.5546875" style="1" customWidth="1"/>
    <col min="510" max="510" width="30.44140625" style="1" customWidth="1"/>
    <col min="511" max="512" width="22.33203125" style="1" customWidth="1"/>
    <col min="513" max="513" width="9.109375" style="1"/>
    <col min="514" max="514" width="16.109375" style="1" customWidth="1"/>
    <col min="515" max="515" width="23.77734375" style="1" customWidth="1"/>
    <col min="516" max="516" width="74.44140625" style="1" customWidth="1"/>
    <col min="517" max="518" width="9.109375" style="1"/>
    <col min="519" max="519" width="14.109375" style="1" customWidth="1"/>
    <col min="520" max="520" width="12.44140625" style="1" customWidth="1"/>
    <col min="521" max="521" width="13.44140625" style="1" customWidth="1"/>
    <col min="522" max="522" width="11.109375" style="1" customWidth="1"/>
    <col min="523" max="526" width="17.33203125" style="1" customWidth="1"/>
    <col min="527" max="530" width="9.109375" style="1"/>
    <col min="531" max="532" width="22.33203125" style="1" customWidth="1"/>
    <col min="533" max="533" width="11.88671875" style="1" customWidth="1"/>
    <col min="534" max="534" width="10.109375" style="1" customWidth="1"/>
    <col min="535" max="536" width="9.109375" style="1"/>
    <col min="537" max="537" width="13.33203125" style="1" customWidth="1"/>
    <col min="538" max="538" width="11.44140625" style="1" customWidth="1"/>
    <col min="539" max="539" width="13.33203125" style="1" bestFit="1" customWidth="1"/>
    <col min="540" max="540" width="16.88671875" style="1" bestFit="1" customWidth="1"/>
    <col min="541" max="543" width="14.44140625" style="1" customWidth="1"/>
    <col min="544" max="544" width="9.88671875" style="1" customWidth="1"/>
    <col min="545" max="547" width="17" style="1" customWidth="1"/>
    <col min="548" max="548" width="9.109375" style="1"/>
    <col min="549" max="549" width="17" style="1" customWidth="1"/>
    <col min="550" max="550" width="10.44140625" style="1" customWidth="1"/>
    <col min="551" max="722" width="9.109375" style="1"/>
    <col min="723" max="725" width="18.44140625" style="1" customWidth="1"/>
    <col min="726" max="726" width="11.88671875" style="1" customWidth="1"/>
    <col min="727" max="728" width="10.109375" style="1" customWidth="1"/>
    <col min="729" max="730" width="13.6640625" style="1" customWidth="1"/>
    <col min="731" max="733" width="23.77734375" style="1" customWidth="1"/>
    <col min="734" max="734" width="11.77734375" style="1" customWidth="1"/>
    <col min="735" max="736" width="9.109375" style="1"/>
    <col min="737" max="737" width="21" style="1" customWidth="1"/>
    <col min="738" max="738" width="12.33203125" style="1" customWidth="1"/>
    <col min="739" max="740" width="14" style="1" customWidth="1"/>
    <col min="741" max="741" width="10.109375" style="1" bestFit="1" customWidth="1"/>
    <col min="742" max="742" width="27.21875" style="1" customWidth="1"/>
    <col min="743" max="743" width="24.5546875" style="1" customWidth="1"/>
    <col min="744" max="744" width="16.21875" style="1" customWidth="1"/>
    <col min="745" max="745" width="16.33203125" style="1" customWidth="1"/>
    <col min="746" max="746" width="18.5546875" style="1" customWidth="1"/>
    <col min="747" max="747" width="20.33203125" style="1" customWidth="1"/>
    <col min="748" max="749" width="22.88671875" style="1" customWidth="1"/>
    <col min="750" max="752" width="18" style="1" customWidth="1"/>
    <col min="753" max="753" width="17.21875" style="1" customWidth="1"/>
    <col min="754" max="754" width="16.6640625" style="1" customWidth="1"/>
    <col min="755" max="755" width="17.44140625" style="1" customWidth="1"/>
    <col min="756" max="756" width="24.21875" style="1" customWidth="1"/>
    <col min="757" max="757" width="14.5546875" style="1" customWidth="1"/>
    <col min="758" max="758" width="41.5546875" style="1" customWidth="1"/>
    <col min="759" max="760" width="32.44140625" style="1" customWidth="1"/>
    <col min="761" max="765" width="41.5546875" style="1" customWidth="1"/>
    <col min="766" max="766" width="30.44140625" style="1" customWidth="1"/>
    <col min="767" max="768" width="22.33203125" style="1" customWidth="1"/>
    <col min="769" max="769" width="9.109375" style="1"/>
    <col min="770" max="770" width="16.109375" style="1" customWidth="1"/>
    <col min="771" max="771" width="23.77734375" style="1" customWidth="1"/>
    <col min="772" max="772" width="74.44140625" style="1" customWidth="1"/>
    <col min="773" max="774" width="9.109375" style="1"/>
    <col min="775" max="775" width="14.109375" style="1" customWidth="1"/>
    <col min="776" max="776" width="12.44140625" style="1" customWidth="1"/>
    <col min="777" max="777" width="13.44140625" style="1" customWidth="1"/>
    <col min="778" max="778" width="11.109375" style="1" customWidth="1"/>
    <col min="779" max="782" width="17.33203125" style="1" customWidth="1"/>
    <col min="783" max="786" width="9.109375" style="1"/>
    <col min="787" max="788" width="22.33203125" style="1" customWidth="1"/>
    <col min="789" max="789" width="11.88671875" style="1" customWidth="1"/>
    <col min="790" max="790" width="10.109375" style="1" customWidth="1"/>
    <col min="791" max="792" width="9.109375" style="1"/>
    <col min="793" max="793" width="13.33203125" style="1" customWidth="1"/>
    <col min="794" max="794" width="11.44140625" style="1" customWidth="1"/>
    <col min="795" max="795" width="13.33203125" style="1" bestFit="1" customWidth="1"/>
    <col min="796" max="796" width="16.88671875" style="1" bestFit="1" customWidth="1"/>
    <col min="797" max="799" width="14.44140625" style="1" customWidth="1"/>
    <col min="800" max="800" width="9.88671875" style="1" customWidth="1"/>
    <col min="801" max="803" width="17" style="1" customWidth="1"/>
    <col min="804" max="804" width="9.109375" style="1"/>
    <col min="805" max="805" width="17" style="1" customWidth="1"/>
    <col min="806" max="806" width="10.44140625" style="1" customWidth="1"/>
    <col min="807" max="978" width="9.109375" style="1"/>
    <col min="979" max="981" width="18.44140625" style="1" customWidth="1"/>
    <col min="982" max="982" width="11.88671875" style="1" customWidth="1"/>
    <col min="983" max="984" width="10.109375" style="1" customWidth="1"/>
    <col min="985" max="986" width="13.6640625" style="1" customWidth="1"/>
    <col min="987" max="989" width="23.77734375" style="1" customWidth="1"/>
    <col min="990" max="990" width="11.77734375" style="1" customWidth="1"/>
    <col min="991" max="992" width="9.109375" style="1"/>
    <col min="993" max="993" width="21" style="1" customWidth="1"/>
    <col min="994" max="994" width="12.33203125" style="1" customWidth="1"/>
    <col min="995" max="996" width="14" style="1" customWidth="1"/>
    <col min="997" max="997" width="10.109375" style="1" bestFit="1" customWidth="1"/>
    <col min="998" max="998" width="27.21875" style="1" customWidth="1"/>
    <col min="999" max="999" width="24.5546875" style="1" customWidth="1"/>
    <col min="1000" max="1000" width="16.21875" style="1" customWidth="1"/>
    <col min="1001" max="1001" width="16.33203125" style="1" customWidth="1"/>
    <col min="1002" max="1002" width="18.5546875" style="1" customWidth="1"/>
    <col min="1003" max="1003" width="20.33203125" style="1" customWidth="1"/>
    <col min="1004" max="1005" width="22.88671875" style="1" customWidth="1"/>
    <col min="1006" max="1008" width="18" style="1" customWidth="1"/>
    <col min="1009" max="1009" width="17.21875" style="1" customWidth="1"/>
    <col min="1010" max="1010" width="16.6640625" style="1" customWidth="1"/>
    <col min="1011" max="1011" width="17.44140625" style="1" customWidth="1"/>
    <col min="1012" max="1012" width="24.21875" style="1" customWidth="1"/>
    <col min="1013" max="1013" width="14.5546875" style="1" customWidth="1"/>
    <col min="1014" max="1014" width="41.5546875" style="1" customWidth="1"/>
    <col min="1015" max="1016" width="32.44140625" style="1" customWidth="1"/>
    <col min="1017" max="1021" width="41.5546875" style="1" customWidth="1"/>
    <col min="1022" max="1022" width="30.44140625" style="1" customWidth="1"/>
    <col min="1023" max="1024" width="22.33203125" style="1" customWidth="1"/>
    <col min="1025" max="1025" width="9.109375" style="1"/>
    <col min="1026" max="1026" width="16.109375" style="1" customWidth="1"/>
    <col min="1027" max="1027" width="23.77734375" style="1" customWidth="1"/>
    <col min="1028" max="1028" width="74.44140625" style="1" customWidth="1"/>
    <col min="1029" max="1030" width="9.109375" style="1"/>
    <col min="1031" max="1031" width="14.109375" style="1" customWidth="1"/>
    <col min="1032" max="1032" width="12.44140625" style="1" customWidth="1"/>
    <col min="1033" max="1033" width="13.44140625" style="1" customWidth="1"/>
    <col min="1034" max="1034" width="11.109375" style="1" customWidth="1"/>
    <col min="1035" max="1038" width="17.33203125" style="1" customWidth="1"/>
    <col min="1039" max="1042" width="9.109375" style="1"/>
    <col min="1043" max="1044" width="22.33203125" style="1" customWidth="1"/>
    <col min="1045" max="1045" width="11.88671875" style="1" customWidth="1"/>
    <col min="1046" max="1046" width="10.109375" style="1" customWidth="1"/>
    <col min="1047" max="1048" width="9.109375" style="1"/>
    <col min="1049" max="1049" width="13.33203125" style="1" customWidth="1"/>
    <col min="1050" max="1050" width="11.44140625" style="1" customWidth="1"/>
    <col min="1051" max="1051" width="13.33203125" style="1" bestFit="1" customWidth="1"/>
    <col min="1052" max="1052" width="16.88671875" style="1" bestFit="1" customWidth="1"/>
    <col min="1053" max="1055" width="14.44140625" style="1" customWidth="1"/>
    <col min="1056" max="1056" width="9.88671875" style="1" customWidth="1"/>
    <col min="1057" max="1059" width="17" style="1" customWidth="1"/>
    <col min="1060" max="1060" width="9.109375" style="1"/>
    <col min="1061" max="1061" width="17" style="1" customWidth="1"/>
    <col min="1062" max="1062" width="10.44140625" style="1" customWidth="1"/>
    <col min="1063" max="1234" width="9.109375" style="1"/>
    <col min="1235" max="1237" width="18.44140625" style="1" customWidth="1"/>
    <col min="1238" max="1238" width="11.88671875" style="1" customWidth="1"/>
    <col min="1239" max="1240" width="10.109375" style="1" customWidth="1"/>
    <col min="1241" max="1242" width="13.6640625" style="1" customWidth="1"/>
    <col min="1243" max="1245" width="23.77734375" style="1" customWidth="1"/>
    <col min="1246" max="1246" width="11.77734375" style="1" customWidth="1"/>
    <col min="1247" max="1248" width="9.109375" style="1"/>
    <col min="1249" max="1249" width="21" style="1" customWidth="1"/>
    <col min="1250" max="1250" width="12.33203125" style="1" customWidth="1"/>
    <col min="1251" max="1252" width="14" style="1" customWidth="1"/>
    <col min="1253" max="1253" width="10.109375" style="1" bestFit="1" customWidth="1"/>
    <col min="1254" max="1254" width="27.21875" style="1" customWidth="1"/>
    <col min="1255" max="1255" width="24.5546875" style="1" customWidth="1"/>
    <col min="1256" max="1256" width="16.21875" style="1" customWidth="1"/>
    <col min="1257" max="1257" width="16.33203125" style="1" customWidth="1"/>
    <col min="1258" max="1258" width="18.5546875" style="1" customWidth="1"/>
    <col min="1259" max="1259" width="20.33203125" style="1" customWidth="1"/>
    <col min="1260" max="1261" width="22.88671875" style="1" customWidth="1"/>
    <col min="1262" max="1264" width="18" style="1" customWidth="1"/>
    <col min="1265" max="1265" width="17.21875" style="1" customWidth="1"/>
    <col min="1266" max="1266" width="16.6640625" style="1" customWidth="1"/>
    <col min="1267" max="1267" width="17.44140625" style="1" customWidth="1"/>
    <col min="1268" max="1268" width="24.21875" style="1" customWidth="1"/>
    <col min="1269" max="1269" width="14.5546875" style="1" customWidth="1"/>
    <col min="1270" max="1270" width="41.5546875" style="1" customWidth="1"/>
    <col min="1271" max="1272" width="32.44140625" style="1" customWidth="1"/>
    <col min="1273" max="1277" width="41.5546875" style="1" customWidth="1"/>
    <col min="1278" max="1278" width="30.44140625" style="1" customWidth="1"/>
    <col min="1279" max="1280" width="22.33203125" style="1" customWidth="1"/>
    <col min="1281" max="1281" width="9.109375" style="1"/>
    <col min="1282" max="1282" width="16.109375" style="1" customWidth="1"/>
    <col min="1283" max="1283" width="23.77734375" style="1" customWidth="1"/>
    <col min="1284" max="1284" width="74.44140625" style="1" customWidth="1"/>
    <col min="1285" max="1286" width="9.109375" style="1"/>
    <col min="1287" max="1287" width="14.109375" style="1" customWidth="1"/>
    <col min="1288" max="1288" width="12.44140625" style="1" customWidth="1"/>
    <col min="1289" max="1289" width="13.44140625" style="1" customWidth="1"/>
    <col min="1290" max="1290" width="11.109375" style="1" customWidth="1"/>
    <col min="1291" max="1294" width="17.33203125" style="1" customWidth="1"/>
    <col min="1295" max="1298" width="9.109375" style="1"/>
    <col min="1299" max="1300" width="22.33203125" style="1" customWidth="1"/>
    <col min="1301" max="1301" width="11.88671875" style="1" customWidth="1"/>
    <col min="1302" max="1302" width="10.109375" style="1" customWidth="1"/>
    <col min="1303" max="1304" width="9.109375" style="1"/>
    <col min="1305" max="1305" width="13.33203125" style="1" customWidth="1"/>
    <col min="1306" max="1306" width="11.44140625" style="1" customWidth="1"/>
    <col min="1307" max="1307" width="13.33203125" style="1" bestFit="1" customWidth="1"/>
    <col min="1308" max="1308" width="16.88671875" style="1" bestFit="1" customWidth="1"/>
    <col min="1309" max="1311" width="14.44140625" style="1" customWidth="1"/>
    <col min="1312" max="1312" width="9.88671875" style="1" customWidth="1"/>
    <col min="1313" max="1315" width="17" style="1" customWidth="1"/>
    <col min="1316" max="1316" width="9.109375" style="1"/>
    <col min="1317" max="1317" width="17" style="1" customWidth="1"/>
    <col min="1318" max="1318" width="10.44140625" style="1" customWidth="1"/>
    <col min="1319" max="1490" width="9.109375" style="1"/>
    <col min="1491" max="1493" width="18.44140625" style="1" customWidth="1"/>
    <col min="1494" max="1494" width="11.88671875" style="1" customWidth="1"/>
    <col min="1495" max="1496" width="10.109375" style="1" customWidth="1"/>
    <col min="1497" max="1498" width="13.6640625" style="1" customWidth="1"/>
    <col min="1499" max="1501" width="23.77734375" style="1" customWidth="1"/>
    <col min="1502" max="1502" width="11.77734375" style="1" customWidth="1"/>
    <col min="1503" max="1504" width="9.109375" style="1"/>
    <col min="1505" max="1505" width="21" style="1" customWidth="1"/>
    <col min="1506" max="1506" width="12.33203125" style="1" customWidth="1"/>
    <col min="1507" max="1508" width="14" style="1" customWidth="1"/>
    <col min="1509" max="1509" width="10.109375" style="1" bestFit="1" customWidth="1"/>
    <col min="1510" max="1510" width="27.21875" style="1" customWidth="1"/>
    <col min="1511" max="1511" width="24.5546875" style="1" customWidth="1"/>
    <col min="1512" max="1512" width="16.21875" style="1" customWidth="1"/>
    <col min="1513" max="1513" width="16.33203125" style="1" customWidth="1"/>
    <col min="1514" max="1514" width="18.5546875" style="1" customWidth="1"/>
    <col min="1515" max="1515" width="20.33203125" style="1" customWidth="1"/>
    <col min="1516" max="1517" width="22.88671875" style="1" customWidth="1"/>
    <col min="1518" max="1520" width="18" style="1" customWidth="1"/>
    <col min="1521" max="1521" width="17.21875" style="1" customWidth="1"/>
    <col min="1522" max="1522" width="16.6640625" style="1" customWidth="1"/>
    <col min="1523" max="1523" width="17.44140625" style="1" customWidth="1"/>
    <col min="1524" max="1524" width="24.21875" style="1" customWidth="1"/>
    <col min="1525" max="1525" width="14.5546875" style="1" customWidth="1"/>
    <col min="1526" max="1526" width="41.5546875" style="1" customWidth="1"/>
    <col min="1527" max="1528" width="32.44140625" style="1" customWidth="1"/>
    <col min="1529" max="1533" width="41.5546875" style="1" customWidth="1"/>
    <col min="1534" max="1534" width="30.44140625" style="1" customWidth="1"/>
    <col min="1535" max="1536" width="22.33203125" style="1" customWidth="1"/>
    <col min="1537" max="1537" width="9.109375" style="1"/>
    <col min="1538" max="1538" width="16.109375" style="1" customWidth="1"/>
    <col min="1539" max="1539" width="23.77734375" style="1" customWidth="1"/>
    <col min="1540" max="1540" width="74.44140625" style="1" customWidth="1"/>
    <col min="1541" max="1542" width="9.109375" style="1"/>
    <col min="1543" max="1543" width="14.109375" style="1" customWidth="1"/>
    <col min="1544" max="1544" width="12.44140625" style="1" customWidth="1"/>
    <col min="1545" max="1545" width="13.44140625" style="1" customWidth="1"/>
    <col min="1546" max="1546" width="11.109375" style="1" customWidth="1"/>
    <col min="1547" max="1550" width="17.33203125" style="1" customWidth="1"/>
    <col min="1551" max="1554" width="9.109375" style="1"/>
    <col min="1555" max="1556" width="22.33203125" style="1" customWidth="1"/>
    <col min="1557" max="1557" width="11.88671875" style="1" customWidth="1"/>
    <col min="1558" max="1558" width="10.109375" style="1" customWidth="1"/>
    <col min="1559" max="1560" width="9.109375" style="1"/>
    <col min="1561" max="1561" width="13.33203125" style="1" customWidth="1"/>
    <col min="1562" max="1562" width="11.44140625" style="1" customWidth="1"/>
    <col min="1563" max="1563" width="13.33203125" style="1" bestFit="1" customWidth="1"/>
    <col min="1564" max="1564" width="16.88671875" style="1" bestFit="1" customWidth="1"/>
    <col min="1565" max="1567" width="14.44140625" style="1" customWidth="1"/>
    <col min="1568" max="1568" width="9.88671875" style="1" customWidth="1"/>
    <col min="1569" max="1571" width="17" style="1" customWidth="1"/>
    <col min="1572" max="1572" width="9.109375" style="1"/>
    <col min="1573" max="1573" width="17" style="1" customWidth="1"/>
    <col min="1574" max="1574" width="10.44140625" style="1" customWidth="1"/>
    <col min="1575" max="1746" width="9.109375" style="1"/>
    <col min="1747" max="1749" width="18.44140625" style="1" customWidth="1"/>
    <col min="1750" max="1750" width="11.88671875" style="1" customWidth="1"/>
    <col min="1751" max="1752" width="10.109375" style="1" customWidth="1"/>
    <col min="1753" max="1754" width="13.6640625" style="1" customWidth="1"/>
    <col min="1755" max="1757" width="23.77734375" style="1" customWidth="1"/>
    <col min="1758" max="1758" width="11.77734375" style="1" customWidth="1"/>
    <col min="1759" max="1760" width="9.109375" style="1"/>
    <col min="1761" max="1761" width="21" style="1" customWidth="1"/>
    <col min="1762" max="1762" width="12.33203125" style="1" customWidth="1"/>
    <col min="1763" max="1764" width="14" style="1" customWidth="1"/>
    <col min="1765" max="1765" width="10.109375" style="1" bestFit="1" customWidth="1"/>
    <col min="1766" max="1766" width="27.21875" style="1" customWidth="1"/>
    <col min="1767" max="1767" width="24.5546875" style="1" customWidth="1"/>
    <col min="1768" max="1768" width="16.21875" style="1" customWidth="1"/>
    <col min="1769" max="1769" width="16.33203125" style="1" customWidth="1"/>
    <col min="1770" max="1770" width="18.5546875" style="1" customWidth="1"/>
    <col min="1771" max="1771" width="20.33203125" style="1" customWidth="1"/>
    <col min="1772" max="1773" width="22.88671875" style="1" customWidth="1"/>
    <col min="1774" max="1776" width="18" style="1" customWidth="1"/>
    <col min="1777" max="1777" width="17.21875" style="1" customWidth="1"/>
    <col min="1778" max="1778" width="16.6640625" style="1" customWidth="1"/>
    <col min="1779" max="1779" width="17.44140625" style="1" customWidth="1"/>
    <col min="1780" max="1780" width="24.21875" style="1" customWidth="1"/>
    <col min="1781" max="1781" width="14.5546875" style="1" customWidth="1"/>
    <col min="1782" max="1782" width="41.5546875" style="1" customWidth="1"/>
    <col min="1783" max="1784" width="32.44140625" style="1" customWidth="1"/>
    <col min="1785" max="1789" width="41.5546875" style="1" customWidth="1"/>
    <col min="1790" max="1790" width="30.44140625" style="1" customWidth="1"/>
    <col min="1791" max="1792" width="22.33203125" style="1" customWidth="1"/>
    <col min="1793" max="1793" width="9.109375" style="1"/>
    <col min="1794" max="1794" width="16.109375" style="1" customWidth="1"/>
    <col min="1795" max="1795" width="23.77734375" style="1" customWidth="1"/>
    <col min="1796" max="1796" width="74.44140625" style="1" customWidth="1"/>
    <col min="1797" max="1798" width="9.109375" style="1"/>
    <col min="1799" max="1799" width="14.109375" style="1" customWidth="1"/>
    <col min="1800" max="1800" width="12.44140625" style="1" customWidth="1"/>
    <col min="1801" max="1801" width="13.44140625" style="1" customWidth="1"/>
    <col min="1802" max="1802" width="11.109375" style="1" customWidth="1"/>
    <col min="1803" max="1806" width="17.33203125" style="1" customWidth="1"/>
    <col min="1807" max="1810" width="9.109375" style="1"/>
    <col min="1811" max="1812" width="22.33203125" style="1" customWidth="1"/>
    <col min="1813" max="1813" width="11.88671875" style="1" customWidth="1"/>
    <col min="1814" max="1814" width="10.109375" style="1" customWidth="1"/>
    <col min="1815" max="1816" width="9.109375" style="1"/>
    <col min="1817" max="1817" width="13.33203125" style="1" customWidth="1"/>
    <col min="1818" max="1818" width="11.44140625" style="1" customWidth="1"/>
    <col min="1819" max="1819" width="13.33203125" style="1" bestFit="1" customWidth="1"/>
    <col min="1820" max="1820" width="16.88671875" style="1" bestFit="1" customWidth="1"/>
    <col min="1821" max="1823" width="14.44140625" style="1" customWidth="1"/>
    <col min="1824" max="1824" width="9.88671875" style="1" customWidth="1"/>
    <col min="1825" max="1827" width="17" style="1" customWidth="1"/>
    <col min="1828" max="1828" width="9.109375" style="1"/>
    <col min="1829" max="1829" width="17" style="1" customWidth="1"/>
    <col min="1830" max="1830" width="10.44140625" style="1" customWidth="1"/>
    <col min="1831" max="2002" width="9.109375" style="1"/>
    <col min="2003" max="2005" width="18.44140625" style="1" customWidth="1"/>
    <col min="2006" max="2006" width="11.88671875" style="1" customWidth="1"/>
    <col min="2007" max="2008" width="10.109375" style="1" customWidth="1"/>
    <col min="2009" max="2010" width="13.6640625" style="1" customWidth="1"/>
    <col min="2011" max="2013" width="23.77734375" style="1" customWidth="1"/>
    <col min="2014" max="2014" width="11.77734375" style="1" customWidth="1"/>
    <col min="2015" max="2016" width="9.109375" style="1"/>
    <col min="2017" max="2017" width="21" style="1" customWidth="1"/>
    <col min="2018" max="2018" width="12.33203125" style="1" customWidth="1"/>
    <col min="2019" max="2020" width="14" style="1" customWidth="1"/>
    <col min="2021" max="2021" width="10.109375" style="1" bestFit="1" customWidth="1"/>
    <col min="2022" max="2022" width="27.21875" style="1" customWidth="1"/>
    <col min="2023" max="2023" width="24.5546875" style="1" customWidth="1"/>
    <col min="2024" max="2024" width="16.21875" style="1" customWidth="1"/>
    <col min="2025" max="2025" width="16.33203125" style="1" customWidth="1"/>
    <col min="2026" max="2026" width="18.5546875" style="1" customWidth="1"/>
    <col min="2027" max="2027" width="20.33203125" style="1" customWidth="1"/>
    <col min="2028" max="2029" width="22.88671875" style="1" customWidth="1"/>
    <col min="2030" max="2032" width="18" style="1" customWidth="1"/>
    <col min="2033" max="2033" width="17.21875" style="1" customWidth="1"/>
    <col min="2034" max="2034" width="16.6640625" style="1" customWidth="1"/>
    <col min="2035" max="2035" width="17.44140625" style="1" customWidth="1"/>
    <col min="2036" max="2036" width="24.21875" style="1" customWidth="1"/>
    <col min="2037" max="2037" width="14.5546875" style="1" customWidth="1"/>
    <col min="2038" max="2038" width="41.5546875" style="1" customWidth="1"/>
    <col min="2039" max="2040" width="32.44140625" style="1" customWidth="1"/>
    <col min="2041" max="2045" width="41.5546875" style="1" customWidth="1"/>
    <col min="2046" max="2046" width="30.44140625" style="1" customWidth="1"/>
    <col min="2047" max="2048" width="22.33203125" style="1" customWidth="1"/>
    <col min="2049" max="2049" width="9.109375" style="1"/>
    <col min="2050" max="2050" width="16.109375" style="1" customWidth="1"/>
    <col min="2051" max="2051" width="23.77734375" style="1" customWidth="1"/>
    <col min="2052" max="2052" width="74.44140625" style="1" customWidth="1"/>
    <col min="2053" max="2054" width="9.109375" style="1"/>
    <col min="2055" max="2055" width="14.109375" style="1" customWidth="1"/>
    <col min="2056" max="2056" width="12.44140625" style="1" customWidth="1"/>
    <col min="2057" max="2057" width="13.44140625" style="1" customWidth="1"/>
    <col min="2058" max="2058" width="11.109375" style="1" customWidth="1"/>
    <col min="2059" max="2062" width="17.33203125" style="1" customWidth="1"/>
    <col min="2063" max="2066" width="9.109375" style="1"/>
    <col min="2067" max="2068" width="22.33203125" style="1" customWidth="1"/>
    <col min="2069" max="2069" width="11.88671875" style="1" customWidth="1"/>
    <col min="2070" max="2070" width="10.109375" style="1" customWidth="1"/>
    <col min="2071" max="2072" width="9.109375" style="1"/>
    <col min="2073" max="2073" width="13.33203125" style="1" customWidth="1"/>
    <col min="2074" max="2074" width="11.44140625" style="1" customWidth="1"/>
    <col min="2075" max="2075" width="13.33203125" style="1" bestFit="1" customWidth="1"/>
    <col min="2076" max="2076" width="16.88671875" style="1" bestFit="1" customWidth="1"/>
    <col min="2077" max="2079" width="14.44140625" style="1" customWidth="1"/>
    <col min="2080" max="2080" width="9.88671875" style="1" customWidth="1"/>
    <col min="2081" max="2083" width="17" style="1" customWidth="1"/>
    <col min="2084" max="2084" width="9.109375" style="1"/>
    <col min="2085" max="2085" width="17" style="1" customWidth="1"/>
    <col min="2086" max="2086" width="10.44140625" style="1" customWidth="1"/>
    <col min="2087" max="2258" width="9.109375" style="1"/>
    <col min="2259" max="2261" width="18.44140625" style="1" customWidth="1"/>
    <col min="2262" max="2262" width="11.88671875" style="1" customWidth="1"/>
    <col min="2263" max="2264" width="10.109375" style="1" customWidth="1"/>
    <col min="2265" max="2266" width="13.6640625" style="1" customWidth="1"/>
    <col min="2267" max="2269" width="23.77734375" style="1" customWidth="1"/>
    <col min="2270" max="2270" width="11.77734375" style="1" customWidth="1"/>
    <col min="2271" max="2272" width="9.109375" style="1"/>
    <col min="2273" max="2273" width="21" style="1" customWidth="1"/>
    <col min="2274" max="2274" width="12.33203125" style="1" customWidth="1"/>
    <col min="2275" max="2276" width="14" style="1" customWidth="1"/>
    <col min="2277" max="2277" width="10.109375" style="1" bestFit="1" customWidth="1"/>
    <col min="2278" max="2278" width="27.21875" style="1" customWidth="1"/>
    <col min="2279" max="2279" width="24.5546875" style="1" customWidth="1"/>
    <col min="2280" max="2280" width="16.21875" style="1" customWidth="1"/>
    <col min="2281" max="2281" width="16.33203125" style="1" customWidth="1"/>
    <col min="2282" max="2282" width="18.5546875" style="1" customWidth="1"/>
    <col min="2283" max="2283" width="20.33203125" style="1" customWidth="1"/>
    <col min="2284" max="2285" width="22.88671875" style="1" customWidth="1"/>
    <col min="2286" max="2288" width="18" style="1" customWidth="1"/>
    <col min="2289" max="2289" width="17.21875" style="1" customWidth="1"/>
    <col min="2290" max="2290" width="16.6640625" style="1" customWidth="1"/>
    <col min="2291" max="2291" width="17.44140625" style="1" customWidth="1"/>
    <col min="2292" max="2292" width="24.21875" style="1" customWidth="1"/>
    <col min="2293" max="2293" width="14.5546875" style="1" customWidth="1"/>
    <col min="2294" max="2294" width="41.5546875" style="1" customWidth="1"/>
    <col min="2295" max="2296" width="32.44140625" style="1" customWidth="1"/>
    <col min="2297" max="2301" width="41.5546875" style="1" customWidth="1"/>
    <col min="2302" max="2302" width="30.44140625" style="1" customWidth="1"/>
    <col min="2303" max="2304" width="22.33203125" style="1" customWidth="1"/>
    <col min="2305" max="2305" width="9.109375" style="1"/>
    <col min="2306" max="2306" width="16.109375" style="1" customWidth="1"/>
    <col min="2307" max="2307" width="23.77734375" style="1" customWidth="1"/>
    <col min="2308" max="2308" width="74.44140625" style="1" customWidth="1"/>
    <col min="2309" max="2310" width="9.109375" style="1"/>
    <col min="2311" max="2311" width="14.109375" style="1" customWidth="1"/>
    <col min="2312" max="2312" width="12.44140625" style="1" customWidth="1"/>
    <col min="2313" max="2313" width="13.44140625" style="1" customWidth="1"/>
    <col min="2314" max="2314" width="11.109375" style="1" customWidth="1"/>
    <col min="2315" max="2318" width="17.33203125" style="1" customWidth="1"/>
    <col min="2319" max="2322" width="9.109375" style="1"/>
    <col min="2323" max="2324" width="22.33203125" style="1" customWidth="1"/>
    <col min="2325" max="2325" width="11.88671875" style="1" customWidth="1"/>
    <col min="2326" max="2326" width="10.109375" style="1" customWidth="1"/>
    <col min="2327" max="2328" width="9.109375" style="1"/>
    <col min="2329" max="2329" width="13.33203125" style="1" customWidth="1"/>
    <col min="2330" max="2330" width="11.44140625" style="1" customWidth="1"/>
    <col min="2331" max="2331" width="13.33203125" style="1" bestFit="1" customWidth="1"/>
    <col min="2332" max="2332" width="16.88671875" style="1" bestFit="1" customWidth="1"/>
    <col min="2333" max="2335" width="14.44140625" style="1" customWidth="1"/>
    <col min="2336" max="2336" width="9.88671875" style="1" customWidth="1"/>
    <col min="2337" max="2339" width="17" style="1" customWidth="1"/>
    <col min="2340" max="2340" width="9.109375" style="1"/>
    <col min="2341" max="2341" width="17" style="1" customWidth="1"/>
    <col min="2342" max="2342" width="10.44140625" style="1" customWidth="1"/>
    <col min="2343" max="2514" width="9.109375" style="1"/>
    <col min="2515" max="2517" width="18.44140625" style="1" customWidth="1"/>
    <col min="2518" max="2518" width="11.88671875" style="1" customWidth="1"/>
    <col min="2519" max="2520" width="10.109375" style="1" customWidth="1"/>
    <col min="2521" max="2522" width="13.6640625" style="1" customWidth="1"/>
    <col min="2523" max="2525" width="23.77734375" style="1" customWidth="1"/>
    <col min="2526" max="2526" width="11.77734375" style="1" customWidth="1"/>
    <col min="2527" max="2528" width="9.109375" style="1"/>
    <col min="2529" max="2529" width="21" style="1" customWidth="1"/>
    <col min="2530" max="2530" width="12.33203125" style="1" customWidth="1"/>
    <col min="2531" max="2532" width="14" style="1" customWidth="1"/>
    <col min="2533" max="2533" width="10.109375" style="1" bestFit="1" customWidth="1"/>
    <col min="2534" max="2534" width="27.21875" style="1" customWidth="1"/>
    <col min="2535" max="2535" width="24.5546875" style="1" customWidth="1"/>
    <col min="2536" max="2536" width="16.21875" style="1" customWidth="1"/>
    <col min="2537" max="2537" width="16.33203125" style="1" customWidth="1"/>
    <col min="2538" max="2538" width="18.5546875" style="1" customWidth="1"/>
    <col min="2539" max="2539" width="20.33203125" style="1" customWidth="1"/>
    <col min="2540" max="2541" width="22.88671875" style="1" customWidth="1"/>
    <col min="2542" max="2544" width="18" style="1" customWidth="1"/>
    <col min="2545" max="2545" width="17.21875" style="1" customWidth="1"/>
    <col min="2546" max="2546" width="16.6640625" style="1" customWidth="1"/>
    <col min="2547" max="2547" width="17.44140625" style="1" customWidth="1"/>
    <col min="2548" max="2548" width="24.21875" style="1" customWidth="1"/>
    <col min="2549" max="2549" width="14.5546875" style="1" customWidth="1"/>
    <col min="2550" max="2550" width="41.5546875" style="1" customWidth="1"/>
    <col min="2551" max="2552" width="32.44140625" style="1" customWidth="1"/>
    <col min="2553" max="2557" width="41.5546875" style="1" customWidth="1"/>
    <col min="2558" max="2558" width="30.44140625" style="1" customWidth="1"/>
    <col min="2559" max="2560" width="22.33203125" style="1" customWidth="1"/>
    <col min="2561" max="2561" width="9.109375" style="1"/>
    <col min="2562" max="2562" width="16.109375" style="1" customWidth="1"/>
    <col min="2563" max="2563" width="23.77734375" style="1" customWidth="1"/>
    <col min="2564" max="2564" width="74.44140625" style="1" customWidth="1"/>
    <col min="2565" max="2566" width="9.109375" style="1"/>
    <col min="2567" max="2567" width="14.109375" style="1" customWidth="1"/>
    <col min="2568" max="2568" width="12.44140625" style="1" customWidth="1"/>
    <col min="2569" max="2569" width="13.44140625" style="1" customWidth="1"/>
    <col min="2570" max="2570" width="11.109375" style="1" customWidth="1"/>
    <col min="2571" max="2574" width="17.33203125" style="1" customWidth="1"/>
    <col min="2575" max="2578" width="9.109375" style="1"/>
    <col min="2579" max="2580" width="22.33203125" style="1" customWidth="1"/>
    <col min="2581" max="2581" width="11.88671875" style="1" customWidth="1"/>
    <col min="2582" max="2582" width="10.109375" style="1" customWidth="1"/>
    <col min="2583" max="2584" width="9.109375" style="1"/>
    <col min="2585" max="2585" width="13.33203125" style="1" customWidth="1"/>
    <col min="2586" max="2586" width="11.44140625" style="1" customWidth="1"/>
    <col min="2587" max="2587" width="13.33203125" style="1" bestFit="1" customWidth="1"/>
    <col min="2588" max="2588" width="16.88671875" style="1" bestFit="1" customWidth="1"/>
    <col min="2589" max="2591" width="14.44140625" style="1" customWidth="1"/>
    <col min="2592" max="2592" width="9.88671875" style="1" customWidth="1"/>
    <col min="2593" max="2595" width="17" style="1" customWidth="1"/>
    <col min="2596" max="2596" width="9.109375" style="1"/>
    <col min="2597" max="2597" width="17" style="1" customWidth="1"/>
    <col min="2598" max="2598" width="10.44140625" style="1" customWidth="1"/>
    <col min="2599" max="2770" width="9.109375" style="1"/>
    <col min="2771" max="2773" width="18.44140625" style="1" customWidth="1"/>
    <col min="2774" max="2774" width="11.88671875" style="1" customWidth="1"/>
    <col min="2775" max="2776" width="10.109375" style="1" customWidth="1"/>
    <col min="2777" max="2778" width="13.6640625" style="1" customWidth="1"/>
    <col min="2779" max="2781" width="23.77734375" style="1" customWidth="1"/>
    <col min="2782" max="2782" width="11.77734375" style="1" customWidth="1"/>
    <col min="2783" max="2784" width="9.109375" style="1"/>
    <col min="2785" max="2785" width="21" style="1" customWidth="1"/>
    <col min="2786" max="2786" width="12.33203125" style="1" customWidth="1"/>
    <col min="2787" max="2788" width="14" style="1" customWidth="1"/>
    <col min="2789" max="2789" width="10.109375" style="1" bestFit="1" customWidth="1"/>
    <col min="2790" max="2790" width="27.21875" style="1" customWidth="1"/>
    <col min="2791" max="2791" width="24.5546875" style="1" customWidth="1"/>
    <col min="2792" max="2792" width="16.21875" style="1" customWidth="1"/>
    <col min="2793" max="2793" width="16.33203125" style="1" customWidth="1"/>
    <col min="2794" max="2794" width="18.5546875" style="1" customWidth="1"/>
    <col min="2795" max="2795" width="20.33203125" style="1" customWidth="1"/>
    <col min="2796" max="2797" width="22.88671875" style="1" customWidth="1"/>
    <col min="2798" max="2800" width="18" style="1" customWidth="1"/>
    <col min="2801" max="2801" width="17.21875" style="1" customWidth="1"/>
    <col min="2802" max="2802" width="16.6640625" style="1" customWidth="1"/>
    <col min="2803" max="2803" width="17.44140625" style="1" customWidth="1"/>
    <col min="2804" max="2804" width="24.21875" style="1" customWidth="1"/>
    <col min="2805" max="2805" width="14.5546875" style="1" customWidth="1"/>
    <col min="2806" max="2806" width="41.5546875" style="1" customWidth="1"/>
    <col min="2807" max="2808" width="32.44140625" style="1" customWidth="1"/>
    <col min="2809" max="2813" width="41.5546875" style="1" customWidth="1"/>
    <col min="2814" max="2814" width="30.44140625" style="1" customWidth="1"/>
    <col min="2815" max="2816" width="22.33203125" style="1" customWidth="1"/>
    <col min="2817" max="2817" width="9.109375" style="1"/>
    <col min="2818" max="2818" width="16.109375" style="1" customWidth="1"/>
    <col min="2819" max="2819" width="23.77734375" style="1" customWidth="1"/>
    <col min="2820" max="2820" width="74.44140625" style="1" customWidth="1"/>
    <col min="2821" max="2822" width="9.109375" style="1"/>
    <col min="2823" max="2823" width="14.109375" style="1" customWidth="1"/>
    <col min="2824" max="2824" width="12.44140625" style="1" customWidth="1"/>
    <col min="2825" max="2825" width="13.44140625" style="1" customWidth="1"/>
    <col min="2826" max="2826" width="11.109375" style="1" customWidth="1"/>
    <col min="2827" max="2830" width="17.33203125" style="1" customWidth="1"/>
    <col min="2831" max="2834" width="9.109375" style="1"/>
    <col min="2835" max="2836" width="22.33203125" style="1" customWidth="1"/>
    <col min="2837" max="2837" width="11.88671875" style="1" customWidth="1"/>
    <col min="2838" max="2838" width="10.109375" style="1" customWidth="1"/>
    <col min="2839" max="2840" width="9.109375" style="1"/>
    <col min="2841" max="2841" width="13.33203125" style="1" customWidth="1"/>
    <col min="2842" max="2842" width="11.44140625" style="1" customWidth="1"/>
    <col min="2843" max="2843" width="13.33203125" style="1" bestFit="1" customWidth="1"/>
    <col min="2844" max="2844" width="16.88671875" style="1" bestFit="1" customWidth="1"/>
    <col min="2845" max="2847" width="14.44140625" style="1" customWidth="1"/>
    <col min="2848" max="2848" width="9.88671875" style="1" customWidth="1"/>
    <col min="2849" max="2851" width="17" style="1" customWidth="1"/>
    <col min="2852" max="2852" width="9.109375" style="1"/>
    <col min="2853" max="2853" width="17" style="1" customWidth="1"/>
    <col min="2854" max="2854" width="10.44140625" style="1" customWidth="1"/>
    <col min="2855" max="3026" width="9.109375" style="1"/>
    <col min="3027" max="3029" width="18.44140625" style="1" customWidth="1"/>
    <col min="3030" max="3030" width="11.88671875" style="1" customWidth="1"/>
    <col min="3031" max="3032" width="10.109375" style="1" customWidth="1"/>
    <col min="3033" max="3034" width="13.6640625" style="1" customWidth="1"/>
    <col min="3035" max="3037" width="23.77734375" style="1" customWidth="1"/>
    <col min="3038" max="3038" width="11.77734375" style="1" customWidth="1"/>
    <col min="3039" max="3040" width="9.109375" style="1"/>
    <col min="3041" max="3041" width="21" style="1" customWidth="1"/>
    <col min="3042" max="3042" width="12.33203125" style="1" customWidth="1"/>
    <col min="3043" max="3044" width="14" style="1" customWidth="1"/>
    <col min="3045" max="3045" width="10.109375" style="1" bestFit="1" customWidth="1"/>
    <col min="3046" max="3046" width="27.21875" style="1" customWidth="1"/>
    <col min="3047" max="3047" width="24.5546875" style="1" customWidth="1"/>
    <col min="3048" max="3048" width="16.21875" style="1" customWidth="1"/>
    <col min="3049" max="3049" width="16.33203125" style="1" customWidth="1"/>
    <col min="3050" max="3050" width="18.5546875" style="1" customWidth="1"/>
    <col min="3051" max="3051" width="20.33203125" style="1" customWidth="1"/>
    <col min="3052" max="3053" width="22.88671875" style="1" customWidth="1"/>
    <col min="3054" max="3056" width="18" style="1" customWidth="1"/>
    <col min="3057" max="3057" width="17.21875" style="1" customWidth="1"/>
    <col min="3058" max="3058" width="16.6640625" style="1" customWidth="1"/>
    <col min="3059" max="3059" width="17.44140625" style="1" customWidth="1"/>
    <col min="3060" max="3060" width="24.21875" style="1" customWidth="1"/>
    <col min="3061" max="3061" width="14.5546875" style="1" customWidth="1"/>
    <col min="3062" max="3062" width="41.5546875" style="1" customWidth="1"/>
    <col min="3063" max="3064" width="32.44140625" style="1" customWidth="1"/>
    <col min="3065" max="3069" width="41.5546875" style="1" customWidth="1"/>
    <col min="3070" max="3070" width="30.44140625" style="1" customWidth="1"/>
    <col min="3071" max="3072" width="22.33203125" style="1" customWidth="1"/>
    <col min="3073" max="3073" width="9.109375" style="1"/>
    <col min="3074" max="3074" width="16.109375" style="1" customWidth="1"/>
    <col min="3075" max="3075" width="23.77734375" style="1" customWidth="1"/>
    <col min="3076" max="3076" width="74.44140625" style="1" customWidth="1"/>
    <col min="3077" max="3078" width="9.109375" style="1"/>
    <col min="3079" max="3079" width="14.109375" style="1" customWidth="1"/>
    <col min="3080" max="3080" width="12.44140625" style="1" customWidth="1"/>
    <col min="3081" max="3081" width="13.44140625" style="1" customWidth="1"/>
    <col min="3082" max="3082" width="11.109375" style="1" customWidth="1"/>
    <col min="3083" max="3086" width="17.33203125" style="1" customWidth="1"/>
    <col min="3087" max="3090" width="9.109375" style="1"/>
    <col min="3091" max="3092" width="22.33203125" style="1" customWidth="1"/>
    <col min="3093" max="3093" width="11.88671875" style="1" customWidth="1"/>
    <col min="3094" max="3094" width="10.109375" style="1" customWidth="1"/>
    <col min="3095" max="3096" width="9.109375" style="1"/>
    <col min="3097" max="3097" width="13.33203125" style="1" customWidth="1"/>
    <col min="3098" max="3098" width="11.44140625" style="1" customWidth="1"/>
    <col min="3099" max="3099" width="13.33203125" style="1" bestFit="1" customWidth="1"/>
    <col min="3100" max="3100" width="16.88671875" style="1" bestFit="1" customWidth="1"/>
    <col min="3101" max="3103" width="14.44140625" style="1" customWidth="1"/>
    <col min="3104" max="3104" width="9.88671875" style="1" customWidth="1"/>
    <col min="3105" max="3107" width="17" style="1" customWidth="1"/>
    <col min="3108" max="3108" width="9.109375" style="1"/>
    <col min="3109" max="3109" width="17" style="1" customWidth="1"/>
    <col min="3110" max="3110" width="10.44140625" style="1" customWidth="1"/>
    <col min="3111" max="3282" width="9.109375" style="1"/>
    <col min="3283" max="3285" width="18.44140625" style="1" customWidth="1"/>
    <col min="3286" max="3286" width="11.88671875" style="1" customWidth="1"/>
    <col min="3287" max="3288" width="10.109375" style="1" customWidth="1"/>
    <col min="3289" max="3290" width="13.6640625" style="1" customWidth="1"/>
    <col min="3291" max="3293" width="23.77734375" style="1" customWidth="1"/>
    <col min="3294" max="3294" width="11.77734375" style="1" customWidth="1"/>
    <col min="3295" max="3296" width="9.109375" style="1"/>
    <col min="3297" max="3297" width="21" style="1" customWidth="1"/>
    <col min="3298" max="3298" width="12.33203125" style="1" customWidth="1"/>
    <col min="3299" max="3300" width="14" style="1" customWidth="1"/>
    <col min="3301" max="3301" width="10.109375" style="1" bestFit="1" customWidth="1"/>
    <col min="3302" max="3302" width="27.21875" style="1" customWidth="1"/>
    <col min="3303" max="3303" width="24.5546875" style="1" customWidth="1"/>
    <col min="3304" max="3304" width="16.21875" style="1" customWidth="1"/>
    <col min="3305" max="3305" width="16.33203125" style="1" customWidth="1"/>
    <col min="3306" max="3306" width="18.5546875" style="1" customWidth="1"/>
    <col min="3307" max="3307" width="20.33203125" style="1" customWidth="1"/>
    <col min="3308" max="3309" width="22.88671875" style="1" customWidth="1"/>
    <col min="3310" max="3312" width="18" style="1" customWidth="1"/>
    <col min="3313" max="3313" width="17.21875" style="1" customWidth="1"/>
    <col min="3314" max="3314" width="16.6640625" style="1" customWidth="1"/>
    <col min="3315" max="3315" width="17.44140625" style="1" customWidth="1"/>
    <col min="3316" max="3316" width="24.21875" style="1" customWidth="1"/>
    <col min="3317" max="3317" width="14.5546875" style="1" customWidth="1"/>
    <col min="3318" max="3318" width="41.5546875" style="1" customWidth="1"/>
    <col min="3319" max="3320" width="32.44140625" style="1" customWidth="1"/>
    <col min="3321" max="3325" width="41.5546875" style="1" customWidth="1"/>
    <col min="3326" max="3326" width="30.44140625" style="1" customWidth="1"/>
    <col min="3327" max="3328" width="22.33203125" style="1" customWidth="1"/>
    <col min="3329" max="3329" width="9.109375" style="1"/>
    <col min="3330" max="3330" width="16.109375" style="1" customWidth="1"/>
    <col min="3331" max="3331" width="23.77734375" style="1" customWidth="1"/>
    <col min="3332" max="3332" width="74.44140625" style="1" customWidth="1"/>
    <col min="3333" max="3334" width="9.109375" style="1"/>
    <col min="3335" max="3335" width="14.109375" style="1" customWidth="1"/>
    <col min="3336" max="3336" width="12.44140625" style="1" customWidth="1"/>
    <col min="3337" max="3337" width="13.44140625" style="1" customWidth="1"/>
    <col min="3338" max="3338" width="11.109375" style="1" customWidth="1"/>
    <col min="3339" max="3342" width="17.33203125" style="1" customWidth="1"/>
    <col min="3343" max="3346" width="9.109375" style="1"/>
    <col min="3347" max="3348" width="22.33203125" style="1" customWidth="1"/>
    <col min="3349" max="3349" width="11.88671875" style="1" customWidth="1"/>
    <col min="3350" max="3350" width="10.109375" style="1" customWidth="1"/>
    <col min="3351" max="3352" width="9.109375" style="1"/>
    <col min="3353" max="3353" width="13.33203125" style="1" customWidth="1"/>
    <col min="3354" max="3354" width="11.44140625" style="1" customWidth="1"/>
    <col min="3355" max="3355" width="13.33203125" style="1" bestFit="1" customWidth="1"/>
    <col min="3356" max="3356" width="16.88671875" style="1" bestFit="1" customWidth="1"/>
    <col min="3357" max="3359" width="14.44140625" style="1" customWidth="1"/>
    <col min="3360" max="3360" width="9.88671875" style="1" customWidth="1"/>
    <col min="3361" max="3363" width="17" style="1" customWidth="1"/>
    <col min="3364" max="3364" width="9.109375" style="1"/>
    <col min="3365" max="3365" width="17" style="1" customWidth="1"/>
    <col min="3366" max="3366" width="10.44140625" style="1" customWidth="1"/>
    <col min="3367" max="3538" width="9.109375" style="1"/>
    <col min="3539" max="3541" width="18.44140625" style="1" customWidth="1"/>
    <col min="3542" max="3542" width="11.88671875" style="1" customWidth="1"/>
    <col min="3543" max="3544" width="10.109375" style="1" customWidth="1"/>
    <col min="3545" max="3546" width="13.6640625" style="1" customWidth="1"/>
    <col min="3547" max="3549" width="23.77734375" style="1" customWidth="1"/>
    <col min="3550" max="3550" width="11.77734375" style="1" customWidth="1"/>
    <col min="3551" max="3552" width="9.109375" style="1"/>
    <col min="3553" max="3553" width="21" style="1" customWidth="1"/>
    <col min="3554" max="3554" width="12.33203125" style="1" customWidth="1"/>
    <col min="3555" max="3556" width="14" style="1" customWidth="1"/>
    <col min="3557" max="3557" width="10.109375" style="1" bestFit="1" customWidth="1"/>
    <col min="3558" max="3558" width="27.21875" style="1" customWidth="1"/>
    <col min="3559" max="3559" width="24.5546875" style="1" customWidth="1"/>
    <col min="3560" max="3560" width="16.21875" style="1" customWidth="1"/>
    <col min="3561" max="3561" width="16.33203125" style="1" customWidth="1"/>
    <col min="3562" max="3562" width="18.5546875" style="1" customWidth="1"/>
    <col min="3563" max="3563" width="20.33203125" style="1" customWidth="1"/>
    <col min="3564" max="3565" width="22.88671875" style="1" customWidth="1"/>
    <col min="3566" max="3568" width="18" style="1" customWidth="1"/>
    <col min="3569" max="3569" width="17.21875" style="1" customWidth="1"/>
    <col min="3570" max="3570" width="16.6640625" style="1" customWidth="1"/>
    <col min="3571" max="3571" width="17.44140625" style="1" customWidth="1"/>
    <col min="3572" max="3572" width="24.21875" style="1" customWidth="1"/>
    <col min="3573" max="3573" width="14.5546875" style="1" customWidth="1"/>
    <col min="3574" max="3574" width="41.5546875" style="1" customWidth="1"/>
    <col min="3575" max="3576" width="32.44140625" style="1" customWidth="1"/>
    <col min="3577" max="3581" width="41.5546875" style="1" customWidth="1"/>
    <col min="3582" max="3582" width="30.44140625" style="1" customWidth="1"/>
    <col min="3583" max="3584" width="22.33203125" style="1" customWidth="1"/>
    <col min="3585" max="3585" width="9.109375" style="1"/>
    <col min="3586" max="3586" width="16.109375" style="1" customWidth="1"/>
    <col min="3587" max="3587" width="23.77734375" style="1" customWidth="1"/>
    <col min="3588" max="3588" width="74.44140625" style="1" customWidth="1"/>
    <col min="3589" max="3590" width="9.109375" style="1"/>
    <col min="3591" max="3591" width="14.109375" style="1" customWidth="1"/>
    <col min="3592" max="3592" width="12.44140625" style="1" customWidth="1"/>
    <col min="3593" max="3593" width="13.44140625" style="1" customWidth="1"/>
    <col min="3594" max="3594" width="11.109375" style="1" customWidth="1"/>
    <col min="3595" max="3598" width="17.33203125" style="1" customWidth="1"/>
    <col min="3599" max="3602" width="9.109375" style="1"/>
    <col min="3603" max="3604" width="22.33203125" style="1" customWidth="1"/>
    <col min="3605" max="3605" width="11.88671875" style="1" customWidth="1"/>
    <col min="3606" max="3606" width="10.109375" style="1" customWidth="1"/>
    <col min="3607" max="3608" width="9.109375" style="1"/>
    <col min="3609" max="3609" width="13.33203125" style="1" customWidth="1"/>
    <col min="3610" max="3610" width="11.44140625" style="1" customWidth="1"/>
    <col min="3611" max="3611" width="13.33203125" style="1" bestFit="1" customWidth="1"/>
    <col min="3612" max="3612" width="16.88671875" style="1" bestFit="1" customWidth="1"/>
    <col min="3613" max="3615" width="14.44140625" style="1" customWidth="1"/>
    <col min="3616" max="3616" width="9.88671875" style="1" customWidth="1"/>
    <col min="3617" max="3619" width="17" style="1" customWidth="1"/>
    <col min="3620" max="3620" width="9.109375" style="1"/>
    <col min="3621" max="3621" width="17" style="1" customWidth="1"/>
    <col min="3622" max="3622" width="10.44140625" style="1" customWidth="1"/>
    <col min="3623" max="3794" width="9.109375" style="1"/>
    <col min="3795" max="3797" width="18.44140625" style="1" customWidth="1"/>
    <col min="3798" max="3798" width="11.88671875" style="1" customWidth="1"/>
    <col min="3799" max="3800" width="10.109375" style="1" customWidth="1"/>
    <col min="3801" max="3802" width="13.6640625" style="1" customWidth="1"/>
    <col min="3803" max="3805" width="23.77734375" style="1" customWidth="1"/>
    <col min="3806" max="3806" width="11.77734375" style="1" customWidth="1"/>
    <col min="3807" max="3808" width="9.109375" style="1"/>
    <col min="3809" max="3809" width="21" style="1" customWidth="1"/>
    <col min="3810" max="3810" width="12.33203125" style="1" customWidth="1"/>
    <col min="3811" max="3812" width="14" style="1" customWidth="1"/>
    <col min="3813" max="3813" width="10.109375" style="1" bestFit="1" customWidth="1"/>
    <col min="3814" max="3814" width="27.21875" style="1" customWidth="1"/>
    <col min="3815" max="3815" width="24.5546875" style="1" customWidth="1"/>
    <col min="3816" max="3816" width="16.21875" style="1" customWidth="1"/>
    <col min="3817" max="3817" width="16.33203125" style="1" customWidth="1"/>
    <col min="3818" max="3818" width="18.5546875" style="1" customWidth="1"/>
    <col min="3819" max="3819" width="20.33203125" style="1" customWidth="1"/>
    <col min="3820" max="3821" width="22.88671875" style="1" customWidth="1"/>
    <col min="3822" max="3824" width="18" style="1" customWidth="1"/>
    <col min="3825" max="3825" width="17.21875" style="1" customWidth="1"/>
    <col min="3826" max="3826" width="16.6640625" style="1" customWidth="1"/>
    <col min="3827" max="3827" width="17.44140625" style="1" customWidth="1"/>
    <col min="3828" max="3828" width="24.21875" style="1" customWidth="1"/>
    <col min="3829" max="3829" width="14.5546875" style="1" customWidth="1"/>
    <col min="3830" max="3830" width="41.5546875" style="1" customWidth="1"/>
    <col min="3831" max="3832" width="32.44140625" style="1" customWidth="1"/>
    <col min="3833" max="3837" width="41.5546875" style="1" customWidth="1"/>
    <col min="3838" max="3838" width="30.44140625" style="1" customWidth="1"/>
    <col min="3839" max="3840" width="22.33203125" style="1" customWidth="1"/>
    <col min="3841" max="3841" width="9.109375" style="1"/>
    <col min="3842" max="3842" width="16.109375" style="1" customWidth="1"/>
    <col min="3843" max="3843" width="23.77734375" style="1" customWidth="1"/>
    <col min="3844" max="3844" width="74.44140625" style="1" customWidth="1"/>
    <col min="3845" max="3846" width="9.109375" style="1"/>
    <col min="3847" max="3847" width="14.109375" style="1" customWidth="1"/>
    <col min="3848" max="3848" width="12.44140625" style="1" customWidth="1"/>
    <col min="3849" max="3849" width="13.44140625" style="1" customWidth="1"/>
    <col min="3850" max="3850" width="11.109375" style="1" customWidth="1"/>
    <col min="3851" max="3854" width="17.33203125" style="1" customWidth="1"/>
    <col min="3855" max="3858" width="9.109375" style="1"/>
    <col min="3859" max="3860" width="22.33203125" style="1" customWidth="1"/>
    <col min="3861" max="3861" width="11.88671875" style="1" customWidth="1"/>
    <col min="3862" max="3862" width="10.109375" style="1" customWidth="1"/>
    <col min="3863" max="3864" width="9.109375" style="1"/>
    <col min="3865" max="3865" width="13.33203125" style="1" customWidth="1"/>
    <col min="3866" max="3866" width="11.44140625" style="1" customWidth="1"/>
    <col min="3867" max="3867" width="13.33203125" style="1" bestFit="1" customWidth="1"/>
    <col min="3868" max="3868" width="16.88671875" style="1" bestFit="1" customWidth="1"/>
    <col min="3869" max="3871" width="14.44140625" style="1" customWidth="1"/>
    <col min="3872" max="3872" width="9.88671875" style="1" customWidth="1"/>
    <col min="3873" max="3875" width="17" style="1" customWidth="1"/>
    <col min="3876" max="3876" width="9.109375" style="1"/>
    <col min="3877" max="3877" width="17" style="1" customWidth="1"/>
    <col min="3878" max="3878" width="10.44140625" style="1" customWidth="1"/>
    <col min="3879" max="4050" width="9.109375" style="1"/>
    <col min="4051" max="4053" width="18.44140625" style="1" customWidth="1"/>
    <col min="4054" max="4054" width="11.88671875" style="1" customWidth="1"/>
    <col min="4055" max="4056" width="10.109375" style="1" customWidth="1"/>
    <col min="4057" max="4058" width="13.6640625" style="1" customWidth="1"/>
    <col min="4059" max="4061" width="23.77734375" style="1" customWidth="1"/>
    <col min="4062" max="4062" width="11.77734375" style="1" customWidth="1"/>
    <col min="4063" max="4064" width="9.109375" style="1"/>
    <col min="4065" max="4065" width="21" style="1" customWidth="1"/>
    <col min="4066" max="4066" width="12.33203125" style="1" customWidth="1"/>
    <col min="4067" max="4068" width="14" style="1" customWidth="1"/>
    <col min="4069" max="4069" width="10.109375" style="1" bestFit="1" customWidth="1"/>
    <col min="4070" max="4070" width="27.21875" style="1" customWidth="1"/>
    <col min="4071" max="4071" width="24.5546875" style="1" customWidth="1"/>
    <col min="4072" max="4072" width="16.21875" style="1" customWidth="1"/>
    <col min="4073" max="4073" width="16.33203125" style="1" customWidth="1"/>
    <col min="4074" max="4074" width="18.5546875" style="1" customWidth="1"/>
    <col min="4075" max="4075" width="20.33203125" style="1" customWidth="1"/>
    <col min="4076" max="4077" width="22.88671875" style="1" customWidth="1"/>
    <col min="4078" max="4080" width="18" style="1" customWidth="1"/>
    <col min="4081" max="4081" width="17.21875" style="1" customWidth="1"/>
    <col min="4082" max="4082" width="16.6640625" style="1" customWidth="1"/>
    <col min="4083" max="4083" width="17.44140625" style="1" customWidth="1"/>
    <col min="4084" max="4084" width="24.21875" style="1" customWidth="1"/>
    <col min="4085" max="4085" width="14.5546875" style="1" customWidth="1"/>
    <col min="4086" max="4086" width="41.5546875" style="1" customWidth="1"/>
    <col min="4087" max="4088" width="32.44140625" style="1" customWidth="1"/>
    <col min="4089" max="4093" width="41.5546875" style="1" customWidth="1"/>
    <col min="4094" max="4094" width="30.44140625" style="1" customWidth="1"/>
    <col min="4095" max="4096" width="22.33203125" style="1" customWidth="1"/>
    <col min="4097" max="4097" width="9.109375" style="1"/>
    <col min="4098" max="4098" width="16.109375" style="1" customWidth="1"/>
    <col min="4099" max="4099" width="23.77734375" style="1" customWidth="1"/>
    <col min="4100" max="4100" width="74.44140625" style="1" customWidth="1"/>
    <col min="4101" max="4102" width="9.109375" style="1"/>
    <col min="4103" max="4103" width="14.109375" style="1" customWidth="1"/>
    <col min="4104" max="4104" width="12.44140625" style="1" customWidth="1"/>
    <col min="4105" max="4105" width="13.44140625" style="1" customWidth="1"/>
    <col min="4106" max="4106" width="11.109375" style="1" customWidth="1"/>
    <col min="4107" max="4110" width="17.33203125" style="1" customWidth="1"/>
    <col min="4111" max="4114" width="9.109375" style="1"/>
    <col min="4115" max="4116" width="22.33203125" style="1" customWidth="1"/>
    <col min="4117" max="4117" width="11.88671875" style="1" customWidth="1"/>
    <col min="4118" max="4118" width="10.109375" style="1" customWidth="1"/>
    <col min="4119" max="4120" width="9.109375" style="1"/>
    <col min="4121" max="4121" width="13.33203125" style="1" customWidth="1"/>
    <col min="4122" max="4122" width="11.44140625" style="1" customWidth="1"/>
    <col min="4123" max="4123" width="13.33203125" style="1" bestFit="1" customWidth="1"/>
    <col min="4124" max="4124" width="16.88671875" style="1" bestFit="1" customWidth="1"/>
    <col min="4125" max="4127" width="14.44140625" style="1" customWidth="1"/>
    <col min="4128" max="4128" width="9.88671875" style="1" customWidth="1"/>
    <col min="4129" max="4131" width="17" style="1" customWidth="1"/>
    <col min="4132" max="4132" width="9.109375" style="1"/>
    <col min="4133" max="4133" width="17" style="1" customWidth="1"/>
    <col min="4134" max="4134" width="10.44140625" style="1" customWidth="1"/>
    <col min="4135" max="4306" width="9.109375" style="1"/>
    <col min="4307" max="4309" width="18.44140625" style="1" customWidth="1"/>
    <col min="4310" max="4310" width="11.88671875" style="1" customWidth="1"/>
    <col min="4311" max="4312" width="10.109375" style="1" customWidth="1"/>
    <col min="4313" max="4314" width="13.6640625" style="1" customWidth="1"/>
    <col min="4315" max="4317" width="23.77734375" style="1" customWidth="1"/>
    <col min="4318" max="4318" width="11.77734375" style="1" customWidth="1"/>
    <col min="4319" max="4320" width="9.109375" style="1"/>
    <col min="4321" max="4321" width="21" style="1" customWidth="1"/>
    <col min="4322" max="4322" width="12.33203125" style="1" customWidth="1"/>
    <col min="4323" max="4324" width="14" style="1" customWidth="1"/>
    <col min="4325" max="4325" width="10.109375" style="1" bestFit="1" customWidth="1"/>
    <col min="4326" max="4326" width="27.21875" style="1" customWidth="1"/>
    <col min="4327" max="4327" width="24.5546875" style="1" customWidth="1"/>
    <col min="4328" max="4328" width="16.21875" style="1" customWidth="1"/>
    <col min="4329" max="4329" width="16.33203125" style="1" customWidth="1"/>
    <col min="4330" max="4330" width="18.5546875" style="1" customWidth="1"/>
    <col min="4331" max="4331" width="20.33203125" style="1" customWidth="1"/>
    <col min="4332" max="4333" width="22.88671875" style="1" customWidth="1"/>
    <col min="4334" max="4336" width="18" style="1" customWidth="1"/>
    <col min="4337" max="4337" width="17.21875" style="1" customWidth="1"/>
    <col min="4338" max="4338" width="16.6640625" style="1" customWidth="1"/>
    <col min="4339" max="4339" width="17.44140625" style="1" customWidth="1"/>
    <col min="4340" max="4340" width="24.21875" style="1" customWidth="1"/>
    <col min="4341" max="4341" width="14.5546875" style="1" customWidth="1"/>
    <col min="4342" max="4342" width="41.5546875" style="1" customWidth="1"/>
    <col min="4343" max="4344" width="32.44140625" style="1" customWidth="1"/>
    <col min="4345" max="4349" width="41.5546875" style="1" customWidth="1"/>
    <col min="4350" max="4350" width="30.44140625" style="1" customWidth="1"/>
    <col min="4351" max="4352" width="22.33203125" style="1" customWidth="1"/>
    <col min="4353" max="4353" width="9.109375" style="1"/>
    <col min="4354" max="4354" width="16.109375" style="1" customWidth="1"/>
    <col min="4355" max="4355" width="23.77734375" style="1" customWidth="1"/>
    <col min="4356" max="4356" width="74.44140625" style="1" customWidth="1"/>
    <col min="4357" max="4358" width="9.109375" style="1"/>
    <col min="4359" max="4359" width="14.109375" style="1" customWidth="1"/>
    <col min="4360" max="4360" width="12.44140625" style="1" customWidth="1"/>
    <col min="4361" max="4361" width="13.44140625" style="1" customWidth="1"/>
    <col min="4362" max="4362" width="11.109375" style="1" customWidth="1"/>
    <col min="4363" max="4366" width="17.33203125" style="1" customWidth="1"/>
    <col min="4367" max="4370" width="9.109375" style="1"/>
    <col min="4371" max="4372" width="22.33203125" style="1" customWidth="1"/>
    <col min="4373" max="4373" width="11.88671875" style="1" customWidth="1"/>
    <col min="4374" max="4374" width="10.109375" style="1" customWidth="1"/>
    <col min="4375" max="4376" width="9.109375" style="1"/>
    <col min="4377" max="4377" width="13.33203125" style="1" customWidth="1"/>
    <col min="4378" max="4378" width="11.44140625" style="1" customWidth="1"/>
    <col min="4379" max="4379" width="13.33203125" style="1" bestFit="1" customWidth="1"/>
    <col min="4380" max="4380" width="16.88671875" style="1" bestFit="1" customWidth="1"/>
    <col min="4381" max="4383" width="14.44140625" style="1" customWidth="1"/>
    <col min="4384" max="4384" width="9.88671875" style="1" customWidth="1"/>
    <col min="4385" max="4387" width="17" style="1" customWidth="1"/>
    <col min="4388" max="4388" width="9.109375" style="1"/>
    <col min="4389" max="4389" width="17" style="1" customWidth="1"/>
    <col min="4390" max="4390" width="10.44140625" style="1" customWidth="1"/>
    <col min="4391" max="4562" width="9.109375" style="1"/>
    <col min="4563" max="4565" width="18.44140625" style="1" customWidth="1"/>
    <col min="4566" max="4566" width="11.88671875" style="1" customWidth="1"/>
    <col min="4567" max="4568" width="10.109375" style="1" customWidth="1"/>
    <col min="4569" max="4570" width="13.6640625" style="1" customWidth="1"/>
    <col min="4571" max="4573" width="23.77734375" style="1" customWidth="1"/>
    <col min="4574" max="4574" width="11.77734375" style="1" customWidth="1"/>
    <col min="4575" max="4576" width="9.109375" style="1"/>
    <col min="4577" max="4577" width="21" style="1" customWidth="1"/>
    <col min="4578" max="4578" width="12.33203125" style="1" customWidth="1"/>
    <col min="4579" max="4580" width="14" style="1" customWidth="1"/>
    <col min="4581" max="4581" width="10.109375" style="1" bestFit="1" customWidth="1"/>
    <col min="4582" max="4582" width="27.21875" style="1" customWidth="1"/>
    <col min="4583" max="4583" width="24.5546875" style="1" customWidth="1"/>
    <col min="4584" max="4584" width="16.21875" style="1" customWidth="1"/>
    <col min="4585" max="4585" width="16.33203125" style="1" customWidth="1"/>
    <col min="4586" max="4586" width="18.5546875" style="1" customWidth="1"/>
    <col min="4587" max="4587" width="20.33203125" style="1" customWidth="1"/>
    <col min="4588" max="4589" width="22.88671875" style="1" customWidth="1"/>
    <col min="4590" max="4592" width="18" style="1" customWidth="1"/>
    <col min="4593" max="4593" width="17.21875" style="1" customWidth="1"/>
    <col min="4594" max="4594" width="16.6640625" style="1" customWidth="1"/>
    <col min="4595" max="4595" width="17.44140625" style="1" customWidth="1"/>
    <col min="4596" max="4596" width="24.21875" style="1" customWidth="1"/>
    <col min="4597" max="4597" width="14.5546875" style="1" customWidth="1"/>
    <col min="4598" max="4598" width="41.5546875" style="1" customWidth="1"/>
    <col min="4599" max="4600" width="32.44140625" style="1" customWidth="1"/>
    <col min="4601" max="4605" width="41.5546875" style="1" customWidth="1"/>
    <col min="4606" max="4606" width="30.44140625" style="1" customWidth="1"/>
    <col min="4607" max="4608" width="22.33203125" style="1" customWidth="1"/>
    <col min="4609" max="4609" width="9.109375" style="1"/>
    <col min="4610" max="4610" width="16.109375" style="1" customWidth="1"/>
    <col min="4611" max="4611" width="23.77734375" style="1" customWidth="1"/>
    <col min="4612" max="4612" width="74.44140625" style="1" customWidth="1"/>
    <col min="4613" max="4614" width="9.109375" style="1"/>
    <col min="4615" max="4615" width="14.109375" style="1" customWidth="1"/>
    <col min="4616" max="4616" width="12.44140625" style="1" customWidth="1"/>
    <col min="4617" max="4617" width="13.44140625" style="1" customWidth="1"/>
    <col min="4618" max="4618" width="11.109375" style="1" customWidth="1"/>
    <col min="4619" max="4622" width="17.33203125" style="1" customWidth="1"/>
    <col min="4623" max="4626" width="9.109375" style="1"/>
    <col min="4627" max="4628" width="22.33203125" style="1" customWidth="1"/>
    <col min="4629" max="4629" width="11.88671875" style="1" customWidth="1"/>
    <col min="4630" max="4630" width="10.109375" style="1" customWidth="1"/>
    <col min="4631" max="4632" width="9.109375" style="1"/>
    <col min="4633" max="4633" width="13.33203125" style="1" customWidth="1"/>
    <col min="4634" max="4634" width="11.44140625" style="1" customWidth="1"/>
    <col min="4635" max="4635" width="13.33203125" style="1" bestFit="1" customWidth="1"/>
    <col min="4636" max="4636" width="16.88671875" style="1" bestFit="1" customWidth="1"/>
    <col min="4637" max="4639" width="14.44140625" style="1" customWidth="1"/>
    <col min="4640" max="4640" width="9.88671875" style="1" customWidth="1"/>
    <col min="4641" max="4643" width="17" style="1" customWidth="1"/>
    <col min="4644" max="4644" width="9.109375" style="1"/>
    <col min="4645" max="4645" width="17" style="1" customWidth="1"/>
    <col min="4646" max="4646" width="10.44140625" style="1" customWidth="1"/>
    <col min="4647" max="4818" width="9.109375" style="1"/>
    <col min="4819" max="4821" width="18.44140625" style="1" customWidth="1"/>
    <col min="4822" max="4822" width="11.88671875" style="1" customWidth="1"/>
    <col min="4823" max="4824" width="10.109375" style="1" customWidth="1"/>
    <col min="4825" max="4826" width="13.6640625" style="1" customWidth="1"/>
    <col min="4827" max="4829" width="23.77734375" style="1" customWidth="1"/>
    <col min="4830" max="4830" width="11.77734375" style="1" customWidth="1"/>
    <col min="4831" max="4832" width="9.109375" style="1"/>
    <col min="4833" max="4833" width="21" style="1" customWidth="1"/>
    <col min="4834" max="4834" width="12.33203125" style="1" customWidth="1"/>
    <col min="4835" max="4836" width="14" style="1" customWidth="1"/>
    <col min="4837" max="4837" width="10.109375" style="1" bestFit="1" customWidth="1"/>
    <col min="4838" max="4838" width="27.21875" style="1" customWidth="1"/>
    <col min="4839" max="4839" width="24.5546875" style="1" customWidth="1"/>
    <col min="4840" max="4840" width="16.21875" style="1" customWidth="1"/>
    <col min="4841" max="4841" width="16.33203125" style="1" customWidth="1"/>
    <col min="4842" max="4842" width="18.5546875" style="1" customWidth="1"/>
    <col min="4843" max="4843" width="20.33203125" style="1" customWidth="1"/>
    <col min="4844" max="4845" width="22.88671875" style="1" customWidth="1"/>
    <col min="4846" max="4848" width="18" style="1" customWidth="1"/>
    <col min="4849" max="4849" width="17.21875" style="1" customWidth="1"/>
    <col min="4850" max="4850" width="16.6640625" style="1" customWidth="1"/>
    <col min="4851" max="4851" width="17.44140625" style="1" customWidth="1"/>
    <col min="4852" max="4852" width="24.21875" style="1" customWidth="1"/>
    <col min="4853" max="4853" width="14.5546875" style="1" customWidth="1"/>
    <col min="4854" max="4854" width="41.5546875" style="1" customWidth="1"/>
    <col min="4855" max="4856" width="32.44140625" style="1" customWidth="1"/>
    <col min="4857" max="4861" width="41.5546875" style="1" customWidth="1"/>
    <col min="4862" max="4862" width="30.44140625" style="1" customWidth="1"/>
    <col min="4863" max="4864" width="22.33203125" style="1" customWidth="1"/>
    <col min="4865" max="4865" width="9.109375" style="1"/>
    <col min="4866" max="4866" width="16.109375" style="1" customWidth="1"/>
    <col min="4867" max="4867" width="23.77734375" style="1" customWidth="1"/>
    <col min="4868" max="4868" width="74.44140625" style="1" customWidth="1"/>
    <col min="4869" max="4870" width="9.109375" style="1"/>
    <col min="4871" max="4871" width="14.109375" style="1" customWidth="1"/>
    <col min="4872" max="4872" width="12.44140625" style="1" customWidth="1"/>
    <col min="4873" max="4873" width="13.44140625" style="1" customWidth="1"/>
    <col min="4874" max="4874" width="11.109375" style="1" customWidth="1"/>
    <col min="4875" max="4878" width="17.33203125" style="1" customWidth="1"/>
    <col min="4879" max="4882" width="9.109375" style="1"/>
    <col min="4883" max="4884" width="22.33203125" style="1" customWidth="1"/>
    <col min="4885" max="4885" width="11.88671875" style="1" customWidth="1"/>
    <col min="4886" max="4886" width="10.109375" style="1" customWidth="1"/>
    <col min="4887" max="4888" width="9.109375" style="1"/>
    <col min="4889" max="4889" width="13.33203125" style="1" customWidth="1"/>
    <col min="4890" max="4890" width="11.44140625" style="1" customWidth="1"/>
    <col min="4891" max="4891" width="13.33203125" style="1" bestFit="1" customWidth="1"/>
    <col min="4892" max="4892" width="16.88671875" style="1" bestFit="1" customWidth="1"/>
    <col min="4893" max="4895" width="14.44140625" style="1" customWidth="1"/>
    <col min="4896" max="4896" width="9.88671875" style="1" customWidth="1"/>
    <col min="4897" max="4899" width="17" style="1" customWidth="1"/>
    <col min="4900" max="4900" width="9.109375" style="1"/>
    <col min="4901" max="4901" width="17" style="1" customWidth="1"/>
    <col min="4902" max="4902" width="10.44140625" style="1" customWidth="1"/>
    <col min="4903" max="5074" width="9.109375" style="1"/>
    <col min="5075" max="5077" width="18.44140625" style="1" customWidth="1"/>
    <col min="5078" max="5078" width="11.88671875" style="1" customWidth="1"/>
    <col min="5079" max="5080" width="10.109375" style="1" customWidth="1"/>
    <col min="5081" max="5082" width="13.6640625" style="1" customWidth="1"/>
    <col min="5083" max="5085" width="23.77734375" style="1" customWidth="1"/>
    <col min="5086" max="5086" width="11.77734375" style="1" customWidth="1"/>
    <col min="5087" max="5088" width="9.109375" style="1"/>
    <col min="5089" max="5089" width="21" style="1" customWidth="1"/>
    <col min="5090" max="5090" width="12.33203125" style="1" customWidth="1"/>
    <col min="5091" max="5092" width="14" style="1" customWidth="1"/>
    <col min="5093" max="5093" width="10.109375" style="1" bestFit="1" customWidth="1"/>
    <col min="5094" max="5094" width="27.21875" style="1" customWidth="1"/>
    <col min="5095" max="5095" width="24.5546875" style="1" customWidth="1"/>
    <col min="5096" max="5096" width="16.21875" style="1" customWidth="1"/>
    <col min="5097" max="5097" width="16.33203125" style="1" customWidth="1"/>
    <col min="5098" max="5098" width="18.5546875" style="1" customWidth="1"/>
    <col min="5099" max="5099" width="20.33203125" style="1" customWidth="1"/>
    <col min="5100" max="5101" width="22.88671875" style="1" customWidth="1"/>
    <col min="5102" max="5104" width="18" style="1" customWidth="1"/>
    <col min="5105" max="5105" width="17.21875" style="1" customWidth="1"/>
    <col min="5106" max="5106" width="16.6640625" style="1" customWidth="1"/>
    <col min="5107" max="5107" width="17.44140625" style="1" customWidth="1"/>
    <col min="5108" max="5108" width="24.21875" style="1" customWidth="1"/>
    <col min="5109" max="5109" width="14.5546875" style="1" customWidth="1"/>
    <col min="5110" max="5110" width="41.5546875" style="1" customWidth="1"/>
    <col min="5111" max="5112" width="32.44140625" style="1" customWidth="1"/>
    <col min="5113" max="5117" width="41.5546875" style="1" customWidth="1"/>
    <col min="5118" max="5118" width="30.44140625" style="1" customWidth="1"/>
    <col min="5119" max="5120" width="22.33203125" style="1" customWidth="1"/>
    <col min="5121" max="5121" width="9.109375" style="1"/>
    <col min="5122" max="5122" width="16.109375" style="1" customWidth="1"/>
    <col min="5123" max="5123" width="23.77734375" style="1" customWidth="1"/>
    <col min="5124" max="5124" width="74.44140625" style="1" customWidth="1"/>
    <col min="5125" max="5126" width="9.109375" style="1"/>
    <col min="5127" max="5127" width="14.109375" style="1" customWidth="1"/>
    <col min="5128" max="5128" width="12.44140625" style="1" customWidth="1"/>
    <col min="5129" max="5129" width="13.44140625" style="1" customWidth="1"/>
    <col min="5130" max="5130" width="11.109375" style="1" customWidth="1"/>
    <col min="5131" max="5134" width="17.33203125" style="1" customWidth="1"/>
    <col min="5135" max="5138" width="9.109375" style="1"/>
    <col min="5139" max="5140" width="22.33203125" style="1" customWidth="1"/>
    <col min="5141" max="5141" width="11.88671875" style="1" customWidth="1"/>
    <col min="5142" max="5142" width="10.109375" style="1" customWidth="1"/>
    <col min="5143" max="5144" width="9.109375" style="1"/>
    <col min="5145" max="5145" width="13.33203125" style="1" customWidth="1"/>
    <col min="5146" max="5146" width="11.44140625" style="1" customWidth="1"/>
    <col min="5147" max="5147" width="13.33203125" style="1" bestFit="1" customWidth="1"/>
    <col min="5148" max="5148" width="16.88671875" style="1" bestFit="1" customWidth="1"/>
    <col min="5149" max="5151" width="14.44140625" style="1" customWidth="1"/>
    <col min="5152" max="5152" width="9.88671875" style="1" customWidth="1"/>
    <col min="5153" max="5155" width="17" style="1" customWidth="1"/>
    <col min="5156" max="5156" width="9.109375" style="1"/>
    <col min="5157" max="5157" width="17" style="1" customWidth="1"/>
    <col min="5158" max="5158" width="10.44140625" style="1" customWidth="1"/>
    <col min="5159" max="5330" width="9.109375" style="1"/>
    <col min="5331" max="5333" width="18.44140625" style="1" customWidth="1"/>
    <col min="5334" max="5334" width="11.88671875" style="1" customWidth="1"/>
    <col min="5335" max="5336" width="10.109375" style="1" customWidth="1"/>
    <col min="5337" max="5338" width="13.6640625" style="1" customWidth="1"/>
    <col min="5339" max="5341" width="23.77734375" style="1" customWidth="1"/>
    <col min="5342" max="5342" width="11.77734375" style="1" customWidth="1"/>
    <col min="5343" max="5344" width="9.109375" style="1"/>
    <col min="5345" max="5345" width="21" style="1" customWidth="1"/>
    <col min="5346" max="5346" width="12.33203125" style="1" customWidth="1"/>
    <col min="5347" max="5348" width="14" style="1" customWidth="1"/>
    <col min="5349" max="5349" width="10.109375" style="1" bestFit="1" customWidth="1"/>
    <col min="5350" max="5350" width="27.21875" style="1" customWidth="1"/>
    <col min="5351" max="5351" width="24.5546875" style="1" customWidth="1"/>
    <col min="5352" max="5352" width="16.21875" style="1" customWidth="1"/>
    <col min="5353" max="5353" width="16.33203125" style="1" customWidth="1"/>
    <col min="5354" max="5354" width="18.5546875" style="1" customWidth="1"/>
    <col min="5355" max="5355" width="20.33203125" style="1" customWidth="1"/>
    <col min="5356" max="5357" width="22.88671875" style="1" customWidth="1"/>
    <col min="5358" max="5360" width="18" style="1" customWidth="1"/>
    <col min="5361" max="5361" width="17.21875" style="1" customWidth="1"/>
    <col min="5362" max="5362" width="16.6640625" style="1" customWidth="1"/>
    <col min="5363" max="5363" width="17.44140625" style="1" customWidth="1"/>
    <col min="5364" max="5364" width="24.21875" style="1" customWidth="1"/>
    <col min="5365" max="5365" width="14.5546875" style="1" customWidth="1"/>
    <col min="5366" max="5366" width="41.5546875" style="1" customWidth="1"/>
    <col min="5367" max="5368" width="32.44140625" style="1" customWidth="1"/>
    <col min="5369" max="5373" width="41.5546875" style="1" customWidth="1"/>
    <col min="5374" max="5374" width="30.44140625" style="1" customWidth="1"/>
    <col min="5375" max="5376" width="22.33203125" style="1" customWidth="1"/>
    <col min="5377" max="5377" width="9.109375" style="1"/>
    <col min="5378" max="5378" width="16.109375" style="1" customWidth="1"/>
    <col min="5379" max="5379" width="23.77734375" style="1" customWidth="1"/>
    <col min="5380" max="5380" width="74.44140625" style="1" customWidth="1"/>
    <col min="5381" max="5382" width="9.109375" style="1"/>
    <col min="5383" max="5383" width="14.109375" style="1" customWidth="1"/>
    <col min="5384" max="5384" width="12.44140625" style="1" customWidth="1"/>
    <col min="5385" max="5385" width="13.44140625" style="1" customWidth="1"/>
    <col min="5386" max="5386" width="11.109375" style="1" customWidth="1"/>
    <col min="5387" max="5390" width="17.33203125" style="1" customWidth="1"/>
    <col min="5391" max="5394" width="9.109375" style="1"/>
    <col min="5395" max="5396" width="22.33203125" style="1" customWidth="1"/>
    <col min="5397" max="5397" width="11.88671875" style="1" customWidth="1"/>
    <col min="5398" max="5398" width="10.109375" style="1" customWidth="1"/>
    <col min="5399" max="5400" width="9.109375" style="1"/>
    <col min="5401" max="5401" width="13.33203125" style="1" customWidth="1"/>
    <col min="5402" max="5402" width="11.44140625" style="1" customWidth="1"/>
    <col min="5403" max="5403" width="13.33203125" style="1" bestFit="1" customWidth="1"/>
    <col min="5404" max="5404" width="16.88671875" style="1" bestFit="1" customWidth="1"/>
    <col min="5405" max="5407" width="14.44140625" style="1" customWidth="1"/>
    <col min="5408" max="5408" width="9.88671875" style="1" customWidth="1"/>
    <col min="5409" max="5411" width="17" style="1" customWidth="1"/>
    <col min="5412" max="5412" width="9.109375" style="1"/>
    <col min="5413" max="5413" width="17" style="1" customWidth="1"/>
    <col min="5414" max="5414" width="10.44140625" style="1" customWidth="1"/>
    <col min="5415" max="5586" width="9.109375" style="1"/>
    <col min="5587" max="5589" width="18.44140625" style="1" customWidth="1"/>
    <col min="5590" max="5590" width="11.88671875" style="1" customWidth="1"/>
    <col min="5591" max="5592" width="10.109375" style="1" customWidth="1"/>
    <col min="5593" max="5594" width="13.6640625" style="1" customWidth="1"/>
    <col min="5595" max="5597" width="23.77734375" style="1" customWidth="1"/>
    <col min="5598" max="5598" width="11.77734375" style="1" customWidth="1"/>
    <col min="5599" max="5600" width="9.109375" style="1"/>
    <col min="5601" max="5601" width="21" style="1" customWidth="1"/>
    <col min="5602" max="5602" width="12.33203125" style="1" customWidth="1"/>
    <col min="5603" max="5604" width="14" style="1" customWidth="1"/>
    <col min="5605" max="5605" width="10.109375" style="1" bestFit="1" customWidth="1"/>
    <col min="5606" max="5606" width="27.21875" style="1" customWidth="1"/>
    <col min="5607" max="5607" width="24.5546875" style="1" customWidth="1"/>
    <col min="5608" max="5608" width="16.21875" style="1" customWidth="1"/>
    <col min="5609" max="5609" width="16.33203125" style="1" customWidth="1"/>
    <col min="5610" max="5610" width="18.5546875" style="1" customWidth="1"/>
    <col min="5611" max="5611" width="20.33203125" style="1" customWidth="1"/>
    <col min="5612" max="5613" width="22.88671875" style="1" customWidth="1"/>
    <col min="5614" max="5616" width="18" style="1" customWidth="1"/>
    <col min="5617" max="5617" width="17.21875" style="1" customWidth="1"/>
    <col min="5618" max="5618" width="16.6640625" style="1" customWidth="1"/>
    <col min="5619" max="5619" width="17.44140625" style="1" customWidth="1"/>
    <col min="5620" max="5620" width="24.21875" style="1" customWidth="1"/>
    <col min="5621" max="5621" width="14.5546875" style="1" customWidth="1"/>
    <col min="5622" max="5622" width="41.5546875" style="1" customWidth="1"/>
    <col min="5623" max="5624" width="32.44140625" style="1" customWidth="1"/>
    <col min="5625" max="5629" width="41.5546875" style="1" customWidth="1"/>
    <col min="5630" max="5630" width="30.44140625" style="1" customWidth="1"/>
    <col min="5631" max="5632" width="22.33203125" style="1" customWidth="1"/>
    <col min="5633" max="5633" width="9.109375" style="1"/>
    <col min="5634" max="5634" width="16.109375" style="1" customWidth="1"/>
    <col min="5635" max="5635" width="23.77734375" style="1" customWidth="1"/>
    <col min="5636" max="5636" width="74.44140625" style="1" customWidth="1"/>
    <col min="5637" max="5638" width="9.109375" style="1"/>
    <col min="5639" max="5639" width="14.109375" style="1" customWidth="1"/>
    <col min="5640" max="5640" width="12.44140625" style="1" customWidth="1"/>
    <col min="5641" max="5641" width="13.44140625" style="1" customWidth="1"/>
    <col min="5642" max="5642" width="11.109375" style="1" customWidth="1"/>
    <col min="5643" max="5646" width="17.33203125" style="1" customWidth="1"/>
    <col min="5647" max="5650" width="9.109375" style="1"/>
    <col min="5651" max="5652" width="22.33203125" style="1" customWidth="1"/>
    <col min="5653" max="5653" width="11.88671875" style="1" customWidth="1"/>
    <col min="5654" max="5654" width="10.109375" style="1" customWidth="1"/>
    <col min="5655" max="5656" width="9.109375" style="1"/>
    <col min="5657" max="5657" width="13.33203125" style="1" customWidth="1"/>
    <col min="5658" max="5658" width="11.44140625" style="1" customWidth="1"/>
    <col min="5659" max="5659" width="13.33203125" style="1" bestFit="1" customWidth="1"/>
    <col min="5660" max="5660" width="16.88671875" style="1" bestFit="1" customWidth="1"/>
    <col min="5661" max="5663" width="14.44140625" style="1" customWidth="1"/>
    <col min="5664" max="5664" width="9.88671875" style="1" customWidth="1"/>
    <col min="5665" max="5667" width="17" style="1" customWidth="1"/>
    <col min="5668" max="5668" width="9.109375" style="1"/>
    <col min="5669" max="5669" width="17" style="1" customWidth="1"/>
    <col min="5670" max="5670" width="10.44140625" style="1" customWidth="1"/>
    <col min="5671" max="5842" width="9.109375" style="1"/>
    <col min="5843" max="5845" width="18.44140625" style="1" customWidth="1"/>
    <col min="5846" max="5846" width="11.88671875" style="1" customWidth="1"/>
    <col min="5847" max="5848" width="10.109375" style="1" customWidth="1"/>
    <col min="5849" max="5850" width="13.6640625" style="1" customWidth="1"/>
    <col min="5851" max="5853" width="23.77734375" style="1" customWidth="1"/>
    <col min="5854" max="5854" width="11.77734375" style="1" customWidth="1"/>
    <col min="5855" max="5856" width="9.109375" style="1"/>
    <col min="5857" max="5857" width="21" style="1" customWidth="1"/>
    <col min="5858" max="5858" width="12.33203125" style="1" customWidth="1"/>
    <col min="5859" max="5860" width="14" style="1" customWidth="1"/>
    <col min="5861" max="5861" width="10.109375" style="1" bestFit="1" customWidth="1"/>
    <col min="5862" max="5862" width="27.21875" style="1" customWidth="1"/>
    <col min="5863" max="5863" width="24.5546875" style="1" customWidth="1"/>
    <col min="5864" max="5864" width="16.21875" style="1" customWidth="1"/>
    <col min="5865" max="5865" width="16.33203125" style="1" customWidth="1"/>
    <col min="5866" max="5866" width="18.5546875" style="1" customWidth="1"/>
    <col min="5867" max="5867" width="20.33203125" style="1" customWidth="1"/>
    <col min="5868" max="5869" width="22.88671875" style="1" customWidth="1"/>
    <col min="5870" max="5872" width="18" style="1" customWidth="1"/>
    <col min="5873" max="5873" width="17.21875" style="1" customWidth="1"/>
    <col min="5874" max="5874" width="16.6640625" style="1" customWidth="1"/>
    <col min="5875" max="5875" width="17.44140625" style="1" customWidth="1"/>
    <col min="5876" max="5876" width="24.21875" style="1" customWidth="1"/>
    <col min="5877" max="5877" width="14.5546875" style="1" customWidth="1"/>
    <col min="5878" max="5878" width="41.5546875" style="1" customWidth="1"/>
    <col min="5879" max="5880" width="32.44140625" style="1" customWidth="1"/>
    <col min="5881" max="5885" width="41.5546875" style="1" customWidth="1"/>
    <col min="5886" max="5886" width="30.44140625" style="1" customWidth="1"/>
    <col min="5887" max="5888" width="22.33203125" style="1" customWidth="1"/>
    <col min="5889" max="5889" width="9.109375" style="1"/>
    <col min="5890" max="5890" width="16.109375" style="1" customWidth="1"/>
    <col min="5891" max="5891" width="23.77734375" style="1" customWidth="1"/>
    <col min="5892" max="5892" width="74.44140625" style="1" customWidth="1"/>
    <col min="5893" max="5894" width="9.109375" style="1"/>
    <col min="5895" max="5895" width="14.109375" style="1" customWidth="1"/>
    <col min="5896" max="5896" width="12.44140625" style="1" customWidth="1"/>
    <col min="5897" max="5897" width="13.44140625" style="1" customWidth="1"/>
    <col min="5898" max="5898" width="11.109375" style="1" customWidth="1"/>
    <col min="5899" max="5902" width="17.33203125" style="1" customWidth="1"/>
    <col min="5903" max="5906" width="9.109375" style="1"/>
    <col min="5907" max="5908" width="22.33203125" style="1" customWidth="1"/>
    <col min="5909" max="5909" width="11.88671875" style="1" customWidth="1"/>
    <col min="5910" max="5910" width="10.109375" style="1" customWidth="1"/>
    <col min="5911" max="5912" width="9.109375" style="1"/>
    <col min="5913" max="5913" width="13.33203125" style="1" customWidth="1"/>
    <col min="5914" max="5914" width="11.44140625" style="1" customWidth="1"/>
    <col min="5915" max="5915" width="13.33203125" style="1" bestFit="1" customWidth="1"/>
    <col min="5916" max="5916" width="16.88671875" style="1" bestFit="1" customWidth="1"/>
    <col min="5917" max="5919" width="14.44140625" style="1" customWidth="1"/>
    <col min="5920" max="5920" width="9.88671875" style="1" customWidth="1"/>
    <col min="5921" max="5923" width="17" style="1" customWidth="1"/>
    <col min="5924" max="5924" width="9.109375" style="1"/>
    <col min="5925" max="5925" width="17" style="1" customWidth="1"/>
    <col min="5926" max="5926" width="10.44140625" style="1" customWidth="1"/>
    <col min="5927" max="6098" width="9.109375" style="1"/>
    <col min="6099" max="6101" width="18.44140625" style="1" customWidth="1"/>
    <col min="6102" max="6102" width="11.88671875" style="1" customWidth="1"/>
    <col min="6103" max="6104" width="10.109375" style="1" customWidth="1"/>
    <col min="6105" max="6106" width="13.6640625" style="1" customWidth="1"/>
    <col min="6107" max="6109" width="23.77734375" style="1" customWidth="1"/>
    <col min="6110" max="6110" width="11.77734375" style="1" customWidth="1"/>
    <col min="6111" max="6112" width="9.109375" style="1"/>
    <col min="6113" max="6113" width="21" style="1" customWidth="1"/>
    <col min="6114" max="6114" width="12.33203125" style="1" customWidth="1"/>
    <col min="6115" max="6116" width="14" style="1" customWidth="1"/>
    <col min="6117" max="6117" width="10.109375" style="1" bestFit="1" customWidth="1"/>
    <col min="6118" max="6118" width="27.21875" style="1" customWidth="1"/>
    <col min="6119" max="6119" width="24.5546875" style="1" customWidth="1"/>
    <col min="6120" max="6120" width="16.21875" style="1" customWidth="1"/>
    <col min="6121" max="6121" width="16.33203125" style="1" customWidth="1"/>
    <col min="6122" max="6122" width="18.5546875" style="1" customWidth="1"/>
    <col min="6123" max="6123" width="20.33203125" style="1" customWidth="1"/>
    <col min="6124" max="6125" width="22.88671875" style="1" customWidth="1"/>
    <col min="6126" max="6128" width="18" style="1" customWidth="1"/>
    <col min="6129" max="6129" width="17.21875" style="1" customWidth="1"/>
    <col min="6130" max="6130" width="16.6640625" style="1" customWidth="1"/>
    <col min="6131" max="6131" width="17.44140625" style="1" customWidth="1"/>
    <col min="6132" max="6132" width="24.21875" style="1" customWidth="1"/>
    <col min="6133" max="6133" width="14.5546875" style="1" customWidth="1"/>
    <col min="6134" max="6134" width="41.5546875" style="1" customWidth="1"/>
    <col min="6135" max="6136" width="32.44140625" style="1" customWidth="1"/>
    <col min="6137" max="6141" width="41.5546875" style="1" customWidth="1"/>
    <col min="6142" max="6142" width="30.44140625" style="1" customWidth="1"/>
    <col min="6143" max="6144" width="22.33203125" style="1" customWidth="1"/>
    <col min="6145" max="6145" width="9.109375" style="1"/>
    <col min="6146" max="6146" width="16.109375" style="1" customWidth="1"/>
    <col min="6147" max="6147" width="23.77734375" style="1" customWidth="1"/>
    <col min="6148" max="6148" width="74.44140625" style="1" customWidth="1"/>
    <col min="6149" max="6150" width="9.109375" style="1"/>
    <col min="6151" max="6151" width="14.109375" style="1" customWidth="1"/>
    <col min="6152" max="6152" width="12.44140625" style="1" customWidth="1"/>
    <col min="6153" max="6153" width="13.44140625" style="1" customWidth="1"/>
    <col min="6154" max="6154" width="11.109375" style="1" customWidth="1"/>
    <col min="6155" max="6158" width="17.33203125" style="1" customWidth="1"/>
    <col min="6159" max="6162" width="9.109375" style="1"/>
    <col min="6163" max="6164" width="22.33203125" style="1" customWidth="1"/>
    <col min="6165" max="6165" width="11.88671875" style="1" customWidth="1"/>
    <col min="6166" max="6166" width="10.109375" style="1" customWidth="1"/>
    <col min="6167" max="6168" width="9.109375" style="1"/>
    <col min="6169" max="6169" width="13.33203125" style="1" customWidth="1"/>
    <col min="6170" max="6170" width="11.44140625" style="1" customWidth="1"/>
    <col min="6171" max="6171" width="13.33203125" style="1" bestFit="1" customWidth="1"/>
    <col min="6172" max="6172" width="16.88671875" style="1" bestFit="1" customWidth="1"/>
    <col min="6173" max="6175" width="14.44140625" style="1" customWidth="1"/>
    <col min="6176" max="6176" width="9.88671875" style="1" customWidth="1"/>
    <col min="6177" max="6179" width="17" style="1" customWidth="1"/>
    <col min="6180" max="6180" width="9.109375" style="1"/>
    <col min="6181" max="6181" width="17" style="1" customWidth="1"/>
    <col min="6182" max="6182" width="10.44140625" style="1" customWidth="1"/>
    <col min="6183" max="6354" width="9.109375" style="1"/>
    <col min="6355" max="6357" width="18.44140625" style="1" customWidth="1"/>
    <col min="6358" max="6358" width="11.88671875" style="1" customWidth="1"/>
    <col min="6359" max="6360" width="10.109375" style="1" customWidth="1"/>
    <col min="6361" max="6362" width="13.6640625" style="1" customWidth="1"/>
    <col min="6363" max="6365" width="23.77734375" style="1" customWidth="1"/>
    <col min="6366" max="6366" width="11.77734375" style="1" customWidth="1"/>
    <col min="6367" max="6368" width="9.109375" style="1"/>
    <col min="6369" max="6369" width="21" style="1" customWidth="1"/>
    <col min="6370" max="6370" width="12.33203125" style="1" customWidth="1"/>
    <col min="6371" max="6372" width="14" style="1" customWidth="1"/>
    <col min="6373" max="6373" width="10.109375" style="1" bestFit="1" customWidth="1"/>
    <col min="6374" max="6374" width="27.21875" style="1" customWidth="1"/>
    <col min="6375" max="6375" width="24.5546875" style="1" customWidth="1"/>
    <col min="6376" max="6376" width="16.21875" style="1" customWidth="1"/>
    <col min="6377" max="6377" width="16.33203125" style="1" customWidth="1"/>
    <col min="6378" max="6378" width="18.5546875" style="1" customWidth="1"/>
    <col min="6379" max="6379" width="20.33203125" style="1" customWidth="1"/>
    <col min="6380" max="6381" width="22.88671875" style="1" customWidth="1"/>
    <col min="6382" max="6384" width="18" style="1" customWidth="1"/>
    <col min="6385" max="6385" width="17.21875" style="1" customWidth="1"/>
    <col min="6386" max="6386" width="16.6640625" style="1" customWidth="1"/>
    <col min="6387" max="6387" width="17.44140625" style="1" customWidth="1"/>
    <col min="6388" max="6388" width="24.21875" style="1" customWidth="1"/>
    <col min="6389" max="6389" width="14.5546875" style="1" customWidth="1"/>
    <col min="6390" max="6390" width="41.5546875" style="1" customWidth="1"/>
    <col min="6391" max="6392" width="32.44140625" style="1" customWidth="1"/>
    <col min="6393" max="6397" width="41.5546875" style="1" customWidth="1"/>
    <col min="6398" max="6398" width="30.44140625" style="1" customWidth="1"/>
    <col min="6399" max="6400" width="22.33203125" style="1" customWidth="1"/>
    <col min="6401" max="6401" width="9.109375" style="1"/>
    <col min="6402" max="6402" width="16.109375" style="1" customWidth="1"/>
    <col min="6403" max="6403" width="23.77734375" style="1" customWidth="1"/>
    <col min="6404" max="6404" width="74.44140625" style="1" customWidth="1"/>
    <col min="6405" max="6406" width="9.109375" style="1"/>
    <col min="6407" max="6407" width="14.109375" style="1" customWidth="1"/>
    <col min="6408" max="6408" width="12.44140625" style="1" customWidth="1"/>
    <col min="6409" max="6409" width="13.44140625" style="1" customWidth="1"/>
    <col min="6410" max="6410" width="11.109375" style="1" customWidth="1"/>
    <col min="6411" max="6414" width="17.33203125" style="1" customWidth="1"/>
    <col min="6415" max="6418" width="9.109375" style="1"/>
    <col min="6419" max="6420" width="22.33203125" style="1" customWidth="1"/>
    <col min="6421" max="6421" width="11.88671875" style="1" customWidth="1"/>
    <col min="6422" max="6422" width="10.109375" style="1" customWidth="1"/>
    <col min="6423" max="6424" width="9.109375" style="1"/>
    <col min="6425" max="6425" width="13.33203125" style="1" customWidth="1"/>
    <col min="6426" max="6426" width="11.44140625" style="1" customWidth="1"/>
    <col min="6427" max="6427" width="13.33203125" style="1" bestFit="1" customWidth="1"/>
    <col min="6428" max="6428" width="16.88671875" style="1" bestFit="1" customWidth="1"/>
    <col min="6429" max="6431" width="14.44140625" style="1" customWidth="1"/>
    <col min="6432" max="6432" width="9.88671875" style="1" customWidth="1"/>
    <col min="6433" max="6435" width="17" style="1" customWidth="1"/>
    <col min="6436" max="6436" width="9.109375" style="1"/>
    <col min="6437" max="6437" width="17" style="1" customWidth="1"/>
    <col min="6438" max="6438" width="10.44140625" style="1" customWidth="1"/>
    <col min="6439" max="6610" width="9.109375" style="1"/>
    <col min="6611" max="6613" width="18.44140625" style="1" customWidth="1"/>
    <col min="6614" max="6614" width="11.88671875" style="1" customWidth="1"/>
    <col min="6615" max="6616" width="10.109375" style="1" customWidth="1"/>
    <col min="6617" max="6618" width="13.6640625" style="1" customWidth="1"/>
    <col min="6619" max="6621" width="23.77734375" style="1" customWidth="1"/>
    <col min="6622" max="6622" width="11.77734375" style="1" customWidth="1"/>
    <col min="6623" max="6624" width="9.109375" style="1"/>
    <col min="6625" max="6625" width="21" style="1" customWidth="1"/>
    <col min="6626" max="6626" width="12.33203125" style="1" customWidth="1"/>
    <col min="6627" max="6628" width="14" style="1" customWidth="1"/>
    <col min="6629" max="6629" width="10.109375" style="1" bestFit="1" customWidth="1"/>
    <col min="6630" max="6630" width="27.21875" style="1" customWidth="1"/>
    <col min="6631" max="6631" width="24.5546875" style="1" customWidth="1"/>
    <col min="6632" max="6632" width="16.21875" style="1" customWidth="1"/>
    <col min="6633" max="6633" width="16.33203125" style="1" customWidth="1"/>
    <col min="6634" max="6634" width="18.5546875" style="1" customWidth="1"/>
    <col min="6635" max="6635" width="20.33203125" style="1" customWidth="1"/>
    <col min="6636" max="6637" width="22.88671875" style="1" customWidth="1"/>
    <col min="6638" max="6640" width="18" style="1" customWidth="1"/>
    <col min="6641" max="6641" width="17.21875" style="1" customWidth="1"/>
    <col min="6642" max="6642" width="16.6640625" style="1" customWidth="1"/>
    <col min="6643" max="6643" width="17.44140625" style="1" customWidth="1"/>
    <col min="6644" max="6644" width="24.21875" style="1" customWidth="1"/>
    <col min="6645" max="6645" width="14.5546875" style="1" customWidth="1"/>
    <col min="6646" max="6646" width="41.5546875" style="1" customWidth="1"/>
    <col min="6647" max="6648" width="32.44140625" style="1" customWidth="1"/>
    <col min="6649" max="6653" width="41.5546875" style="1" customWidth="1"/>
    <col min="6654" max="6654" width="30.44140625" style="1" customWidth="1"/>
    <col min="6655" max="6656" width="22.33203125" style="1" customWidth="1"/>
    <col min="6657" max="6657" width="9.109375" style="1"/>
    <col min="6658" max="6658" width="16.109375" style="1" customWidth="1"/>
    <col min="6659" max="6659" width="23.77734375" style="1" customWidth="1"/>
    <col min="6660" max="6660" width="74.44140625" style="1" customWidth="1"/>
    <col min="6661" max="6662" width="9.109375" style="1"/>
    <col min="6663" max="6663" width="14.109375" style="1" customWidth="1"/>
    <col min="6664" max="6664" width="12.44140625" style="1" customWidth="1"/>
    <col min="6665" max="6665" width="13.44140625" style="1" customWidth="1"/>
    <col min="6666" max="6666" width="11.109375" style="1" customWidth="1"/>
    <col min="6667" max="6670" width="17.33203125" style="1" customWidth="1"/>
    <col min="6671" max="6674" width="9.109375" style="1"/>
    <col min="6675" max="6676" width="22.33203125" style="1" customWidth="1"/>
    <col min="6677" max="6677" width="11.88671875" style="1" customWidth="1"/>
    <col min="6678" max="6678" width="10.109375" style="1" customWidth="1"/>
    <col min="6679" max="6680" width="9.109375" style="1"/>
    <col min="6681" max="6681" width="13.33203125" style="1" customWidth="1"/>
    <col min="6682" max="6682" width="11.44140625" style="1" customWidth="1"/>
    <col min="6683" max="6683" width="13.33203125" style="1" bestFit="1" customWidth="1"/>
    <col min="6684" max="6684" width="16.88671875" style="1" bestFit="1" customWidth="1"/>
    <col min="6685" max="6687" width="14.44140625" style="1" customWidth="1"/>
    <col min="6688" max="6688" width="9.88671875" style="1" customWidth="1"/>
    <col min="6689" max="6691" width="17" style="1" customWidth="1"/>
    <col min="6692" max="6692" width="9.109375" style="1"/>
    <col min="6693" max="6693" width="17" style="1" customWidth="1"/>
    <col min="6694" max="6694" width="10.44140625" style="1" customWidth="1"/>
    <col min="6695" max="6866" width="9.109375" style="1"/>
    <col min="6867" max="6869" width="18.44140625" style="1" customWidth="1"/>
    <col min="6870" max="6870" width="11.88671875" style="1" customWidth="1"/>
    <col min="6871" max="6872" width="10.109375" style="1" customWidth="1"/>
    <col min="6873" max="6874" width="13.6640625" style="1" customWidth="1"/>
    <col min="6875" max="6877" width="23.77734375" style="1" customWidth="1"/>
    <col min="6878" max="6878" width="11.77734375" style="1" customWidth="1"/>
    <col min="6879" max="6880" width="9.109375" style="1"/>
    <col min="6881" max="6881" width="21" style="1" customWidth="1"/>
    <col min="6882" max="6882" width="12.33203125" style="1" customWidth="1"/>
    <col min="6883" max="6884" width="14" style="1" customWidth="1"/>
    <col min="6885" max="6885" width="10.109375" style="1" bestFit="1" customWidth="1"/>
    <col min="6886" max="6886" width="27.21875" style="1" customWidth="1"/>
    <col min="6887" max="6887" width="24.5546875" style="1" customWidth="1"/>
    <col min="6888" max="6888" width="16.21875" style="1" customWidth="1"/>
    <col min="6889" max="6889" width="16.33203125" style="1" customWidth="1"/>
    <col min="6890" max="6890" width="18.5546875" style="1" customWidth="1"/>
    <col min="6891" max="6891" width="20.33203125" style="1" customWidth="1"/>
    <col min="6892" max="6893" width="22.88671875" style="1" customWidth="1"/>
    <col min="6894" max="6896" width="18" style="1" customWidth="1"/>
    <col min="6897" max="6897" width="17.21875" style="1" customWidth="1"/>
    <col min="6898" max="6898" width="16.6640625" style="1" customWidth="1"/>
    <col min="6899" max="6899" width="17.44140625" style="1" customWidth="1"/>
    <col min="6900" max="6900" width="24.21875" style="1" customWidth="1"/>
    <col min="6901" max="6901" width="14.5546875" style="1" customWidth="1"/>
    <col min="6902" max="6902" width="41.5546875" style="1" customWidth="1"/>
    <col min="6903" max="6904" width="32.44140625" style="1" customWidth="1"/>
    <col min="6905" max="6909" width="41.5546875" style="1" customWidth="1"/>
    <col min="6910" max="6910" width="30.44140625" style="1" customWidth="1"/>
    <col min="6911" max="6912" width="22.33203125" style="1" customWidth="1"/>
    <col min="6913" max="6913" width="9.109375" style="1"/>
    <col min="6914" max="6914" width="16.109375" style="1" customWidth="1"/>
    <col min="6915" max="6915" width="23.77734375" style="1" customWidth="1"/>
    <col min="6916" max="6916" width="74.44140625" style="1" customWidth="1"/>
    <col min="6917" max="6918" width="9.109375" style="1"/>
    <col min="6919" max="6919" width="14.109375" style="1" customWidth="1"/>
    <col min="6920" max="6920" width="12.44140625" style="1" customWidth="1"/>
    <col min="6921" max="6921" width="13.44140625" style="1" customWidth="1"/>
    <col min="6922" max="6922" width="11.109375" style="1" customWidth="1"/>
    <col min="6923" max="6926" width="17.33203125" style="1" customWidth="1"/>
    <col min="6927" max="6930" width="9.109375" style="1"/>
    <col min="6931" max="6932" width="22.33203125" style="1" customWidth="1"/>
    <col min="6933" max="6933" width="11.88671875" style="1" customWidth="1"/>
    <col min="6934" max="6934" width="10.109375" style="1" customWidth="1"/>
    <col min="6935" max="6936" width="9.109375" style="1"/>
    <col min="6937" max="6937" width="13.33203125" style="1" customWidth="1"/>
    <col min="6938" max="6938" width="11.44140625" style="1" customWidth="1"/>
    <col min="6939" max="6939" width="13.33203125" style="1" bestFit="1" customWidth="1"/>
    <col min="6940" max="6940" width="16.88671875" style="1" bestFit="1" customWidth="1"/>
    <col min="6941" max="6943" width="14.44140625" style="1" customWidth="1"/>
    <col min="6944" max="6944" width="9.88671875" style="1" customWidth="1"/>
    <col min="6945" max="6947" width="17" style="1" customWidth="1"/>
    <col min="6948" max="6948" width="9.109375" style="1"/>
    <col min="6949" max="6949" width="17" style="1" customWidth="1"/>
    <col min="6950" max="6950" width="10.44140625" style="1" customWidth="1"/>
    <col min="6951" max="7122" width="9.109375" style="1"/>
    <col min="7123" max="7125" width="18.44140625" style="1" customWidth="1"/>
    <col min="7126" max="7126" width="11.88671875" style="1" customWidth="1"/>
    <col min="7127" max="7128" width="10.109375" style="1" customWidth="1"/>
    <col min="7129" max="7130" width="13.6640625" style="1" customWidth="1"/>
    <col min="7131" max="7133" width="23.77734375" style="1" customWidth="1"/>
    <col min="7134" max="7134" width="11.77734375" style="1" customWidth="1"/>
    <col min="7135" max="7136" width="9.109375" style="1"/>
    <col min="7137" max="7137" width="21" style="1" customWidth="1"/>
    <col min="7138" max="7138" width="12.33203125" style="1" customWidth="1"/>
    <col min="7139" max="7140" width="14" style="1" customWidth="1"/>
    <col min="7141" max="7141" width="10.109375" style="1" bestFit="1" customWidth="1"/>
    <col min="7142" max="7142" width="27.21875" style="1" customWidth="1"/>
    <col min="7143" max="7143" width="24.5546875" style="1" customWidth="1"/>
    <col min="7144" max="7144" width="16.21875" style="1" customWidth="1"/>
    <col min="7145" max="7145" width="16.33203125" style="1" customWidth="1"/>
    <col min="7146" max="7146" width="18.5546875" style="1" customWidth="1"/>
    <col min="7147" max="7147" width="20.33203125" style="1" customWidth="1"/>
    <col min="7148" max="7149" width="22.88671875" style="1" customWidth="1"/>
    <col min="7150" max="7152" width="18" style="1" customWidth="1"/>
    <col min="7153" max="7153" width="17.21875" style="1" customWidth="1"/>
    <col min="7154" max="7154" width="16.6640625" style="1" customWidth="1"/>
    <col min="7155" max="7155" width="17.44140625" style="1" customWidth="1"/>
    <col min="7156" max="7156" width="24.21875" style="1" customWidth="1"/>
    <col min="7157" max="7157" width="14.5546875" style="1" customWidth="1"/>
    <col min="7158" max="7158" width="41.5546875" style="1" customWidth="1"/>
    <col min="7159" max="7160" width="32.44140625" style="1" customWidth="1"/>
    <col min="7161" max="7165" width="41.5546875" style="1" customWidth="1"/>
    <col min="7166" max="7166" width="30.44140625" style="1" customWidth="1"/>
    <col min="7167" max="7168" width="22.33203125" style="1" customWidth="1"/>
    <col min="7169" max="7169" width="9.109375" style="1"/>
    <col min="7170" max="7170" width="16.109375" style="1" customWidth="1"/>
    <col min="7171" max="7171" width="23.77734375" style="1" customWidth="1"/>
    <col min="7172" max="7172" width="74.44140625" style="1" customWidth="1"/>
    <col min="7173" max="7174" width="9.109375" style="1"/>
    <col min="7175" max="7175" width="14.109375" style="1" customWidth="1"/>
    <col min="7176" max="7176" width="12.44140625" style="1" customWidth="1"/>
    <col min="7177" max="7177" width="13.44140625" style="1" customWidth="1"/>
    <col min="7178" max="7178" width="11.109375" style="1" customWidth="1"/>
    <col min="7179" max="7182" width="17.33203125" style="1" customWidth="1"/>
    <col min="7183" max="7186" width="9.109375" style="1"/>
    <col min="7187" max="7188" width="22.33203125" style="1" customWidth="1"/>
    <col min="7189" max="7189" width="11.88671875" style="1" customWidth="1"/>
    <col min="7190" max="7190" width="10.109375" style="1" customWidth="1"/>
    <col min="7191" max="7192" width="9.109375" style="1"/>
    <col min="7193" max="7193" width="13.33203125" style="1" customWidth="1"/>
    <col min="7194" max="7194" width="11.44140625" style="1" customWidth="1"/>
    <col min="7195" max="7195" width="13.33203125" style="1" bestFit="1" customWidth="1"/>
    <col min="7196" max="7196" width="16.88671875" style="1" bestFit="1" customWidth="1"/>
    <col min="7197" max="7199" width="14.44140625" style="1" customWidth="1"/>
    <col min="7200" max="7200" width="9.88671875" style="1" customWidth="1"/>
    <col min="7201" max="7203" width="17" style="1" customWidth="1"/>
    <col min="7204" max="7204" width="9.109375" style="1"/>
    <col min="7205" max="7205" width="17" style="1" customWidth="1"/>
    <col min="7206" max="7206" width="10.44140625" style="1" customWidth="1"/>
    <col min="7207" max="7378" width="9.109375" style="1"/>
    <col min="7379" max="7381" width="18.44140625" style="1" customWidth="1"/>
    <col min="7382" max="7382" width="11.88671875" style="1" customWidth="1"/>
    <col min="7383" max="7384" width="10.109375" style="1" customWidth="1"/>
    <col min="7385" max="7386" width="13.6640625" style="1" customWidth="1"/>
    <col min="7387" max="7389" width="23.77734375" style="1" customWidth="1"/>
    <col min="7390" max="7390" width="11.77734375" style="1" customWidth="1"/>
    <col min="7391" max="7392" width="9.109375" style="1"/>
    <col min="7393" max="7393" width="21" style="1" customWidth="1"/>
    <col min="7394" max="7394" width="12.33203125" style="1" customWidth="1"/>
    <col min="7395" max="7396" width="14" style="1" customWidth="1"/>
    <col min="7397" max="7397" width="10.109375" style="1" bestFit="1" customWidth="1"/>
    <col min="7398" max="7398" width="27.21875" style="1" customWidth="1"/>
    <col min="7399" max="7399" width="24.5546875" style="1" customWidth="1"/>
    <col min="7400" max="7400" width="16.21875" style="1" customWidth="1"/>
    <col min="7401" max="7401" width="16.33203125" style="1" customWidth="1"/>
    <col min="7402" max="7402" width="18.5546875" style="1" customWidth="1"/>
    <col min="7403" max="7403" width="20.33203125" style="1" customWidth="1"/>
    <col min="7404" max="7405" width="22.88671875" style="1" customWidth="1"/>
    <col min="7406" max="7408" width="18" style="1" customWidth="1"/>
    <col min="7409" max="7409" width="17.21875" style="1" customWidth="1"/>
    <col min="7410" max="7410" width="16.6640625" style="1" customWidth="1"/>
    <col min="7411" max="7411" width="17.44140625" style="1" customWidth="1"/>
    <col min="7412" max="7412" width="24.21875" style="1" customWidth="1"/>
    <col min="7413" max="7413" width="14.5546875" style="1" customWidth="1"/>
    <col min="7414" max="7414" width="41.5546875" style="1" customWidth="1"/>
    <col min="7415" max="7416" width="32.44140625" style="1" customWidth="1"/>
    <col min="7417" max="7421" width="41.5546875" style="1" customWidth="1"/>
    <col min="7422" max="7422" width="30.44140625" style="1" customWidth="1"/>
    <col min="7423" max="7424" width="22.33203125" style="1" customWidth="1"/>
    <col min="7425" max="7425" width="9.109375" style="1"/>
    <col min="7426" max="7426" width="16.109375" style="1" customWidth="1"/>
    <col min="7427" max="7427" width="23.77734375" style="1" customWidth="1"/>
    <col min="7428" max="7428" width="74.44140625" style="1" customWidth="1"/>
    <col min="7429" max="7430" width="9.109375" style="1"/>
    <col min="7431" max="7431" width="14.109375" style="1" customWidth="1"/>
    <col min="7432" max="7432" width="12.44140625" style="1" customWidth="1"/>
    <col min="7433" max="7433" width="13.44140625" style="1" customWidth="1"/>
    <col min="7434" max="7434" width="11.109375" style="1" customWidth="1"/>
    <col min="7435" max="7438" width="17.33203125" style="1" customWidth="1"/>
    <col min="7439" max="7442" width="9.109375" style="1"/>
    <col min="7443" max="7444" width="22.33203125" style="1" customWidth="1"/>
    <col min="7445" max="7445" width="11.88671875" style="1" customWidth="1"/>
    <col min="7446" max="7446" width="10.109375" style="1" customWidth="1"/>
    <col min="7447" max="7448" width="9.109375" style="1"/>
    <col min="7449" max="7449" width="13.33203125" style="1" customWidth="1"/>
    <col min="7450" max="7450" width="11.44140625" style="1" customWidth="1"/>
    <col min="7451" max="7451" width="13.33203125" style="1" bestFit="1" customWidth="1"/>
    <col min="7452" max="7452" width="16.88671875" style="1" bestFit="1" customWidth="1"/>
    <col min="7453" max="7455" width="14.44140625" style="1" customWidth="1"/>
    <col min="7456" max="7456" width="9.88671875" style="1" customWidth="1"/>
    <col min="7457" max="7459" width="17" style="1" customWidth="1"/>
    <col min="7460" max="7460" width="9.109375" style="1"/>
    <col min="7461" max="7461" width="17" style="1" customWidth="1"/>
    <col min="7462" max="7462" width="10.44140625" style="1" customWidth="1"/>
    <col min="7463" max="7634" width="9.109375" style="1"/>
    <col min="7635" max="7637" width="18.44140625" style="1" customWidth="1"/>
    <col min="7638" max="7638" width="11.88671875" style="1" customWidth="1"/>
    <col min="7639" max="7640" width="10.109375" style="1" customWidth="1"/>
    <col min="7641" max="7642" width="13.6640625" style="1" customWidth="1"/>
    <col min="7643" max="7645" width="23.77734375" style="1" customWidth="1"/>
    <col min="7646" max="7646" width="11.77734375" style="1" customWidth="1"/>
    <col min="7647" max="7648" width="9.109375" style="1"/>
    <col min="7649" max="7649" width="21" style="1" customWidth="1"/>
    <col min="7650" max="7650" width="12.33203125" style="1" customWidth="1"/>
    <col min="7651" max="7652" width="14" style="1" customWidth="1"/>
    <col min="7653" max="7653" width="10.109375" style="1" bestFit="1" customWidth="1"/>
    <col min="7654" max="7654" width="27.21875" style="1" customWidth="1"/>
    <col min="7655" max="7655" width="24.5546875" style="1" customWidth="1"/>
    <col min="7656" max="7656" width="16.21875" style="1" customWidth="1"/>
    <col min="7657" max="7657" width="16.33203125" style="1" customWidth="1"/>
    <col min="7658" max="7658" width="18.5546875" style="1" customWidth="1"/>
    <col min="7659" max="7659" width="20.33203125" style="1" customWidth="1"/>
    <col min="7660" max="7661" width="22.88671875" style="1" customWidth="1"/>
    <col min="7662" max="7664" width="18" style="1" customWidth="1"/>
    <col min="7665" max="7665" width="17.21875" style="1" customWidth="1"/>
    <col min="7666" max="7666" width="16.6640625" style="1" customWidth="1"/>
    <col min="7667" max="7667" width="17.44140625" style="1" customWidth="1"/>
    <col min="7668" max="7668" width="24.21875" style="1" customWidth="1"/>
    <col min="7669" max="7669" width="14.5546875" style="1" customWidth="1"/>
    <col min="7670" max="7670" width="41.5546875" style="1" customWidth="1"/>
    <col min="7671" max="7672" width="32.44140625" style="1" customWidth="1"/>
    <col min="7673" max="7677" width="41.5546875" style="1" customWidth="1"/>
    <col min="7678" max="7678" width="30.44140625" style="1" customWidth="1"/>
    <col min="7679" max="7680" width="22.33203125" style="1" customWidth="1"/>
    <col min="7681" max="7681" width="9.109375" style="1"/>
    <col min="7682" max="7682" width="16.109375" style="1" customWidth="1"/>
    <col min="7683" max="7683" width="23.77734375" style="1" customWidth="1"/>
    <col min="7684" max="7684" width="74.44140625" style="1" customWidth="1"/>
    <col min="7685" max="7686" width="9.109375" style="1"/>
    <col min="7687" max="7687" width="14.109375" style="1" customWidth="1"/>
    <col min="7688" max="7688" width="12.44140625" style="1" customWidth="1"/>
    <col min="7689" max="7689" width="13.44140625" style="1" customWidth="1"/>
    <col min="7690" max="7690" width="11.109375" style="1" customWidth="1"/>
    <col min="7691" max="7694" width="17.33203125" style="1" customWidth="1"/>
    <col min="7695" max="7698" width="9.109375" style="1"/>
    <col min="7699" max="7700" width="22.33203125" style="1" customWidth="1"/>
    <col min="7701" max="7701" width="11.88671875" style="1" customWidth="1"/>
    <col min="7702" max="7702" width="10.109375" style="1" customWidth="1"/>
    <col min="7703" max="7704" width="9.109375" style="1"/>
    <col min="7705" max="7705" width="13.33203125" style="1" customWidth="1"/>
    <col min="7706" max="7706" width="11.44140625" style="1" customWidth="1"/>
    <col min="7707" max="7707" width="13.33203125" style="1" bestFit="1" customWidth="1"/>
    <col min="7708" max="7708" width="16.88671875" style="1" bestFit="1" customWidth="1"/>
    <col min="7709" max="7711" width="14.44140625" style="1" customWidth="1"/>
    <col min="7712" max="7712" width="9.88671875" style="1" customWidth="1"/>
    <col min="7713" max="7715" width="17" style="1" customWidth="1"/>
    <col min="7716" max="7716" width="9.109375" style="1"/>
    <col min="7717" max="7717" width="17" style="1" customWidth="1"/>
    <col min="7718" max="7718" width="10.44140625" style="1" customWidth="1"/>
    <col min="7719" max="7890" width="9.109375" style="1"/>
    <col min="7891" max="7893" width="18.44140625" style="1" customWidth="1"/>
    <col min="7894" max="7894" width="11.88671875" style="1" customWidth="1"/>
    <col min="7895" max="7896" width="10.109375" style="1" customWidth="1"/>
    <col min="7897" max="7898" width="13.6640625" style="1" customWidth="1"/>
    <col min="7899" max="7901" width="23.77734375" style="1" customWidth="1"/>
    <col min="7902" max="7902" width="11.77734375" style="1" customWidth="1"/>
    <col min="7903" max="7904" width="9.109375" style="1"/>
    <col min="7905" max="7905" width="21" style="1" customWidth="1"/>
    <col min="7906" max="7906" width="12.33203125" style="1" customWidth="1"/>
    <col min="7907" max="7908" width="14" style="1" customWidth="1"/>
    <col min="7909" max="7909" width="10.109375" style="1" bestFit="1" customWidth="1"/>
    <col min="7910" max="7910" width="27.21875" style="1" customWidth="1"/>
    <col min="7911" max="7911" width="24.5546875" style="1" customWidth="1"/>
    <col min="7912" max="7912" width="16.21875" style="1" customWidth="1"/>
    <col min="7913" max="7913" width="16.33203125" style="1" customWidth="1"/>
    <col min="7914" max="7914" width="18.5546875" style="1" customWidth="1"/>
    <col min="7915" max="7915" width="20.33203125" style="1" customWidth="1"/>
    <col min="7916" max="7917" width="22.88671875" style="1" customWidth="1"/>
    <col min="7918" max="7920" width="18" style="1" customWidth="1"/>
    <col min="7921" max="7921" width="17.21875" style="1" customWidth="1"/>
    <col min="7922" max="7922" width="16.6640625" style="1" customWidth="1"/>
    <col min="7923" max="7923" width="17.44140625" style="1" customWidth="1"/>
    <col min="7924" max="7924" width="24.21875" style="1" customWidth="1"/>
    <col min="7925" max="7925" width="14.5546875" style="1" customWidth="1"/>
    <col min="7926" max="7926" width="41.5546875" style="1" customWidth="1"/>
    <col min="7927" max="7928" width="32.44140625" style="1" customWidth="1"/>
    <col min="7929" max="7933" width="41.5546875" style="1" customWidth="1"/>
    <col min="7934" max="7934" width="30.44140625" style="1" customWidth="1"/>
    <col min="7935" max="7936" width="22.33203125" style="1" customWidth="1"/>
    <col min="7937" max="7937" width="9.109375" style="1"/>
    <col min="7938" max="7938" width="16.109375" style="1" customWidth="1"/>
    <col min="7939" max="7939" width="23.77734375" style="1" customWidth="1"/>
    <col min="7940" max="7940" width="74.44140625" style="1" customWidth="1"/>
    <col min="7941" max="7942" width="9.109375" style="1"/>
    <col min="7943" max="7943" width="14.109375" style="1" customWidth="1"/>
    <col min="7944" max="7944" width="12.44140625" style="1" customWidth="1"/>
    <col min="7945" max="7945" width="13.44140625" style="1" customWidth="1"/>
    <col min="7946" max="7946" width="11.109375" style="1" customWidth="1"/>
    <col min="7947" max="7950" width="17.33203125" style="1" customWidth="1"/>
    <col min="7951" max="7954" width="9.109375" style="1"/>
    <col min="7955" max="7956" width="22.33203125" style="1" customWidth="1"/>
    <col min="7957" max="7957" width="11.88671875" style="1" customWidth="1"/>
    <col min="7958" max="7958" width="10.109375" style="1" customWidth="1"/>
    <col min="7959" max="7960" width="9.109375" style="1"/>
    <col min="7961" max="7961" width="13.33203125" style="1" customWidth="1"/>
    <col min="7962" max="7962" width="11.44140625" style="1" customWidth="1"/>
    <col min="7963" max="7963" width="13.33203125" style="1" bestFit="1" customWidth="1"/>
    <col min="7964" max="7964" width="16.88671875" style="1" bestFit="1" customWidth="1"/>
    <col min="7965" max="7967" width="14.44140625" style="1" customWidth="1"/>
    <col min="7968" max="7968" width="9.88671875" style="1" customWidth="1"/>
    <col min="7969" max="7971" width="17" style="1" customWidth="1"/>
    <col min="7972" max="7972" width="9.109375" style="1"/>
    <col min="7973" max="7973" width="17" style="1" customWidth="1"/>
    <col min="7974" max="7974" width="10.44140625" style="1" customWidth="1"/>
    <col min="7975" max="8146" width="9.109375" style="1"/>
    <col min="8147" max="8149" width="18.44140625" style="1" customWidth="1"/>
    <col min="8150" max="8150" width="11.88671875" style="1" customWidth="1"/>
    <col min="8151" max="8152" width="10.109375" style="1" customWidth="1"/>
    <col min="8153" max="8154" width="13.6640625" style="1" customWidth="1"/>
    <col min="8155" max="8157" width="23.77734375" style="1" customWidth="1"/>
    <col min="8158" max="8158" width="11.77734375" style="1" customWidth="1"/>
    <col min="8159" max="8160" width="9.109375" style="1"/>
    <col min="8161" max="8161" width="21" style="1" customWidth="1"/>
    <col min="8162" max="8162" width="12.33203125" style="1" customWidth="1"/>
    <col min="8163" max="8164" width="14" style="1" customWidth="1"/>
    <col min="8165" max="8165" width="10.109375" style="1" bestFit="1" customWidth="1"/>
    <col min="8166" max="8166" width="27.21875" style="1" customWidth="1"/>
    <col min="8167" max="8167" width="24.5546875" style="1" customWidth="1"/>
    <col min="8168" max="8168" width="16.21875" style="1" customWidth="1"/>
    <col min="8169" max="8169" width="16.33203125" style="1" customWidth="1"/>
    <col min="8170" max="8170" width="18.5546875" style="1" customWidth="1"/>
    <col min="8171" max="8171" width="20.33203125" style="1" customWidth="1"/>
    <col min="8172" max="8173" width="22.88671875" style="1" customWidth="1"/>
    <col min="8174" max="8176" width="18" style="1" customWidth="1"/>
    <col min="8177" max="8177" width="17.21875" style="1" customWidth="1"/>
    <col min="8178" max="8178" width="16.6640625" style="1" customWidth="1"/>
    <col min="8179" max="8179" width="17.44140625" style="1" customWidth="1"/>
    <col min="8180" max="8180" width="24.21875" style="1" customWidth="1"/>
    <col min="8181" max="8181" width="14.5546875" style="1" customWidth="1"/>
    <col min="8182" max="8182" width="41.5546875" style="1" customWidth="1"/>
    <col min="8183" max="8184" width="32.44140625" style="1" customWidth="1"/>
    <col min="8185" max="8189" width="41.5546875" style="1" customWidth="1"/>
    <col min="8190" max="8190" width="30.44140625" style="1" customWidth="1"/>
    <col min="8191" max="8192" width="22.33203125" style="1" customWidth="1"/>
    <col min="8193" max="8193" width="9.109375" style="1"/>
    <col min="8194" max="8194" width="16.109375" style="1" customWidth="1"/>
    <col min="8195" max="8195" width="23.77734375" style="1" customWidth="1"/>
    <col min="8196" max="8196" width="74.44140625" style="1" customWidth="1"/>
    <col min="8197" max="8198" width="9.109375" style="1"/>
    <col min="8199" max="8199" width="14.109375" style="1" customWidth="1"/>
    <col min="8200" max="8200" width="12.44140625" style="1" customWidth="1"/>
    <col min="8201" max="8201" width="13.44140625" style="1" customWidth="1"/>
    <col min="8202" max="8202" width="11.109375" style="1" customWidth="1"/>
    <col min="8203" max="8206" width="17.33203125" style="1" customWidth="1"/>
    <col min="8207" max="8210" width="9.109375" style="1"/>
    <col min="8211" max="8212" width="22.33203125" style="1" customWidth="1"/>
    <col min="8213" max="8213" width="11.88671875" style="1" customWidth="1"/>
    <col min="8214" max="8214" width="10.109375" style="1" customWidth="1"/>
    <col min="8215" max="8216" width="9.109375" style="1"/>
    <col min="8217" max="8217" width="13.33203125" style="1" customWidth="1"/>
    <col min="8218" max="8218" width="11.44140625" style="1" customWidth="1"/>
    <col min="8219" max="8219" width="13.33203125" style="1" bestFit="1" customWidth="1"/>
    <col min="8220" max="8220" width="16.88671875" style="1" bestFit="1" customWidth="1"/>
    <col min="8221" max="8223" width="14.44140625" style="1" customWidth="1"/>
    <col min="8224" max="8224" width="9.88671875" style="1" customWidth="1"/>
    <col min="8225" max="8227" width="17" style="1" customWidth="1"/>
    <col min="8228" max="8228" width="9.109375" style="1"/>
    <col min="8229" max="8229" width="17" style="1" customWidth="1"/>
    <col min="8230" max="8230" width="10.44140625" style="1" customWidth="1"/>
    <col min="8231" max="8402" width="9.109375" style="1"/>
    <col min="8403" max="8405" width="18.44140625" style="1" customWidth="1"/>
    <col min="8406" max="8406" width="11.88671875" style="1" customWidth="1"/>
    <col min="8407" max="8408" width="10.109375" style="1" customWidth="1"/>
    <col min="8409" max="8410" width="13.6640625" style="1" customWidth="1"/>
    <col min="8411" max="8413" width="23.77734375" style="1" customWidth="1"/>
    <col min="8414" max="8414" width="11.77734375" style="1" customWidth="1"/>
    <col min="8415" max="8416" width="9.109375" style="1"/>
    <col min="8417" max="8417" width="21" style="1" customWidth="1"/>
    <col min="8418" max="8418" width="12.33203125" style="1" customWidth="1"/>
    <col min="8419" max="8420" width="14" style="1" customWidth="1"/>
    <col min="8421" max="8421" width="10.109375" style="1" bestFit="1" customWidth="1"/>
    <col min="8422" max="8422" width="27.21875" style="1" customWidth="1"/>
    <col min="8423" max="8423" width="24.5546875" style="1" customWidth="1"/>
    <col min="8424" max="8424" width="16.21875" style="1" customWidth="1"/>
    <col min="8425" max="8425" width="16.33203125" style="1" customWidth="1"/>
    <col min="8426" max="8426" width="18.5546875" style="1" customWidth="1"/>
    <col min="8427" max="8427" width="20.33203125" style="1" customWidth="1"/>
    <col min="8428" max="8429" width="22.88671875" style="1" customWidth="1"/>
    <col min="8430" max="8432" width="18" style="1" customWidth="1"/>
    <col min="8433" max="8433" width="17.21875" style="1" customWidth="1"/>
    <col min="8434" max="8434" width="16.6640625" style="1" customWidth="1"/>
    <col min="8435" max="8435" width="17.44140625" style="1" customWidth="1"/>
    <col min="8436" max="8436" width="24.21875" style="1" customWidth="1"/>
    <col min="8437" max="8437" width="14.5546875" style="1" customWidth="1"/>
    <col min="8438" max="8438" width="41.5546875" style="1" customWidth="1"/>
    <col min="8439" max="8440" width="32.44140625" style="1" customWidth="1"/>
    <col min="8441" max="8445" width="41.5546875" style="1" customWidth="1"/>
    <col min="8446" max="8446" width="30.44140625" style="1" customWidth="1"/>
    <col min="8447" max="8448" width="22.33203125" style="1" customWidth="1"/>
    <col min="8449" max="8449" width="9.109375" style="1"/>
    <col min="8450" max="8450" width="16.109375" style="1" customWidth="1"/>
    <col min="8451" max="8451" width="23.77734375" style="1" customWidth="1"/>
    <col min="8452" max="8452" width="74.44140625" style="1" customWidth="1"/>
    <col min="8453" max="8454" width="9.109375" style="1"/>
    <col min="8455" max="8455" width="14.109375" style="1" customWidth="1"/>
    <col min="8456" max="8456" width="12.44140625" style="1" customWidth="1"/>
    <col min="8457" max="8457" width="13.44140625" style="1" customWidth="1"/>
    <col min="8458" max="8458" width="11.109375" style="1" customWidth="1"/>
    <col min="8459" max="8462" width="17.33203125" style="1" customWidth="1"/>
    <col min="8463" max="8466" width="9.109375" style="1"/>
    <col min="8467" max="8468" width="22.33203125" style="1" customWidth="1"/>
    <col min="8469" max="8469" width="11.88671875" style="1" customWidth="1"/>
    <col min="8470" max="8470" width="10.109375" style="1" customWidth="1"/>
    <col min="8471" max="8472" width="9.109375" style="1"/>
    <col min="8473" max="8473" width="13.33203125" style="1" customWidth="1"/>
    <col min="8474" max="8474" width="11.44140625" style="1" customWidth="1"/>
    <col min="8475" max="8475" width="13.33203125" style="1" bestFit="1" customWidth="1"/>
    <col min="8476" max="8476" width="16.88671875" style="1" bestFit="1" customWidth="1"/>
    <col min="8477" max="8479" width="14.44140625" style="1" customWidth="1"/>
    <col min="8480" max="8480" width="9.88671875" style="1" customWidth="1"/>
    <col min="8481" max="8483" width="17" style="1" customWidth="1"/>
    <col min="8484" max="8484" width="9.109375" style="1"/>
    <col min="8485" max="8485" width="17" style="1" customWidth="1"/>
    <col min="8486" max="8486" width="10.44140625" style="1" customWidth="1"/>
    <col min="8487" max="8658" width="9.109375" style="1"/>
    <col min="8659" max="8661" width="18.44140625" style="1" customWidth="1"/>
    <col min="8662" max="8662" width="11.88671875" style="1" customWidth="1"/>
    <col min="8663" max="8664" width="10.109375" style="1" customWidth="1"/>
    <col min="8665" max="8666" width="13.6640625" style="1" customWidth="1"/>
    <col min="8667" max="8669" width="23.77734375" style="1" customWidth="1"/>
    <col min="8670" max="8670" width="11.77734375" style="1" customWidth="1"/>
    <col min="8671" max="8672" width="9.109375" style="1"/>
    <col min="8673" max="8673" width="21" style="1" customWidth="1"/>
    <col min="8674" max="8674" width="12.33203125" style="1" customWidth="1"/>
    <col min="8675" max="8676" width="14" style="1" customWidth="1"/>
    <col min="8677" max="8677" width="10.109375" style="1" bestFit="1" customWidth="1"/>
    <col min="8678" max="8678" width="27.21875" style="1" customWidth="1"/>
    <col min="8679" max="8679" width="24.5546875" style="1" customWidth="1"/>
    <col min="8680" max="8680" width="16.21875" style="1" customWidth="1"/>
    <col min="8681" max="8681" width="16.33203125" style="1" customWidth="1"/>
    <col min="8682" max="8682" width="18.5546875" style="1" customWidth="1"/>
    <col min="8683" max="8683" width="20.33203125" style="1" customWidth="1"/>
    <col min="8684" max="8685" width="22.88671875" style="1" customWidth="1"/>
    <col min="8686" max="8688" width="18" style="1" customWidth="1"/>
    <col min="8689" max="8689" width="17.21875" style="1" customWidth="1"/>
    <col min="8690" max="8690" width="16.6640625" style="1" customWidth="1"/>
    <col min="8691" max="8691" width="17.44140625" style="1" customWidth="1"/>
    <col min="8692" max="8692" width="24.21875" style="1" customWidth="1"/>
    <col min="8693" max="8693" width="14.5546875" style="1" customWidth="1"/>
    <col min="8694" max="8694" width="41.5546875" style="1" customWidth="1"/>
    <col min="8695" max="8696" width="32.44140625" style="1" customWidth="1"/>
    <col min="8697" max="8701" width="41.5546875" style="1" customWidth="1"/>
    <col min="8702" max="8702" width="30.44140625" style="1" customWidth="1"/>
    <col min="8703" max="8704" width="22.33203125" style="1" customWidth="1"/>
    <col min="8705" max="8705" width="9.109375" style="1"/>
    <col min="8706" max="8706" width="16.109375" style="1" customWidth="1"/>
    <col min="8707" max="8707" width="23.77734375" style="1" customWidth="1"/>
    <col min="8708" max="8708" width="74.44140625" style="1" customWidth="1"/>
    <col min="8709" max="8710" width="9.109375" style="1"/>
    <col min="8711" max="8711" width="14.109375" style="1" customWidth="1"/>
    <col min="8712" max="8712" width="12.44140625" style="1" customWidth="1"/>
    <col min="8713" max="8713" width="13.44140625" style="1" customWidth="1"/>
    <col min="8714" max="8714" width="11.109375" style="1" customWidth="1"/>
    <col min="8715" max="8718" width="17.33203125" style="1" customWidth="1"/>
    <col min="8719" max="8722" width="9.109375" style="1"/>
    <col min="8723" max="8724" width="22.33203125" style="1" customWidth="1"/>
    <col min="8725" max="8725" width="11.88671875" style="1" customWidth="1"/>
    <col min="8726" max="8726" width="10.109375" style="1" customWidth="1"/>
    <col min="8727" max="8728" width="9.109375" style="1"/>
    <col min="8729" max="8729" width="13.33203125" style="1" customWidth="1"/>
    <col min="8730" max="8730" width="11.44140625" style="1" customWidth="1"/>
    <col min="8731" max="8731" width="13.33203125" style="1" bestFit="1" customWidth="1"/>
    <col min="8732" max="8732" width="16.88671875" style="1" bestFit="1" customWidth="1"/>
    <col min="8733" max="8735" width="14.44140625" style="1" customWidth="1"/>
    <col min="8736" max="8736" width="9.88671875" style="1" customWidth="1"/>
    <col min="8737" max="8739" width="17" style="1" customWidth="1"/>
    <col min="8740" max="8740" width="9.109375" style="1"/>
    <col min="8741" max="8741" width="17" style="1" customWidth="1"/>
    <col min="8742" max="8742" width="10.44140625" style="1" customWidth="1"/>
    <col min="8743" max="8914" width="9.109375" style="1"/>
    <col min="8915" max="8917" width="18.44140625" style="1" customWidth="1"/>
    <col min="8918" max="8918" width="11.88671875" style="1" customWidth="1"/>
    <col min="8919" max="8920" width="10.109375" style="1" customWidth="1"/>
    <col min="8921" max="8922" width="13.6640625" style="1" customWidth="1"/>
    <col min="8923" max="8925" width="23.77734375" style="1" customWidth="1"/>
    <col min="8926" max="8926" width="11.77734375" style="1" customWidth="1"/>
    <col min="8927" max="8928" width="9.109375" style="1"/>
    <col min="8929" max="8929" width="21" style="1" customWidth="1"/>
    <col min="8930" max="8930" width="12.33203125" style="1" customWidth="1"/>
    <col min="8931" max="8932" width="14" style="1" customWidth="1"/>
    <col min="8933" max="8933" width="10.109375" style="1" bestFit="1" customWidth="1"/>
    <col min="8934" max="8934" width="27.21875" style="1" customWidth="1"/>
    <col min="8935" max="8935" width="24.5546875" style="1" customWidth="1"/>
    <col min="8936" max="8936" width="16.21875" style="1" customWidth="1"/>
    <col min="8937" max="8937" width="16.33203125" style="1" customWidth="1"/>
    <col min="8938" max="8938" width="18.5546875" style="1" customWidth="1"/>
    <col min="8939" max="8939" width="20.33203125" style="1" customWidth="1"/>
    <col min="8940" max="8941" width="22.88671875" style="1" customWidth="1"/>
    <col min="8942" max="8944" width="18" style="1" customWidth="1"/>
    <col min="8945" max="8945" width="17.21875" style="1" customWidth="1"/>
    <col min="8946" max="8946" width="16.6640625" style="1" customWidth="1"/>
    <col min="8947" max="8947" width="17.44140625" style="1" customWidth="1"/>
    <col min="8948" max="8948" width="24.21875" style="1" customWidth="1"/>
    <col min="8949" max="8949" width="14.5546875" style="1" customWidth="1"/>
    <col min="8950" max="8950" width="41.5546875" style="1" customWidth="1"/>
    <col min="8951" max="8952" width="32.44140625" style="1" customWidth="1"/>
    <col min="8953" max="8957" width="41.5546875" style="1" customWidth="1"/>
    <col min="8958" max="8958" width="30.44140625" style="1" customWidth="1"/>
    <col min="8959" max="8960" width="22.33203125" style="1" customWidth="1"/>
    <col min="8961" max="8961" width="9.109375" style="1"/>
    <col min="8962" max="8962" width="16.109375" style="1" customWidth="1"/>
    <col min="8963" max="8963" width="23.77734375" style="1" customWidth="1"/>
    <col min="8964" max="8964" width="74.44140625" style="1" customWidth="1"/>
    <col min="8965" max="8966" width="9.109375" style="1"/>
    <col min="8967" max="8967" width="14.109375" style="1" customWidth="1"/>
    <col min="8968" max="8968" width="12.44140625" style="1" customWidth="1"/>
    <col min="8969" max="8969" width="13.44140625" style="1" customWidth="1"/>
    <col min="8970" max="8970" width="11.109375" style="1" customWidth="1"/>
    <col min="8971" max="8974" width="17.33203125" style="1" customWidth="1"/>
    <col min="8975" max="8978" width="9.109375" style="1"/>
    <col min="8979" max="8980" width="22.33203125" style="1" customWidth="1"/>
    <col min="8981" max="8981" width="11.88671875" style="1" customWidth="1"/>
    <col min="8982" max="8982" width="10.109375" style="1" customWidth="1"/>
    <col min="8983" max="8984" width="9.109375" style="1"/>
    <col min="8985" max="8985" width="13.33203125" style="1" customWidth="1"/>
    <col min="8986" max="8986" width="11.44140625" style="1" customWidth="1"/>
    <col min="8987" max="8987" width="13.33203125" style="1" bestFit="1" customWidth="1"/>
    <col min="8988" max="8988" width="16.88671875" style="1" bestFit="1" customWidth="1"/>
    <col min="8989" max="8991" width="14.44140625" style="1" customWidth="1"/>
    <col min="8992" max="8992" width="9.88671875" style="1" customWidth="1"/>
    <col min="8993" max="8995" width="17" style="1" customWidth="1"/>
    <col min="8996" max="8996" width="9.109375" style="1"/>
    <col min="8997" max="8997" width="17" style="1" customWidth="1"/>
    <col min="8998" max="8998" width="10.44140625" style="1" customWidth="1"/>
    <col min="8999" max="9170" width="9.109375" style="1"/>
    <col min="9171" max="9173" width="18.44140625" style="1" customWidth="1"/>
    <col min="9174" max="9174" width="11.88671875" style="1" customWidth="1"/>
    <col min="9175" max="9176" width="10.109375" style="1" customWidth="1"/>
    <col min="9177" max="9178" width="13.6640625" style="1" customWidth="1"/>
    <col min="9179" max="9181" width="23.77734375" style="1" customWidth="1"/>
    <col min="9182" max="9182" width="11.77734375" style="1" customWidth="1"/>
    <col min="9183" max="9184" width="9.109375" style="1"/>
    <col min="9185" max="9185" width="21" style="1" customWidth="1"/>
    <col min="9186" max="9186" width="12.33203125" style="1" customWidth="1"/>
    <col min="9187" max="9188" width="14" style="1" customWidth="1"/>
    <col min="9189" max="9189" width="10.109375" style="1" bestFit="1" customWidth="1"/>
    <col min="9190" max="9190" width="27.21875" style="1" customWidth="1"/>
    <col min="9191" max="9191" width="24.5546875" style="1" customWidth="1"/>
    <col min="9192" max="9192" width="16.21875" style="1" customWidth="1"/>
    <col min="9193" max="9193" width="16.33203125" style="1" customWidth="1"/>
    <col min="9194" max="9194" width="18.5546875" style="1" customWidth="1"/>
    <col min="9195" max="9195" width="20.33203125" style="1" customWidth="1"/>
    <col min="9196" max="9197" width="22.88671875" style="1" customWidth="1"/>
    <col min="9198" max="9200" width="18" style="1" customWidth="1"/>
    <col min="9201" max="9201" width="17.21875" style="1" customWidth="1"/>
    <col min="9202" max="9202" width="16.6640625" style="1" customWidth="1"/>
    <col min="9203" max="9203" width="17.44140625" style="1" customWidth="1"/>
    <col min="9204" max="9204" width="24.21875" style="1" customWidth="1"/>
    <col min="9205" max="9205" width="14.5546875" style="1" customWidth="1"/>
    <col min="9206" max="9206" width="41.5546875" style="1" customWidth="1"/>
    <col min="9207" max="9208" width="32.44140625" style="1" customWidth="1"/>
    <col min="9209" max="9213" width="41.5546875" style="1" customWidth="1"/>
    <col min="9214" max="9214" width="30.44140625" style="1" customWidth="1"/>
    <col min="9215" max="9216" width="22.33203125" style="1" customWidth="1"/>
    <col min="9217" max="9217" width="9.109375" style="1"/>
    <col min="9218" max="9218" width="16.109375" style="1" customWidth="1"/>
    <col min="9219" max="9219" width="23.77734375" style="1" customWidth="1"/>
    <col min="9220" max="9220" width="74.44140625" style="1" customWidth="1"/>
    <col min="9221" max="9222" width="9.109375" style="1"/>
    <col min="9223" max="9223" width="14.109375" style="1" customWidth="1"/>
    <col min="9224" max="9224" width="12.44140625" style="1" customWidth="1"/>
    <col min="9225" max="9225" width="13.44140625" style="1" customWidth="1"/>
    <col min="9226" max="9226" width="11.109375" style="1" customWidth="1"/>
    <col min="9227" max="9230" width="17.33203125" style="1" customWidth="1"/>
    <col min="9231" max="9234" width="9.109375" style="1"/>
    <col min="9235" max="9236" width="22.33203125" style="1" customWidth="1"/>
    <col min="9237" max="9237" width="11.88671875" style="1" customWidth="1"/>
    <col min="9238" max="9238" width="10.109375" style="1" customWidth="1"/>
    <col min="9239" max="9240" width="9.109375" style="1"/>
    <col min="9241" max="9241" width="13.33203125" style="1" customWidth="1"/>
    <col min="9242" max="9242" width="11.44140625" style="1" customWidth="1"/>
    <col min="9243" max="9243" width="13.33203125" style="1" bestFit="1" customWidth="1"/>
    <col min="9244" max="9244" width="16.88671875" style="1" bestFit="1" customWidth="1"/>
    <col min="9245" max="9247" width="14.44140625" style="1" customWidth="1"/>
    <col min="9248" max="9248" width="9.88671875" style="1" customWidth="1"/>
    <col min="9249" max="9251" width="17" style="1" customWidth="1"/>
    <col min="9252" max="9252" width="9.109375" style="1"/>
    <col min="9253" max="9253" width="17" style="1" customWidth="1"/>
    <col min="9254" max="9254" width="10.44140625" style="1" customWidth="1"/>
    <col min="9255" max="9426" width="9.109375" style="1"/>
    <col min="9427" max="9429" width="18.44140625" style="1" customWidth="1"/>
    <col min="9430" max="9430" width="11.88671875" style="1" customWidth="1"/>
    <col min="9431" max="9432" width="10.109375" style="1" customWidth="1"/>
    <col min="9433" max="9434" width="13.6640625" style="1" customWidth="1"/>
    <col min="9435" max="9437" width="23.77734375" style="1" customWidth="1"/>
    <col min="9438" max="9438" width="11.77734375" style="1" customWidth="1"/>
    <col min="9439" max="9440" width="9.109375" style="1"/>
    <col min="9441" max="9441" width="21" style="1" customWidth="1"/>
    <col min="9442" max="9442" width="12.33203125" style="1" customWidth="1"/>
    <col min="9443" max="9444" width="14" style="1" customWidth="1"/>
    <col min="9445" max="9445" width="10.109375" style="1" bestFit="1" customWidth="1"/>
    <col min="9446" max="9446" width="27.21875" style="1" customWidth="1"/>
    <col min="9447" max="9447" width="24.5546875" style="1" customWidth="1"/>
    <col min="9448" max="9448" width="16.21875" style="1" customWidth="1"/>
    <col min="9449" max="9449" width="16.33203125" style="1" customWidth="1"/>
    <col min="9450" max="9450" width="18.5546875" style="1" customWidth="1"/>
    <col min="9451" max="9451" width="20.33203125" style="1" customWidth="1"/>
    <col min="9452" max="9453" width="22.88671875" style="1" customWidth="1"/>
    <col min="9454" max="9456" width="18" style="1" customWidth="1"/>
    <col min="9457" max="9457" width="17.21875" style="1" customWidth="1"/>
    <col min="9458" max="9458" width="16.6640625" style="1" customWidth="1"/>
    <col min="9459" max="9459" width="17.44140625" style="1" customWidth="1"/>
    <col min="9460" max="9460" width="24.21875" style="1" customWidth="1"/>
    <col min="9461" max="9461" width="14.5546875" style="1" customWidth="1"/>
    <col min="9462" max="9462" width="41.5546875" style="1" customWidth="1"/>
    <col min="9463" max="9464" width="32.44140625" style="1" customWidth="1"/>
    <col min="9465" max="9469" width="41.5546875" style="1" customWidth="1"/>
    <col min="9470" max="9470" width="30.44140625" style="1" customWidth="1"/>
    <col min="9471" max="9472" width="22.33203125" style="1" customWidth="1"/>
    <col min="9473" max="9473" width="9.109375" style="1"/>
    <col min="9474" max="9474" width="16.109375" style="1" customWidth="1"/>
    <col min="9475" max="9475" width="23.77734375" style="1" customWidth="1"/>
    <col min="9476" max="9476" width="74.44140625" style="1" customWidth="1"/>
    <col min="9477" max="9478" width="9.109375" style="1"/>
    <col min="9479" max="9479" width="14.109375" style="1" customWidth="1"/>
    <col min="9480" max="9480" width="12.44140625" style="1" customWidth="1"/>
    <col min="9481" max="9481" width="13.44140625" style="1" customWidth="1"/>
    <col min="9482" max="9482" width="11.109375" style="1" customWidth="1"/>
    <col min="9483" max="9486" width="17.33203125" style="1" customWidth="1"/>
    <col min="9487" max="9490" width="9.109375" style="1"/>
    <col min="9491" max="9492" width="22.33203125" style="1" customWidth="1"/>
    <col min="9493" max="9493" width="11.88671875" style="1" customWidth="1"/>
    <col min="9494" max="9494" width="10.109375" style="1" customWidth="1"/>
    <col min="9495" max="9496" width="9.109375" style="1"/>
    <col min="9497" max="9497" width="13.33203125" style="1" customWidth="1"/>
    <col min="9498" max="9498" width="11.44140625" style="1" customWidth="1"/>
    <col min="9499" max="9499" width="13.33203125" style="1" bestFit="1" customWidth="1"/>
    <col min="9500" max="9500" width="16.88671875" style="1" bestFit="1" customWidth="1"/>
    <col min="9501" max="9503" width="14.44140625" style="1" customWidth="1"/>
    <col min="9504" max="9504" width="9.88671875" style="1" customWidth="1"/>
    <col min="9505" max="9507" width="17" style="1" customWidth="1"/>
    <col min="9508" max="9508" width="9.109375" style="1"/>
    <col min="9509" max="9509" width="17" style="1" customWidth="1"/>
    <col min="9510" max="9510" width="10.44140625" style="1" customWidth="1"/>
    <col min="9511" max="9682" width="9.109375" style="1"/>
    <col min="9683" max="9685" width="18.44140625" style="1" customWidth="1"/>
    <col min="9686" max="9686" width="11.88671875" style="1" customWidth="1"/>
    <col min="9687" max="9688" width="10.109375" style="1" customWidth="1"/>
    <col min="9689" max="9690" width="13.6640625" style="1" customWidth="1"/>
    <col min="9691" max="9693" width="23.77734375" style="1" customWidth="1"/>
    <col min="9694" max="9694" width="11.77734375" style="1" customWidth="1"/>
    <col min="9695" max="9696" width="9.109375" style="1"/>
    <col min="9697" max="9697" width="21" style="1" customWidth="1"/>
    <col min="9698" max="9698" width="12.33203125" style="1" customWidth="1"/>
    <col min="9699" max="9700" width="14" style="1" customWidth="1"/>
    <col min="9701" max="9701" width="10.109375" style="1" bestFit="1" customWidth="1"/>
    <col min="9702" max="9702" width="27.21875" style="1" customWidth="1"/>
    <col min="9703" max="9703" width="24.5546875" style="1" customWidth="1"/>
    <col min="9704" max="9704" width="16.21875" style="1" customWidth="1"/>
    <col min="9705" max="9705" width="16.33203125" style="1" customWidth="1"/>
    <col min="9706" max="9706" width="18.5546875" style="1" customWidth="1"/>
    <col min="9707" max="9707" width="20.33203125" style="1" customWidth="1"/>
    <col min="9708" max="9709" width="22.88671875" style="1" customWidth="1"/>
    <col min="9710" max="9712" width="18" style="1" customWidth="1"/>
    <col min="9713" max="9713" width="17.21875" style="1" customWidth="1"/>
    <col min="9714" max="9714" width="16.6640625" style="1" customWidth="1"/>
    <col min="9715" max="9715" width="17.44140625" style="1" customWidth="1"/>
    <col min="9716" max="9716" width="24.21875" style="1" customWidth="1"/>
    <col min="9717" max="9717" width="14.5546875" style="1" customWidth="1"/>
    <col min="9718" max="9718" width="41.5546875" style="1" customWidth="1"/>
    <col min="9719" max="9720" width="32.44140625" style="1" customWidth="1"/>
    <col min="9721" max="9725" width="41.5546875" style="1" customWidth="1"/>
    <col min="9726" max="9726" width="30.44140625" style="1" customWidth="1"/>
    <col min="9727" max="9728" width="22.33203125" style="1" customWidth="1"/>
    <col min="9729" max="9729" width="9.109375" style="1"/>
    <col min="9730" max="9730" width="16.109375" style="1" customWidth="1"/>
    <col min="9731" max="9731" width="23.77734375" style="1" customWidth="1"/>
    <col min="9732" max="9732" width="74.44140625" style="1" customWidth="1"/>
    <col min="9733" max="9734" width="9.109375" style="1"/>
    <col min="9735" max="9735" width="14.109375" style="1" customWidth="1"/>
    <col min="9736" max="9736" width="12.44140625" style="1" customWidth="1"/>
    <col min="9737" max="9737" width="13.44140625" style="1" customWidth="1"/>
    <col min="9738" max="9738" width="11.109375" style="1" customWidth="1"/>
    <col min="9739" max="9742" width="17.33203125" style="1" customWidth="1"/>
    <col min="9743" max="9746" width="9.109375" style="1"/>
    <col min="9747" max="9748" width="22.33203125" style="1" customWidth="1"/>
    <col min="9749" max="9749" width="11.88671875" style="1" customWidth="1"/>
    <col min="9750" max="9750" width="10.109375" style="1" customWidth="1"/>
    <col min="9751" max="9752" width="9.109375" style="1"/>
    <col min="9753" max="9753" width="13.33203125" style="1" customWidth="1"/>
    <col min="9754" max="9754" width="11.44140625" style="1" customWidth="1"/>
    <col min="9755" max="9755" width="13.33203125" style="1" bestFit="1" customWidth="1"/>
    <col min="9756" max="9756" width="16.88671875" style="1" bestFit="1" customWidth="1"/>
    <col min="9757" max="9759" width="14.44140625" style="1" customWidth="1"/>
    <col min="9760" max="9760" width="9.88671875" style="1" customWidth="1"/>
    <col min="9761" max="9763" width="17" style="1" customWidth="1"/>
    <col min="9764" max="9764" width="9.109375" style="1"/>
    <col min="9765" max="9765" width="17" style="1" customWidth="1"/>
    <col min="9766" max="9766" width="10.44140625" style="1" customWidth="1"/>
    <col min="9767" max="9938" width="9.109375" style="1"/>
    <col min="9939" max="9941" width="18.44140625" style="1" customWidth="1"/>
    <col min="9942" max="9942" width="11.88671875" style="1" customWidth="1"/>
    <col min="9943" max="9944" width="10.109375" style="1" customWidth="1"/>
    <col min="9945" max="9946" width="13.6640625" style="1" customWidth="1"/>
    <col min="9947" max="9949" width="23.77734375" style="1" customWidth="1"/>
    <col min="9950" max="9950" width="11.77734375" style="1" customWidth="1"/>
    <col min="9951" max="9952" width="9.109375" style="1"/>
    <col min="9953" max="9953" width="21" style="1" customWidth="1"/>
    <col min="9954" max="9954" width="12.33203125" style="1" customWidth="1"/>
    <col min="9955" max="9956" width="14" style="1" customWidth="1"/>
    <col min="9957" max="9957" width="10.109375" style="1" bestFit="1" customWidth="1"/>
    <col min="9958" max="9958" width="27.21875" style="1" customWidth="1"/>
    <col min="9959" max="9959" width="24.5546875" style="1" customWidth="1"/>
    <col min="9960" max="9960" width="16.21875" style="1" customWidth="1"/>
    <col min="9961" max="9961" width="16.33203125" style="1" customWidth="1"/>
    <col min="9962" max="9962" width="18.5546875" style="1" customWidth="1"/>
    <col min="9963" max="9963" width="20.33203125" style="1" customWidth="1"/>
    <col min="9964" max="9965" width="22.88671875" style="1" customWidth="1"/>
    <col min="9966" max="9968" width="18" style="1" customWidth="1"/>
    <col min="9969" max="9969" width="17.21875" style="1" customWidth="1"/>
    <col min="9970" max="9970" width="16.6640625" style="1" customWidth="1"/>
    <col min="9971" max="9971" width="17.44140625" style="1" customWidth="1"/>
    <col min="9972" max="9972" width="24.21875" style="1" customWidth="1"/>
    <col min="9973" max="9973" width="14.5546875" style="1" customWidth="1"/>
    <col min="9974" max="9974" width="41.5546875" style="1" customWidth="1"/>
    <col min="9975" max="9976" width="32.44140625" style="1" customWidth="1"/>
    <col min="9977" max="9981" width="41.5546875" style="1" customWidth="1"/>
    <col min="9982" max="9982" width="30.44140625" style="1" customWidth="1"/>
    <col min="9983" max="9984" width="22.33203125" style="1" customWidth="1"/>
    <col min="9985" max="9985" width="9.109375" style="1"/>
    <col min="9986" max="9986" width="16.109375" style="1" customWidth="1"/>
    <col min="9987" max="9987" width="23.77734375" style="1" customWidth="1"/>
    <col min="9988" max="9988" width="74.44140625" style="1" customWidth="1"/>
    <col min="9989" max="9990" width="9.109375" style="1"/>
    <col min="9991" max="9991" width="14.109375" style="1" customWidth="1"/>
    <col min="9992" max="9992" width="12.44140625" style="1" customWidth="1"/>
    <col min="9993" max="9993" width="13.44140625" style="1" customWidth="1"/>
    <col min="9994" max="9994" width="11.109375" style="1" customWidth="1"/>
    <col min="9995" max="9998" width="17.33203125" style="1" customWidth="1"/>
    <col min="9999" max="10002" width="9.109375" style="1"/>
    <col min="10003" max="10004" width="22.33203125" style="1" customWidth="1"/>
    <col min="10005" max="10005" width="11.88671875" style="1" customWidth="1"/>
    <col min="10006" max="10006" width="10.109375" style="1" customWidth="1"/>
    <col min="10007" max="10008" width="9.109375" style="1"/>
    <col min="10009" max="10009" width="13.33203125" style="1" customWidth="1"/>
    <col min="10010" max="10010" width="11.44140625" style="1" customWidth="1"/>
    <col min="10011" max="10011" width="13.33203125" style="1" bestFit="1" customWidth="1"/>
    <col min="10012" max="10012" width="16.88671875" style="1" bestFit="1" customWidth="1"/>
    <col min="10013" max="10015" width="14.44140625" style="1" customWidth="1"/>
    <col min="10016" max="10016" width="9.88671875" style="1" customWidth="1"/>
    <col min="10017" max="10019" width="17" style="1" customWidth="1"/>
    <col min="10020" max="10020" width="9.109375" style="1"/>
    <col min="10021" max="10021" width="17" style="1" customWidth="1"/>
    <col min="10022" max="10022" width="10.44140625" style="1" customWidth="1"/>
    <col min="10023" max="10194" width="9.109375" style="1"/>
    <col min="10195" max="10197" width="18.44140625" style="1" customWidth="1"/>
    <col min="10198" max="10198" width="11.88671875" style="1" customWidth="1"/>
    <col min="10199" max="10200" width="10.109375" style="1" customWidth="1"/>
    <col min="10201" max="10202" width="13.6640625" style="1" customWidth="1"/>
    <col min="10203" max="10205" width="23.77734375" style="1" customWidth="1"/>
    <col min="10206" max="10206" width="11.77734375" style="1" customWidth="1"/>
    <col min="10207" max="10208" width="9.109375" style="1"/>
    <col min="10209" max="10209" width="21" style="1" customWidth="1"/>
    <col min="10210" max="10210" width="12.33203125" style="1" customWidth="1"/>
    <col min="10211" max="10212" width="14" style="1" customWidth="1"/>
    <col min="10213" max="10213" width="10.109375" style="1" bestFit="1" customWidth="1"/>
    <col min="10214" max="10214" width="27.21875" style="1" customWidth="1"/>
    <col min="10215" max="10215" width="24.5546875" style="1" customWidth="1"/>
    <col min="10216" max="10216" width="16.21875" style="1" customWidth="1"/>
    <col min="10217" max="10217" width="16.33203125" style="1" customWidth="1"/>
    <col min="10218" max="10218" width="18.5546875" style="1" customWidth="1"/>
    <col min="10219" max="10219" width="20.33203125" style="1" customWidth="1"/>
    <col min="10220" max="10221" width="22.88671875" style="1" customWidth="1"/>
    <col min="10222" max="10224" width="18" style="1" customWidth="1"/>
    <col min="10225" max="10225" width="17.21875" style="1" customWidth="1"/>
    <col min="10226" max="10226" width="16.6640625" style="1" customWidth="1"/>
    <col min="10227" max="10227" width="17.44140625" style="1" customWidth="1"/>
    <col min="10228" max="10228" width="24.21875" style="1" customWidth="1"/>
    <col min="10229" max="10229" width="14.5546875" style="1" customWidth="1"/>
    <col min="10230" max="10230" width="41.5546875" style="1" customWidth="1"/>
    <col min="10231" max="10232" width="32.44140625" style="1" customWidth="1"/>
    <col min="10233" max="10237" width="41.5546875" style="1" customWidth="1"/>
    <col min="10238" max="10238" width="30.44140625" style="1" customWidth="1"/>
    <col min="10239" max="10240" width="22.33203125" style="1" customWidth="1"/>
    <col min="10241" max="10241" width="9.109375" style="1"/>
    <col min="10242" max="10242" width="16.109375" style="1" customWidth="1"/>
    <col min="10243" max="10243" width="23.77734375" style="1" customWidth="1"/>
    <col min="10244" max="10244" width="74.44140625" style="1" customWidth="1"/>
    <col min="10245" max="10246" width="9.109375" style="1"/>
    <col min="10247" max="10247" width="14.109375" style="1" customWidth="1"/>
    <col min="10248" max="10248" width="12.44140625" style="1" customWidth="1"/>
    <col min="10249" max="10249" width="13.44140625" style="1" customWidth="1"/>
    <col min="10250" max="10250" width="11.109375" style="1" customWidth="1"/>
    <col min="10251" max="10254" width="17.33203125" style="1" customWidth="1"/>
    <col min="10255" max="10258" width="9.109375" style="1"/>
    <col min="10259" max="10260" width="22.33203125" style="1" customWidth="1"/>
    <col min="10261" max="10261" width="11.88671875" style="1" customWidth="1"/>
    <col min="10262" max="10262" width="10.109375" style="1" customWidth="1"/>
    <col min="10263" max="10264" width="9.109375" style="1"/>
    <col min="10265" max="10265" width="13.33203125" style="1" customWidth="1"/>
    <col min="10266" max="10266" width="11.44140625" style="1" customWidth="1"/>
    <col min="10267" max="10267" width="13.33203125" style="1" bestFit="1" customWidth="1"/>
    <col min="10268" max="10268" width="16.88671875" style="1" bestFit="1" customWidth="1"/>
    <col min="10269" max="10271" width="14.44140625" style="1" customWidth="1"/>
    <col min="10272" max="10272" width="9.88671875" style="1" customWidth="1"/>
    <col min="10273" max="10275" width="17" style="1" customWidth="1"/>
    <col min="10276" max="10276" width="9.109375" style="1"/>
    <col min="10277" max="10277" width="17" style="1" customWidth="1"/>
    <col min="10278" max="10278" width="10.44140625" style="1" customWidth="1"/>
    <col min="10279" max="10450" width="9.109375" style="1"/>
    <col min="10451" max="10453" width="18.44140625" style="1" customWidth="1"/>
    <col min="10454" max="10454" width="11.88671875" style="1" customWidth="1"/>
    <col min="10455" max="10456" width="10.109375" style="1" customWidth="1"/>
    <col min="10457" max="10458" width="13.6640625" style="1" customWidth="1"/>
    <col min="10459" max="10461" width="23.77734375" style="1" customWidth="1"/>
    <col min="10462" max="10462" width="11.77734375" style="1" customWidth="1"/>
    <col min="10463" max="10464" width="9.109375" style="1"/>
    <col min="10465" max="10465" width="21" style="1" customWidth="1"/>
    <col min="10466" max="10466" width="12.33203125" style="1" customWidth="1"/>
    <col min="10467" max="10468" width="14" style="1" customWidth="1"/>
    <col min="10469" max="10469" width="10.109375" style="1" bestFit="1" customWidth="1"/>
    <col min="10470" max="10470" width="27.21875" style="1" customWidth="1"/>
    <col min="10471" max="10471" width="24.5546875" style="1" customWidth="1"/>
    <col min="10472" max="10472" width="16.21875" style="1" customWidth="1"/>
    <col min="10473" max="10473" width="16.33203125" style="1" customWidth="1"/>
    <col min="10474" max="10474" width="18.5546875" style="1" customWidth="1"/>
    <col min="10475" max="10475" width="20.33203125" style="1" customWidth="1"/>
    <col min="10476" max="10477" width="22.88671875" style="1" customWidth="1"/>
    <col min="10478" max="10480" width="18" style="1" customWidth="1"/>
    <col min="10481" max="10481" width="17.21875" style="1" customWidth="1"/>
    <col min="10482" max="10482" width="16.6640625" style="1" customWidth="1"/>
    <col min="10483" max="10483" width="17.44140625" style="1" customWidth="1"/>
    <col min="10484" max="10484" width="24.21875" style="1" customWidth="1"/>
    <col min="10485" max="10485" width="14.5546875" style="1" customWidth="1"/>
    <col min="10486" max="10486" width="41.5546875" style="1" customWidth="1"/>
    <col min="10487" max="10488" width="32.44140625" style="1" customWidth="1"/>
    <col min="10489" max="10493" width="41.5546875" style="1" customWidth="1"/>
    <col min="10494" max="10494" width="30.44140625" style="1" customWidth="1"/>
    <col min="10495" max="10496" width="22.33203125" style="1" customWidth="1"/>
    <col min="10497" max="10497" width="9.109375" style="1"/>
    <col min="10498" max="10498" width="16.109375" style="1" customWidth="1"/>
    <col min="10499" max="10499" width="23.77734375" style="1" customWidth="1"/>
    <col min="10500" max="10500" width="74.44140625" style="1" customWidth="1"/>
    <col min="10501" max="10502" width="9.109375" style="1"/>
    <col min="10503" max="10503" width="14.109375" style="1" customWidth="1"/>
    <col min="10504" max="10504" width="12.44140625" style="1" customWidth="1"/>
    <col min="10505" max="10505" width="13.44140625" style="1" customWidth="1"/>
    <col min="10506" max="10506" width="11.109375" style="1" customWidth="1"/>
    <col min="10507" max="10510" width="17.33203125" style="1" customWidth="1"/>
    <col min="10511" max="10514" width="9.109375" style="1"/>
    <col min="10515" max="10516" width="22.33203125" style="1" customWidth="1"/>
    <col min="10517" max="10517" width="11.88671875" style="1" customWidth="1"/>
    <col min="10518" max="10518" width="10.109375" style="1" customWidth="1"/>
    <col min="10519" max="10520" width="9.109375" style="1"/>
    <col min="10521" max="10521" width="13.33203125" style="1" customWidth="1"/>
    <col min="10522" max="10522" width="11.44140625" style="1" customWidth="1"/>
    <col min="10523" max="10523" width="13.33203125" style="1" bestFit="1" customWidth="1"/>
    <col min="10524" max="10524" width="16.88671875" style="1" bestFit="1" customWidth="1"/>
    <col min="10525" max="10527" width="14.44140625" style="1" customWidth="1"/>
    <col min="10528" max="10528" width="9.88671875" style="1" customWidth="1"/>
    <col min="10529" max="10531" width="17" style="1" customWidth="1"/>
    <col min="10532" max="10532" width="9.109375" style="1"/>
    <col min="10533" max="10533" width="17" style="1" customWidth="1"/>
    <col min="10534" max="10534" width="10.44140625" style="1" customWidth="1"/>
    <col min="10535" max="10706" width="9.109375" style="1"/>
    <col min="10707" max="10709" width="18.44140625" style="1" customWidth="1"/>
    <col min="10710" max="10710" width="11.88671875" style="1" customWidth="1"/>
    <col min="10711" max="10712" width="10.109375" style="1" customWidth="1"/>
    <col min="10713" max="10714" width="13.6640625" style="1" customWidth="1"/>
    <col min="10715" max="10717" width="23.77734375" style="1" customWidth="1"/>
    <col min="10718" max="10718" width="11.77734375" style="1" customWidth="1"/>
    <col min="10719" max="10720" width="9.109375" style="1"/>
    <col min="10721" max="10721" width="21" style="1" customWidth="1"/>
    <col min="10722" max="10722" width="12.33203125" style="1" customWidth="1"/>
    <col min="10723" max="10724" width="14" style="1" customWidth="1"/>
    <col min="10725" max="10725" width="10.109375" style="1" bestFit="1" customWidth="1"/>
    <col min="10726" max="10726" width="27.21875" style="1" customWidth="1"/>
    <col min="10727" max="10727" width="24.5546875" style="1" customWidth="1"/>
    <col min="10728" max="10728" width="16.21875" style="1" customWidth="1"/>
    <col min="10729" max="10729" width="16.33203125" style="1" customWidth="1"/>
    <col min="10730" max="10730" width="18.5546875" style="1" customWidth="1"/>
    <col min="10731" max="10731" width="20.33203125" style="1" customWidth="1"/>
    <col min="10732" max="10733" width="22.88671875" style="1" customWidth="1"/>
    <col min="10734" max="10736" width="18" style="1" customWidth="1"/>
    <col min="10737" max="10737" width="17.21875" style="1" customWidth="1"/>
    <col min="10738" max="10738" width="16.6640625" style="1" customWidth="1"/>
    <col min="10739" max="10739" width="17.44140625" style="1" customWidth="1"/>
    <col min="10740" max="10740" width="24.21875" style="1" customWidth="1"/>
    <col min="10741" max="10741" width="14.5546875" style="1" customWidth="1"/>
    <col min="10742" max="10742" width="41.5546875" style="1" customWidth="1"/>
    <col min="10743" max="10744" width="32.44140625" style="1" customWidth="1"/>
    <col min="10745" max="10749" width="41.5546875" style="1" customWidth="1"/>
    <col min="10750" max="10750" width="30.44140625" style="1" customWidth="1"/>
    <col min="10751" max="10752" width="22.33203125" style="1" customWidth="1"/>
    <col min="10753" max="10753" width="9.109375" style="1"/>
    <col min="10754" max="10754" width="16.109375" style="1" customWidth="1"/>
    <col min="10755" max="10755" width="23.77734375" style="1" customWidth="1"/>
    <col min="10756" max="10756" width="74.44140625" style="1" customWidth="1"/>
    <col min="10757" max="10758" width="9.109375" style="1"/>
    <col min="10759" max="10759" width="14.109375" style="1" customWidth="1"/>
    <col min="10760" max="10760" width="12.44140625" style="1" customWidth="1"/>
    <col min="10761" max="10761" width="13.44140625" style="1" customWidth="1"/>
    <col min="10762" max="10762" width="11.109375" style="1" customWidth="1"/>
    <col min="10763" max="10766" width="17.33203125" style="1" customWidth="1"/>
    <col min="10767" max="10770" width="9.109375" style="1"/>
    <col min="10771" max="10772" width="22.33203125" style="1" customWidth="1"/>
    <col min="10773" max="10773" width="11.88671875" style="1" customWidth="1"/>
    <col min="10774" max="10774" width="10.109375" style="1" customWidth="1"/>
    <col min="10775" max="10776" width="9.109375" style="1"/>
    <col min="10777" max="10777" width="13.33203125" style="1" customWidth="1"/>
    <col min="10778" max="10778" width="11.44140625" style="1" customWidth="1"/>
    <col min="10779" max="10779" width="13.33203125" style="1" bestFit="1" customWidth="1"/>
    <col min="10780" max="10780" width="16.88671875" style="1" bestFit="1" customWidth="1"/>
    <col min="10781" max="10783" width="14.44140625" style="1" customWidth="1"/>
    <col min="10784" max="10784" width="9.88671875" style="1" customWidth="1"/>
    <col min="10785" max="10787" width="17" style="1" customWidth="1"/>
    <col min="10788" max="10788" width="9.109375" style="1"/>
    <col min="10789" max="10789" width="17" style="1" customWidth="1"/>
    <col min="10790" max="10790" width="10.44140625" style="1" customWidth="1"/>
    <col min="10791" max="10962" width="9.109375" style="1"/>
    <col min="10963" max="10965" width="18.44140625" style="1" customWidth="1"/>
    <col min="10966" max="10966" width="11.88671875" style="1" customWidth="1"/>
    <col min="10967" max="10968" width="10.109375" style="1" customWidth="1"/>
    <col min="10969" max="10970" width="13.6640625" style="1" customWidth="1"/>
    <col min="10971" max="10973" width="23.77734375" style="1" customWidth="1"/>
    <col min="10974" max="10974" width="11.77734375" style="1" customWidth="1"/>
    <col min="10975" max="10976" width="9.109375" style="1"/>
    <col min="10977" max="10977" width="21" style="1" customWidth="1"/>
    <col min="10978" max="10978" width="12.33203125" style="1" customWidth="1"/>
    <col min="10979" max="10980" width="14" style="1" customWidth="1"/>
    <col min="10981" max="10981" width="10.109375" style="1" bestFit="1" customWidth="1"/>
    <col min="10982" max="10982" width="27.21875" style="1" customWidth="1"/>
    <col min="10983" max="10983" width="24.5546875" style="1" customWidth="1"/>
    <col min="10984" max="10984" width="16.21875" style="1" customWidth="1"/>
    <col min="10985" max="10985" width="16.33203125" style="1" customWidth="1"/>
    <col min="10986" max="10986" width="18.5546875" style="1" customWidth="1"/>
    <col min="10987" max="10987" width="20.33203125" style="1" customWidth="1"/>
    <col min="10988" max="10989" width="22.88671875" style="1" customWidth="1"/>
    <col min="10990" max="10992" width="18" style="1" customWidth="1"/>
    <col min="10993" max="10993" width="17.21875" style="1" customWidth="1"/>
    <col min="10994" max="10994" width="16.6640625" style="1" customWidth="1"/>
    <col min="10995" max="10995" width="17.44140625" style="1" customWidth="1"/>
    <col min="10996" max="10996" width="24.21875" style="1" customWidth="1"/>
    <col min="10997" max="10997" width="14.5546875" style="1" customWidth="1"/>
    <col min="10998" max="10998" width="41.5546875" style="1" customWidth="1"/>
    <col min="10999" max="11000" width="32.44140625" style="1" customWidth="1"/>
    <col min="11001" max="11005" width="41.5546875" style="1" customWidth="1"/>
    <col min="11006" max="11006" width="30.44140625" style="1" customWidth="1"/>
    <col min="11007" max="11008" width="22.33203125" style="1" customWidth="1"/>
    <col min="11009" max="11009" width="9.109375" style="1"/>
    <col min="11010" max="11010" width="16.109375" style="1" customWidth="1"/>
    <col min="11011" max="11011" width="23.77734375" style="1" customWidth="1"/>
    <col min="11012" max="11012" width="74.44140625" style="1" customWidth="1"/>
    <col min="11013" max="11014" width="9.109375" style="1"/>
    <col min="11015" max="11015" width="14.109375" style="1" customWidth="1"/>
    <col min="11016" max="11016" width="12.44140625" style="1" customWidth="1"/>
    <col min="11017" max="11017" width="13.44140625" style="1" customWidth="1"/>
    <col min="11018" max="11018" width="11.109375" style="1" customWidth="1"/>
    <col min="11019" max="11022" width="17.33203125" style="1" customWidth="1"/>
    <col min="11023" max="11026" width="9.109375" style="1"/>
    <col min="11027" max="11028" width="22.33203125" style="1" customWidth="1"/>
    <col min="11029" max="11029" width="11.88671875" style="1" customWidth="1"/>
    <col min="11030" max="11030" width="10.109375" style="1" customWidth="1"/>
    <col min="11031" max="11032" width="9.109375" style="1"/>
    <col min="11033" max="11033" width="13.33203125" style="1" customWidth="1"/>
    <col min="11034" max="11034" width="11.44140625" style="1" customWidth="1"/>
    <col min="11035" max="11035" width="13.33203125" style="1" bestFit="1" customWidth="1"/>
    <col min="11036" max="11036" width="16.88671875" style="1" bestFit="1" customWidth="1"/>
    <col min="11037" max="11039" width="14.44140625" style="1" customWidth="1"/>
    <col min="11040" max="11040" width="9.88671875" style="1" customWidth="1"/>
    <col min="11041" max="11043" width="17" style="1" customWidth="1"/>
    <col min="11044" max="11044" width="9.109375" style="1"/>
    <col min="11045" max="11045" width="17" style="1" customWidth="1"/>
    <col min="11046" max="11046" width="10.44140625" style="1" customWidth="1"/>
    <col min="11047" max="11218" width="9.109375" style="1"/>
    <col min="11219" max="11221" width="18.44140625" style="1" customWidth="1"/>
    <col min="11222" max="11222" width="11.88671875" style="1" customWidth="1"/>
    <col min="11223" max="11224" width="10.109375" style="1" customWidth="1"/>
    <col min="11225" max="11226" width="13.6640625" style="1" customWidth="1"/>
    <col min="11227" max="11229" width="23.77734375" style="1" customWidth="1"/>
    <col min="11230" max="11230" width="11.77734375" style="1" customWidth="1"/>
    <col min="11231" max="11232" width="9.109375" style="1"/>
    <col min="11233" max="11233" width="21" style="1" customWidth="1"/>
    <col min="11234" max="11234" width="12.33203125" style="1" customWidth="1"/>
    <col min="11235" max="11236" width="14" style="1" customWidth="1"/>
    <col min="11237" max="11237" width="10.109375" style="1" bestFit="1" customWidth="1"/>
    <col min="11238" max="11238" width="27.21875" style="1" customWidth="1"/>
    <col min="11239" max="11239" width="24.5546875" style="1" customWidth="1"/>
    <col min="11240" max="11240" width="16.21875" style="1" customWidth="1"/>
    <col min="11241" max="11241" width="16.33203125" style="1" customWidth="1"/>
    <col min="11242" max="11242" width="18.5546875" style="1" customWidth="1"/>
    <col min="11243" max="11243" width="20.33203125" style="1" customWidth="1"/>
    <col min="11244" max="11245" width="22.88671875" style="1" customWidth="1"/>
    <col min="11246" max="11248" width="18" style="1" customWidth="1"/>
    <col min="11249" max="11249" width="17.21875" style="1" customWidth="1"/>
    <col min="11250" max="11250" width="16.6640625" style="1" customWidth="1"/>
    <col min="11251" max="11251" width="17.44140625" style="1" customWidth="1"/>
    <col min="11252" max="11252" width="24.21875" style="1" customWidth="1"/>
    <col min="11253" max="11253" width="14.5546875" style="1" customWidth="1"/>
    <col min="11254" max="11254" width="41.5546875" style="1" customWidth="1"/>
    <col min="11255" max="11256" width="32.44140625" style="1" customWidth="1"/>
    <col min="11257" max="11261" width="41.5546875" style="1" customWidth="1"/>
    <col min="11262" max="11262" width="30.44140625" style="1" customWidth="1"/>
    <col min="11263" max="11264" width="22.33203125" style="1" customWidth="1"/>
    <col min="11265" max="11265" width="9.109375" style="1"/>
    <col min="11266" max="11266" width="16.109375" style="1" customWidth="1"/>
    <col min="11267" max="11267" width="23.77734375" style="1" customWidth="1"/>
    <col min="11268" max="11268" width="74.44140625" style="1" customWidth="1"/>
    <col min="11269" max="11270" width="9.109375" style="1"/>
    <col min="11271" max="11271" width="14.109375" style="1" customWidth="1"/>
    <col min="11272" max="11272" width="12.44140625" style="1" customWidth="1"/>
    <col min="11273" max="11273" width="13.44140625" style="1" customWidth="1"/>
    <col min="11274" max="11274" width="11.109375" style="1" customWidth="1"/>
    <col min="11275" max="11278" width="17.33203125" style="1" customWidth="1"/>
    <col min="11279" max="11282" width="9.109375" style="1"/>
    <col min="11283" max="11284" width="22.33203125" style="1" customWidth="1"/>
    <col min="11285" max="11285" width="11.88671875" style="1" customWidth="1"/>
    <col min="11286" max="11286" width="10.109375" style="1" customWidth="1"/>
    <col min="11287" max="11288" width="9.109375" style="1"/>
    <col min="11289" max="11289" width="13.33203125" style="1" customWidth="1"/>
    <col min="11290" max="11290" width="11.44140625" style="1" customWidth="1"/>
    <col min="11291" max="11291" width="13.33203125" style="1" bestFit="1" customWidth="1"/>
    <col min="11292" max="11292" width="16.88671875" style="1" bestFit="1" customWidth="1"/>
    <col min="11293" max="11295" width="14.44140625" style="1" customWidth="1"/>
    <col min="11296" max="11296" width="9.88671875" style="1" customWidth="1"/>
    <col min="11297" max="11299" width="17" style="1" customWidth="1"/>
    <col min="11300" max="11300" width="9.109375" style="1"/>
    <col min="11301" max="11301" width="17" style="1" customWidth="1"/>
    <col min="11302" max="11302" width="10.44140625" style="1" customWidth="1"/>
    <col min="11303" max="11474" width="9.109375" style="1"/>
    <col min="11475" max="11477" width="18.44140625" style="1" customWidth="1"/>
    <col min="11478" max="11478" width="11.88671875" style="1" customWidth="1"/>
    <col min="11479" max="11480" width="10.109375" style="1" customWidth="1"/>
    <col min="11481" max="11482" width="13.6640625" style="1" customWidth="1"/>
    <col min="11483" max="11485" width="23.77734375" style="1" customWidth="1"/>
    <col min="11486" max="11486" width="11.77734375" style="1" customWidth="1"/>
    <col min="11487" max="11488" width="9.109375" style="1"/>
    <col min="11489" max="11489" width="21" style="1" customWidth="1"/>
    <col min="11490" max="11490" width="12.33203125" style="1" customWidth="1"/>
    <col min="11491" max="11492" width="14" style="1" customWidth="1"/>
    <col min="11493" max="11493" width="10.109375" style="1" bestFit="1" customWidth="1"/>
    <col min="11494" max="11494" width="27.21875" style="1" customWidth="1"/>
    <col min="11495" max="11495" width="24.5546875" style="1" customWidth="1"/>
    <col min="11496" max="11496" width="16.21875" style="1" customWidth="1"/>
    <col min="11497" max="11497" width="16.33203125" style="1" customWidth="1"/>
    <col min="11498" max="11498" width="18.5546875" style="1" customWidth="1"/>
    <col min="11499" max="11499" width="20.33203125" style="1" customWidth="1"/>
    <col min="11500" max="11501" width="22.88671875" style="1" customWidth="1"/>
    <col min="11502" max="11504" width="18" style="1" customWidth="1"/>
    <col min="11505" max="11505" width="17.21875" style="1" customWidth="1"/>
    <col min="11506" max="11506" width="16.6640625" style="1" customWidth="1"/>
    <col min="11507" max="11507" width="17.44140625" style="1" customWidth="1"/>
    <col min="11508" max="11508" width="24.21875" style="1" customWidth="1"/>
    <col min="11509" max="11509" width="14.5546875" style="1" customWidth="1"/>
    <col min="11510" max="11510" width="41.5546875" style="1" customWidth="1"/>
    <col min="11511" max="11512" width="32.44140625" style="1" customWidth="1"/>
    <col min="11513" max="11517" width="41.5546875" style="1" customWidth="1"/>
    <col min="11518" max="11518" width="30.44140625" style="1" customWidth="1"/>
    <col min="11519" max="11520" width="22.33203125" style="1" customWidth="1"/>
    <col min="11521" max="11521" width="9.109375" style="1"/>
    <col min="11522" max="11522" width="16.109375" style="1" customWidth="1"/>
    <col min="11523" max="11523" width="23.77734375" style="1" customWidth="1"/>
    <col min="11524" max="11524" width="74.44140625" style="1" customWidth="1"/>
    <col min="11525" max="11526" width="9.109375" style="1"/>
    <col min="11527" max="11527" width="14.109375" style="1" customWidth="1"/>
    <col min="11528" max="11528" width="12.44140625" style="1" customWidth="1"/>
    <col min="11529" max="11529" width="13.44140625" style="1" customWidth="1"/>
    <col min="11530" max="11530" width="11.109375" style="1" customWidth="1"/>
    <col min="11531" max="11534" width="17.33203125" style="1" customWidth="1"/>
    <col min="11535" max="11538" width="9.109375" style="1"/>
    <col min="11539" max="11540" width="22.33203125" style="1" customWidth="1"/>
    <col min="11541" max="11541" width="11.88671875" style="1" customWidth="1"/>
    <col min="11542" max="11542" width="10.109375" style="1" customWidth="1"/>
    <col min="11543" max="11544" width="9.109375" style="1"/>
    <col min="11545" max="11545" width="13.33203125" style="1" customWidth="1"/>
    <col min="11546" max="11546" width="11.44140625" style="1" customWidth="1"/>
    <col min="11547" max="11547" width="13.33203125" style="1" bestFit="1" customWidth="1"/>
    <col min="11548" max="11548" width="16.88671875" style="1" bestFit="1" customWidth="1"/>
    <col min="11549" max="11551" width="14.44140625" style="1" customWidth="1"/>
    <col min="11552" max="11552" width="9.88671875" style="1" customWidth="1"/>
    <col min="11553" max="11555" width="17" style="1" customWidth="1"/>
    <col min="11556" max="11556" width="9.109375" style="1"/>
    <col min="11557" max="11557" width="17" style="1" customWidth="1"/>
    <col min="11558" max="11558" width="10.44140625" style="1" customWidth="1"/>
    <col min="11559" max="11730" width="9.109375" style="1"/>
    <col min="11731" max="11733" width="18.44140625" style="1" customWidth="1"/>
    <col min="11734" max="11734" width="11.88671875" style="1" customWidth="1"/>
    <col min="11735" max="11736" width="10.109375" style="1" customWidth="1"/>
    <col min="11737" max="11738" width="13.6640625" style="1" customWidth="1"/>
    <col min="11739" max="11741" width="23.77734375" style="1" customWidth="1"/>
    <col min="11742" max="11742" width="11.77734375" style="1" customWidth="1"/>
    <col min="11743" max="11744" width="9.109375" style="1"/>
    <col min="11745" max="11745" width="21" style="1" customWidth="1"/>
    <col min="11746" max="11746" width="12.33203125" style="1" customWidth="1"/>
    <col min="11747" max="11748" width="14" style="1" customWidth="1"/>
    <col min="11749" max="11749" width="10.109375" style="1" bestFit="1" customWidth="1"/>
    <col min="11750" max="11750" width="27.21875" style="1" customWidth="1"/>
    <col min="11751" max="11751" width="24.5546875" style="1" customWidth="1"/>
    <col min="11752" max="11752" width="16.21875" style="1" customWidth="1"/>
    <col min="11753" max="11753" width="16.33203125" style="1" customWidth="1"/>
    <col min="11754" max="11754" width="18.5546875" style="1" customWidth="1"/>
    <col min="11755" max="11755" width="20.33203125" style="1" customWidth="1"/>
    <col min="11756" max="11757" width="22.88671875" style="1" customWidth="1"/>
    <col min="11758" max="11760" width="18" style="1" customWidth="1"/>
    <col min="11761" max="11761" width="17.21875" style="1" customWidth="1"/>
    <col min="11762" max="11762" width="16.6640625" style="1" customWidth="1"/>
    <col min="11763" max="11763" width="17.44140625" style="1" customWidth="1"/>
    <col min="11764" max="11764" width="24.21875" style="1" customWidth="1"/>
    <col min="11765" max="11765" width="14.5546875" style="1" customWidth="1"/>
    <col min="11766" max="11766" width="41.5546875" style="1" customWidth="1"/>
    <col min="11767" max="11768" width="32.44140625" style="1" customWidth="1"/>
    <col min="11769" max="11773" width="41.5546875" style="1" customWidth="1"/>
    <col min="11774" max="11774" width="30.44140625" style="1" customWidth="1"/>
    <col min="11775" max="11776" width="22.33203125" style="1" customWidth="1"/>
    <col min="11777" max="11777" width="9.109375" style="1"/>
    <col min="11778" max="11778" width="16.109375" style="1" customWidth="1"/>
    <col min="11779" max="11779" width="23.77734375" style="1" customWidth="1"/>
    <col min="11780" max="11780" width="74.44140625" style="1" customWidth="1"/>
    <col min="11781" max="11782" width="9.109375" style="1"/>
    <col min="11783" max="11783" width="14.109375" style="1" customWidth="1"/>
    <col min="11784" max="11784" width="12.44140625" style="1" customWidth="1"/>
    <col min="11785" max="11785" width="13.44140625" style="1" customWidth="1"/>
    <col min="11786" max="11786" width="11.109375" style="1" customWidth="1"/>
    <col min="11787" max="11790" width="17.33203125" style="1" customWidth="1"/>
    <col min="11791" max="11794" width="9.109375" style="1"/>
    <col min="11795" max="11796" width="22.33203125" style="1" customWidth="1"/>
    <col min="11797" max="11797" width="11.88671875" style="1" customWidth="1"/>
    <col min="11798" max="11798" width="10.109375" style="1" customWidth="1"/>
    <col min="11799" max="11800" width="9.109375" style="1"/>
    <col min="11801" max="11801" width="13.33203125" style="1" customWidth="1"/>
    <col min="11802" max="11802" width="11.44140625" style="1" customWidth="1"/>
    <col min="11803" max="11803" width="13.33203125" style="1" bestFit="1" customWidth="1"/>
    <col min="11804" max="11804" width="16.88671875" style="1" bestFit="1" customWidth="1"/>
    <col min="11805" max="11807" width="14.44140625" style="1" customWidth="1"/>
    <col min="11808" max="11808" width="9.88671875" style="1" customWidth="1"/>
    <col min="11809" max="11811" width="17" style="1" customWidth="1"/>
    <col min="11812" max="11812" width="9.109375" style="1"/>
    <col min="11813" max="11813" width="17" style="1" customWidth="1"/>
    <col min="11814" max="11814" width="10.44140625" style="1" customWidth="1"/>
    <col min="11815" max="11986" width="9.109375" style="1"/>
    <col min="11987" max="11989" width="18.44140625" style="1" customWidth="1"/>
    <col min="11990" max="11990" width="11.88671875" style="1" customWidth="1"/>
    <col min="11991" max="11992" width="10.109375" style="1" customWidth="1"/>
    <col min="11993" max="11994" width="13.6640625" style="1" customWidth="1"/>
    <col min="11995" max="11997" width="23.77734375" style="1" customWidth="1"/>
    <col min="11998" max="11998" width="11.77734375" style="1" customWidth="1"/>
    <col min="11999" max="12000" width="9.109375" style="1"/>
    <col min="12001" max="12001" width="21" style="1" customWidth="1"/>
    <col min="12002" max="12002" width="12.33203125" style="1" customWidth="1"/>
    <col min="12003" max="12004" width="14" style="1" customWidth="1"/>
    <col min="12005" max="12005" width="10.109375" style="1" bestFit="1" customWidth="1"/>
    <col min="12006" max="12006" width="27.21875" style="1" customWidth="1"/>
    <col min="12007" max="12007" width="24.5546875" style="1" customWidth="1"/>
    <col min="12008" max="12008" width="16.21875" style="1" customWidth="1"/>
    <col min="12009" max="12009" width="16.33203125" style="1" customWidth="1"/>
    <col min="12010" max="12010" width="18.5546875" style="1" customWidth="1"/>
    <col min="12011" max="12011" width="20.33203125" style="1" customWidth="1"/>
    <col min="12012" max="12013" width="22.88671875" style="1" customWidth="1"/>
    <col min="12014" max="12016" width="18" style="1" customWidth="1"/>
    <col min="12017" max="12017" width="17.21875" style="1" customWidth="1"/>
    <col min="12018" max="12018" width="16.6640625" style="1" customWidth="1"/>
    <col min="12019" max="12019" width="17.44140625" style="1" customWidth="1"/>
    <col min="12020" max="12020" width="24.21875" style="1" customWidth="1"/>
    <col min="12021" max="12021" width="14.5546875" style="1" customWidth="1"/>
    <col min="12022" max="12022" width="41.5546875" style="1" customWidth="1"/>
    <col min="12023" max="12024" width="32.44140625" style="1" customWidth="1"/>
    <col min="12025" max="12029" width="41.5546875" style="1" customWidth="1"/>
    <col min="12030" max="12030" width="30.44140625" style="1" customWidth="1"/>
    <col min="12031" max="12032" width="22.33203125" style="1" customWidth="1"/>
    <col min="12033" max="12033" width="9.109375" style="1"/>
    <col min="12034" max="12034" width="16.109375" style="1" customWidth="1"/>
    <col min="12035" max="12035" width="23.77734375" style="1" customWidth="1"/>
    <col min="12036" max="12036" width="74.44140625" style="1" customWidth="1"/>
    <col min="12037" max="12038" width="9.109375" style="1"/>
    <col min="12039" max="12039" width="14.109375" style="1" customWidth="1"/>
    <col min="12040" max="12040" width="12.44140625" style="1" customWidth="1"/>
    <col min="12041" max="12041" width="13.44140625" style="1" customWidth="1"/>
    <col min="12042" max="12042" width="11.109375" style="1" customWidth="1"/>
    <col min="12043" max="12046" width="17.33203125" style="1" customWidth="1"/>
    <col min="12047" max="12050" width="9.109375" style="1"/>
    <col min="12051" max="12052" width="22.33203125" style="1" customWidth="1"/>
    <col min="12053" max="12053" width="11.88671875" style="1" customWidth="1"/>
    <col min="12054" max="12054" width="10.109375" style="1" customWidth="1"/>
    <col min="12055" max="12056" width="9.109375" style="1"/>
    <col min="12057" max="12057" width="13.33203125" style="1" customWidth="1"/>
    <col min="12058" max="12058" width="11.44140625" style="1" customWidth="1"/>
    <col min="12059" max="12059" width="13.33203125" style="1" bestFit="1" customWidth="1"/>
    <col min="12060" max="12060" width="16.88671875" style="1" bestFit="1" customWidth="1"/>
    <col min="12061" max="12063" width="14.44140625" style="1" customWidth="1"/>
    <col min="12064" max="12064" width="9.88671875" style="1" customWidth="1"/>
    <col min="12065" max="12067" width="17" style="1" customWidth="1"/>
    <col min="12068" max="12068" width="9.109375" style="1"/>
    <col min="12069" max="12069" width="17" style="1" customWidth="1"/>
    <col min="12070" max="12070" width="10.44140625" style="1" customWidth="1"/>
    <col min="12071" max="12242" width="9.109375" style="1"/>
    <col min="12243" max="12245" width="18.44140625" style="1" customWidth="1"/>
    <col min="12246" max="12246" width="11.88671875" style="1" customWidth="1"/>
    <col min="12247" max="12248" width="10.109375" style="1" customWidth="1"/>
    <col min="12249" max="12250" width="13.6640625" style="1" customWidth="1"/>
    <col min="12251" max="12253" width="23.77734375" style="1" customWidth="1"/>
    <col min="12254" max="12254" width="11.77734375" style="1" customWidth="1"/>
    <col min="12255" max="12256" width="9.109375" style="1"/>
    <col min="12257" max="12257" width="21" style="1" customWidth="1"/>
    <col min="12258" max="12258" width="12.33203125" style="1" customWidth="1"/>
    <col min="12259" max="12260" width="14" style="1" customWidth="1"/>
    <col min="12261" max="12261" width="10.109375" style="1" bestFit="1" customWidth="1"/>
    <col min="12262" max="12262" width="27.21875" style="1" customWidth="1"/>
    <col min="12263" max="12263" width="24.5546875" style="1" customWidth="1"/>
    <col min="12264" max="12264" width="16.21875" style="1" customWidth="1"/>
    <col min="12265" max="12265" width="16.33203125" style="1" customWidth="1"/>
    <col min="12266" max="12266" width="18.5546875" style="1" customWidth="1"/>
    <col min="12267" max="12267" width="20.33203125" style="1" customWidth="1"/>
    <col min="12268" max="12269" width="22.88671875" style="1" customWidth="1"/>
    <col min="12270" max="12272" width="18" style="1" customWidth="1"/>
    <col min="12273" max="12273" width="17.21875" style="1" customWidth="1"/>
    <col min="12274" max="12274" width="16.6640625" style="1" customWidth="1"/>
    <col min="12275" max="12275" width="17.44140625" style="1" customWidth="1"/>
    <col min="12276" max="12276" width="24.21875" style="1" customWidth="1"/>
    <col min="12277" max="12277" width="14.5546875" style="1" customWidth="1"/>
    <col min="12278" max="12278" width="41.5546875" style="1" customWidth="1"/>
    <col min="12279" max="12280" width="32.44140625" style="1" customWidth="1"/>
    <col min="12281" max="12285" width="41.5546875" style="1" customWidth="1"/>
    <col min="12286" max="12286" width="30.44140625" style="1" customWidth="1"/>
    <col min="12287" max="12288" width="22.33203125" style="1" customWidth="1"/>
    <col min="12289" max="12289" width="9.109375" style="1"/>
    <col min="12290" max="12290" width="16.109375" style="1" customWidth="1"/>
    <col min="12291" max="12291" width="23.77734375" style="1" customWidth="1"/>
    <col min="12292" max="12292" width="74.44140625" style="1" customWidth="1"/>
    <col min="12293" max="12294" width="9.109375" style="1"/>
    <col min="12295" max="12295" width="14.109375" style="1" customWidth="1"/>
    <col min="12296" max="12296" width="12.44140625" style="1" customWidth="1"/>
    <col min="12297" max="12297" width="13.44140625" style="1" customWidth="1"/>
    <col min="12298" max="12298" width="11.109375" style="1" customWidth="1"/>
    <col min="12299" max="12302" width="17.33203125" style="1" customWidth="1"/>
    <col min="12303" max="12306" width="9.109375" style="1"/>
    <col min="12307" max="12308" width="22.33203125" style="1" customWidth="1"/>
    <col min="12309" max="12309" width="11.88671875" style="1" customWidth="1"/>
    <col min="12310" max="12310" width="10.109375" style="1" customWidth="1"/>
    <col min="12311" max="12312" width="9.109375" style="1"/>
    <col min="12313" max="12313" width="13.33203125" style="1" customWidth="1"/>
    <col min="12314" max="12314" width="11.44140625" style="1" customWidth="1"/>
    <col min="12315" max="12315" width="13.33203125" style="1" bestFit="1" customWidth="1"/>
    <col min="12316" max="12316" width="16.88671875" style="1" bestFit="1" customWidth="1"/>
    <col min="12317" max="12319" width="14.44140625" style="1" customWidth="1"/>
    <col min="12320" max="12320" width="9.88671875" style="1" customWidth="1"/>
    <col min="12321" max="12323" width="17" style="1" customWidth="1"/>
    <col min="12324" max="12324" width="9.109375" style="1"/>
    <col min="12325" max="12325" width="17" style="1" customWidth="1"/>
    <col min="12326" max="12326" width="10.44140625" style="1" customWidth="1"/>
    <col min="12327" max="12498" width="9.109375" style="1"/>
    <col min="12499" max="12501" width="18.44140625" style="1" customWidth="1"/>
    <col min="12502" max="12502" width="11.88671875" style="1" customWidth="1"/>
    <col min="12503" max="12504" width="10.109375" style="1" customWidth="1"/>
    <col min="12505" max="12506" width="13.6640625" style="1" customWidth="1"/>
    <col min="12507" max="12509" width="23.77734375" style="1" customWidth="1"/>
    <col min="12510" max="12510" width="11.77734375" style="1" customWidth="1"/>
    <col min="12511" max="12512" width="9.109375" style="1"/>
    <col min="12513" max="12513" width="21" style="1" customWidth="1"/>
    <col min="12514" max="12514" width="12.33203125" style="1" customWidth="1"/>
    <col min="12515" max="12516" width="14" style="1" customWidth="1"/>
    <col min="12517" max="12517" width="10.109375" style="1" bestFit="1" customWidth="1"/>
    <col min="12518" max="12518" width="27.21875" style="1" customWidth="1"/>
    <col min="12519" max="12519" width="24.5546875" style="1" customWidth="1"/>
    <col min="12520" max="12520" width="16.21875" style="1" customWidth="1"/>
    <col min="12521" max="12521" width="16.33203125" style="1" customWidth="1"/>
    <col min="12522" max="12522" width="18.5546875" style="1" customWidth="1"/>
    <col min="12523" max="12523" width="20.33203125" style="1" customWidth="1"/>
    <col min="12524" max="12525" width="22.88671875" style="1" customWidth="1"/>
    <col min="12526" max="12528" width="18" style="1" customWidth="1"/>
    <col min="12529" max="12529" width="17.21875" style="1" customWidth="1"/>
    <col min="12530" max="12530" width="16.6640625" style="1" customWidth="1"/>
    <col min="12531" max="12531" width="17.44140625" style="1" customWidth="1"/>
    <col min="12532" max="12532" width="24.21875" style="1" customWidth="1"/>
    <col min="12533" max="12533" width="14.5546875" style="1" customWidth="1"/>
    <col min="12534" max="12534" width="41.5546875" style="1" customWidth="1"/>
    <col min="12535" max="12536" width="32.44140625" style="1" customWidth="1"/>
    <col min="12537" max="12541" width="41.5546875" style="1" customWidth="1"/>
    <col min="12542" max="12542" width="30.44140625" style="1" customWidth="1"/>
    <col min="12543" max="12544" width="22.33203125" style="1" customWidth="1"/>
    <col min="12545" max="12545" width="9.109375" style="1"/>
    <col min="12546" max="12546" width="16.109375" style="1" customWidth="1"/>
    <col min="12547" max="12547" width="23.77734375" style="1" customWidth="1"/>
    <col min="12548" max="12548" width="74.44140625" style="1" customWidth="1"/>
    <col min="12549" max="12550" width="9.109375" style="1"/>
    <col min="12551" max="12551" width="14.109375" style="1" customWidth="1"/>
    <col min="12552" max="12552" width="12.44140625" style="1" customWidth="1"/>
    <col min="12553" max="12553" width="13.44140625" style="1" customWidth="1"/>
    <col min="12554" max="12554" width="11.109375" style="1" customWidth="1"/>
    <col min="12555" max="12558" width="17.33203125" style="1" customWidth="1"/>
    <col min="12559" max="12562" width="9.109375" style="1"/>
    <col min="12563" max="12564" width="22.33203125" style="1" customWidth="1"/>
    <col min="12565" max="12565" width="11.88671875" style="1" customWidth="1"/>
    <col min="12566" max="12566" width="10.109375" style="1" customWidth="1"/>
    <col min="12567" max="12568" width="9.109375" style="1"/>
    <col min="12569" max="12569" width="13.33203125" style="1" customWidth="1"/>
    <col min="12570" max="12570" width="11.44140625" style="1" customWidth="1"/>
    <col min="12571" max="12571" width="13.33203125" style="1" bestFit="1" customWidth="1"/>
    <col min="12572" max="12572" width="16.88671875" style="1" bestFit="1" customWidth="1"/>
    <col min="12573" max="12575" width="14.44140625" style="1" customWidth="1"/>
    <col min="12576" max="12576" width="9.88671875" style="1" customWidth="1"/>
    <col min="12577" max="12579" width="17" style="1" customWidth="1"/>
    <col min="12580" max="12580" width="9.109375" style="1"/>
    <col min="12581" max="12581" width="17" style="1" customWidth="1"/>
    <col min="12582" max="12582" width="10.44140625" style="1" customWidth="1"/>
    <col min="12583" max="12754" width="9.109375" style="1"/>
    <col min="12755" max="12757" width="18.44140625" style="1" customWidth="1"/>
    <col min="12758" max="12758" width="11.88671875" style="1" customWidth="1"/>
    <col min="12759" max="12760" width="10.109375" style="1" customWidth="1"/>
    <col min="12761" max="12762" width="13.6640625" style="1" customWidth="1"/>
    <col min="12763" max="12765" width="23.77734375" style="1" customWidth="1"/>
    <col min="12766" max="12766" width="11.77734375" style="1" customWidth="1"/>
    <col min="12767" max="12768" width="9.109375" style="1"/>
    <col min="12769" max="12769" width="21" style="1" customWidth="1"/>
    <col min="12770" max="12770" width="12.33203125" style="1" customWidth="1"/>
    <col min="12771" max="12772" width="14" style="1" customWidth="1"/>
    <col min="12773" max="12773" width="10.109375" style="1" bestFit="1" customWidth="1"/>
    <col min="12774" max="12774" width="27.21875" style="1" customWidth="1"/>
    <col min="12775" max="12775" width="24.5546875" style="1" customWidth="1"/>
    <col min="12776" max="12776" width="16.21875" style="1" customWidth="1"/>
    <col min="12777" max="12777" width="16.33203125" style="1" customWidth="1"/>
    <col min="12778" max="12778" width="18.5546875" style="1" customWidth="1"/>
    <col min="12779" max="12779" width="20.33203125" style="1" customWidth="1"/>
    <col min="12780" max="12781" width="22.88671875" style="1" customWidth="1"/>
    <col min="12782" max="12784" width="18" style="1" customWidth="1"/>
    <col min="12785" max="12785" width="17.21875" style="1" customWidth="1"/>
    <col min="12786" max="12786" width="16.6640625" style="1" customWidth="1"/>
    <col min="12787" max="12787" width="17.44140625" style="1" customWidth="1"/>
    <col min="12788" max="12788" width="24.21875" style="1" customWidth="1"/>
    <col min="12789" max="12789" width="14.5546875" style="1" customWidth="1"/>
    <col min="12790" max="12790" width="41.5546875" style="1" customWidth="1"/>
    <col min="12791" max="12792" width="32.44140625" style="1" customWidth="1"/>
    <col min="12793" max="12797" width="41.5546875" style="1" customWidth="1"/>
    <col min="12798" max="12798" width="30.44140625" style="1" customWidth="1"/>
    <col min="12799" max="12800" width="22.33203125" style="1" customWidth="1"/>
    <col min="12801" max="12801" width="9.109375" style="1"/>
    <col min="12802" max="12802" width="16.109375" style="1" customWidth="1"/>
    <col min="12803" max="12803" width="23.77734375" style="1" customWidth="1"/>
    <col min="12804" max="12804" width="74.44140625" style="1" customWidth="1"/>
    <col min="12805" max="12806" width="9.109375" style="1"/>
    <col min="12807" max="12807" width="14.109375" style="1" customWidth="1"/>
    <col min="12808" max="12808" width="12.44140625" style="1" customWidth="1"/>
    <col min="12809" max="12809" width="13.44140625" style="1" customWidth="1"/>
    <col min="12810" max="12810" width="11.109375" style="1" customWidth="1"/>
    <col min="12811" max="12814" width="17.33203125" style="1" customWidth="1"/>
    <col min="12815" max="12818" width="9.109375" style="1"/>
    <col min="12819" max="12820" width="22.33203125" style="1" customWidth="1"/>
    <col min="12821" max="12821" width="11.88671875" style="1" customWidth="1"/>
    <col min="12822" max="12822" width="10.109375" style="1" customWidth="1"/>
    <col min="12823" max="12824" width="9.109375" style="1"/>
    <col min="12825" max="12825" width="13.33203125" style="1" customWidth="1"/>
    <col min="12826" max="12826" width="11.44140625" style="1" customWidth="1"/>
    <col min="12827" max="12827" width="13.33203125" style="1" bestFit="1" customWidth="1"/>
    <col min="12828" max="12828" width="16.88671875" style="1" bestFit="1" customWidth="1"/>
    <col min="12829" max="12831" width="14.44140625" style="1" customWidth="1"/>
    <col min="12832" max="12832" width="9.88671875" style="1" customWidth="1"/>
    <col min="12833" max="12835" width="17" style="1" customWidth="1"/>
    <col min="12836" max="12836" width="9.109375" style="1"/>
    <col min="12837" max="12837" width="17" style="1" customWidth="1"/>
    <col min="12838" max="12838" width="10.44140625" style="1" customWidth="1"/>
    <col min="12839" max="13010" width="9.109375" style="1"/>
    <col min="13011" max="13013" width="18.44140625" style="1" customWidth="1"/>
    <col min="13014" max="13014" width="11.88671875" style="1" customWidth="1"/>
    <col min="13015" max="13016" width="10.109375" style="1" customWidth="1"/>
    <col min="13017" max="13018" width="13.6640625" style="1" customWidth="1"/>
    <col min="13019" max="13021" width="23.77734375" style="1" customWidth="1"/>
    <col min="13022" max="13022" width="11.77734375" style="1" customWidth="1"/>
    <col min="13023" max="13024" width="9.109375" style="1"/>
    <col min="13025" max="13025" width="21" style="1" customWidth="1"/>
    <col min="13026" max="13026" width="12.33203125" style="1" customWidth="1"/>
    <col min="13027" max="13028" width="14" style="1" customWidth="1"/>
    <col min="13029" max="13029" width="10.109375" style="1" bestFit="1" customWidth="1"/>
    <col min="13030" max="13030" width="27.21875" style="1" customWidth="1"/>
    <col min="13031" max="13031" width="24.5546875" style="1" customWidth="1"/>
    <col min="13032" max="13032" width="16.21875" style="1" customWidth="1"/>
    <col min="13033" max="13033" width="16.33203125" style="1" customWidth="1"/>
    <col min="13034" max="13034" width="18.5546875" style="1" customWidth="1"/>
    <col min="13035" max="13035" width="20.33203125" style="1" customWidth="1"/>
    <col min="13036" max="13037" width="22.88671875" style="1" customWidth="1"/>
    <col min="13038" max="13040" width="18" style="1" customWidth="1"/>
    <col min="13041" max="13041" width="17.21875" style="1" customWidth="1"/>
    <col min="13042" max="13042" width="16.6640625" style="1" customWidth="1"/>
    <col min="13043" max="13043" width="17.44140625" style="1" customWidth="1"/>
    <col min="13044" max="13044" width="24.21875" style="1" customWidth="1"/>
    <col min="13045" max="13045" width="14.5546875" style="1" customWidth="1"/>
    <col min="13046" max="13046" width="41.5546875" style="1" customWidth="1"/>
    <col min="13047" max="13048" width="32.44140625" style="1" customWidth="1"/>
    <col min="13049" max="13053" width="41.5546875" style="1" customWidth="1"/>
    <col min="13054" max="13054" width="30.44140625" style="1" customWidth="1"/>
    <col min="13055" max="13056" width="22.33203125" style="1" customWidth="1"/>
    <col min="13057" max="13057" width="9.109375" style="1"/>
    <col min="13058" max="13058" width="16.109375" style="1" customWidth="1"/>
    <col min="13059" max="13059" width="23.77734375" style="1" customWidth="1"/>
    <col min="13060" max="13060" width="74.44140625" style="1" customWidth="1"/>
    <col min="13061" max="13062" width="9.109375" style="1"/>
    <col min="13063" max="13063" width="14.109375" style="1" customWidth="1"/>
    <col min="13064" max="13064" width="12.44140625" style="1" customWidth="1"/>
    <col min="13065" max="13065" width="13.44140625" style="1" customWidth="1"/>
    <col min="13066" max="13066" width="11.109375" style="1" customWidth="1"/>
    <col min="13067" max="13070" width="17.33203125" style="1" customWidth="1"/>
    <col min="13071" max="13074" width="9.109375" style="1"/>
    <col min="13075" max="13076" width="22.33203125" style="1" customWidth="1"/>
    <col min="13077" max="13077" width="11.88671875" style="1" customWidth="1"/>
    <col min="13078" max="13078" width="10.109375" style="1" customWidth="1"/>
    <col min="13079" max="13080" width="9.109375" style="1"/>
    <col min="13081" max="13081" width="13.33203125" style="1" customWidth="1"/>
    <col min="13082" max="13082" width="11.44140625" style="1" customWidth="1"/>
    <col min="13083" max="13083" width="13.33203125" style="1" bestFit="1" customWidth="1"/>
    <col min="13084" max="13084" width="16.88671875" style="1" bestFit="1" customWidth="1"/>
    <col min="13085" max="13087" width="14.44140625" style="1" customWidth="1"/>
    <col min="13088" max="13088" width="9.88671875" style="1" customWidth="1"/>
    <col min="13089" max="13091" width="17" style="1" customWidth="1"/>
    <col min="13092" max="13092" width="9.109375" style="1"/>
    <col min="13093" max="13093" width="17" style="1" customWidth="1"/>
    <col min="13094" max="13094" width="10.44140625" style="1" customWidth="1"/>
    <col min="13095" max="13266" width="9.109375" style="1"/>
    <col min="13267" max="13269" width="18.44140625" style="1" customWidth="1"/>
    <col min="13270" max="13270" width="11.88671875" style="1" customWidth="1"/>
    <col min="13271" max="13272" width="10.109375" style="1" customWidth="1"/>
    <col min="13273" max="13274" width="13.6640625" style="1" customWidth="1"/>
    <col min="13275" max="13277" width="23.77734375" style="1" customWidth="1"/>
    <col min="13278" max="13278" width="11.77734375" style="1" customWidth="1"/>
    <col min="13279" max="13280" width="9.109375" style="1"/>
    <col min="13281" max="13281" width="21" style="1" customWidth="1"/>
    <col min="13282" max="13282" width="12.33203125" style="1" customWidth="1"/>
    <col min="13283" max="13284" width="14" style="1" customWidth="1"/>
    <col min="13285" max="13285" width="10.109375" style="1" bestFit="1" customWidth="1"/>
    <col min="13286" max="13286" width="27.21875" style="1" customWidth="1"/>
    <col min="13287" max="13287" width="24.5546875" style="1" customWidth="1"/>
    <col min="13288" max="13288" width="16.21875" style="1" customWidth="1"/>
    <col min="13289" max="13289" width="16.33203125" style="1" customWidth="1"/>
    <col min="13290" max="13290" width="18.5546875" style="1" customWidth="1"/>
    <col min="13291" max="13291" width="20.33203125" style="1" customWidth="1"/>
    <col min="13292" max="13293" width="22.88671875" style="1" customWidth="1"/>
    <col min="13294" max="13296" width="18" style="1" customWidth="1"/>
    <col min="13297" max="13297" width="17.21875" style="1" customWidth="1"/>
    <col min="13298" max="13298" width="16.6640625" style="1" customWidth="1"/>
    <col min="13299" max="13299" width="17.44140625" style="1" customWidth="1"/>
    <col min="13300" max="13300" width="24.21875" style="1" customWidth="1"/>
    <col min="13301" max="13301" width="14.5546875" style="1" customWidth="1"/>
    <col min="13302" max="13302" width="41.5546875" style="1" customWidth="1"/>
    <col min="13303" max="13304" width="32.44140625" style="1" customWidth="1"/>
    <col min="13305" max="13309" width="41.5546875" style="1" customWidth="1"/>
    <col min="13310" max="13310" width="30.44140625" style="1" customWidth="1"/>
    <col min="13311" max="13312" width="22.33203125" style="1" customWidth="1"/>
    <col min="13313" max="13313" width="9.109375" style="1"/>
    <col min="13314" max="13314" width="16.109375" style="1" customWidth="1"/>
    <col min="13315" max="13315" width="23.77734375" style="1" customWidth="1"/>
    <col min="13316" max="13316" width="74.44140625" style="1" customWidth="1"/>
    <col min="13317" max="13318" width="9.109375" style="1"/>
    <col min="13319" max="13319" width="14.109375" style="1" customWidth="1"/>
    <col min="13320" max="13320" width="12.44140625" style="1" customWidth="1"/>
    <col min="13321" max="13321" width="13.44140625" style="1" customWidth="1"/>
    <col min="13322" max="13322" width="11.109375" style="1" customWidth="1"/>
    <col min="13323" max="13326" width="17.33203125" style="1" customWidth="1"/>
    <col min="13327" max="13330" width="9.109375" style="1"/>
    <col min="13331" max="13332" width="22.33203125" style="1" customWidth="1"/>
    <col min="13333" max="13333" width="11.88671875" style="1" customWidth="1"/>
    <col min="13334" max="13334" width="10.109375" style="1" customWidth="1"/>
    <col min="13335" max="13336" width="9.109375" style="1"/>
    <col min="13337" max="13337" width="13.33203125" style="1" customWidth="1"/>
    <col min="13338" max="13338" width="11.44140625" style="1" customWidth="1"/>
    <col min="13339" max="13339" width="13.33203125" style="1" bestFit="1" customWidth="1"/>
    <col min="13340" max="13340" width="16.88671875" style="1" bestFit="1" customWidth="1"/>
    <col min="13341" max="13343" width="14.44140625" style="1" customWidth="1"/>
    <col min="13344" max="13344" width="9.88671875" style="1" customWidth="1"/>
    <col min="13345" max="13347" width="17" style="1" customWidth="1"/>
    <col min="13348" max="13348" width="9.109375" style="1"/>
    <col min="13349" max="13349" width="17" style="1" customWidth="1"/>
    <col min="13350" max="13350" width="10.44140625" style="1" customWidth="1"/>
    <col min="13351" max="13522" width="9.109375" style="1"/>
    <col min="13523" max="13525" width="18.44140625" style="1" customWidth="1"/>
    <col min="13526" max="13526" width="11.88671875" style="1" customWidth="1"/>
    <col min="13527" max="13528" width="10.109375" style="1" customWidth="1"/>
    <col min="13529" max="13530" width="13.6640625" style="1" customWidth="1"/>
    <col min="13531" max="13533" width="23.77734375" style="1" customWidth="1"/>
    <col min="13534" max="13534" width="11.77734375" style="1" customWidth="1"/>
    <col min="13535" max="13536" width="9.109375" style="1"/>
    <col min="13537" max="13537" width="21" style="1" customWidth="1"/>
    <col min="13538" max="13538" width="12.33203125" style="1" customWidth="1"/>
    <col min="13539" max="13540" width="14" style="1" customWidth="1"/>
    <col min="13541" max="13541" width="10.109375" style="1" bestFit="1" customWidth="1"/>
    <col min="13542" max="13542" width="27.21875" style="1" customWidth="1"/>
    <col min="13543" max="13543" width="24.5546875" style="1" customWidth="1"/>
    <col min="13544" max="13544" width="16.21875" style="1" customWidth="1"/>
    <col min="13545" max="13545" width="16.33203125" style="1" customWidth="1"/>
    <col min="13546" max="13546" width="18.5546875" style="1" customWidth="1"/>
    <col min="13547" max="13547" width="20.33203125" style="1" customWidth="1"/>
    <col min="13548" max="13549" width="22.88671875" style="1" customWidth="1"/>
    <col min="13550" max="13552" width="18" style="1" customWidth="1"/>
    <col min="13553" max="13553" width="17.21875" style="1" customWidth="1"/>
    <col min="13554" max="13554" width="16.6640625" style="1" customWidth="1"/>
    <col min="13555" max="13555" width="17.44140625" style="1" customWidth="1"/>
    <col min="13556" max="13556" width="24.21875" style="1" customWidth="1"/>
    <col min="13557" max="13557" width="14.5546875" style="1" customWidth="1"/>
    <col min="13558" max="13558" width="41.5546875" style="1" customWidth="1"/>
    <col min="13559" max="13560" width="32.44140625" style="1" customWidth="1"/>
    <col min="13561" max="13565" width="41.5546875" style="1" customWidth="1"/>
    <col min="13566" max="13566" width="30.44140625" style="1" customWidth="1"/>
    <col min="13567" max="13568" width="22.33203125" style="1" customWidth="1"/>
    <col min="13569" max="13569" width="9.109375" style="1"/>
    <col min="13570" max="13570" width="16.109375" style="1" customWidth="1"/>
    <col min="13571" max="13571" width="23.77734375" style="1" customWidth="1"/>
    <col min="13572" max="13572" width="74.44140625" style="1" customWidth="1"/>
    <col min="13573" max="13574" width="9.109375" style="1"/>
    <col min="13575" max="13575" width="14.109375" style="1" customWidth="1"/>
    <col min="13576" max="13576" width="12.44140625" style="1" customWidth="1"/>
    <col min="13577" max="13577" width="13.44140625" style="1" customWidth="1"/>
    <col min="13578" max="13578" width="11.109375" style="1" customWidth="1"/>
    <col min="13579" max="13582" width="17.33203125" style="1" customWidth="1"/>
    <col min="13583" max="13586" width="9.109375" style="1"/>
    <col min="13587" max="13588" width="22.33203125" style="1" customWidth="1"/>
    <col min="13589" max="13589" width="11.88671875" style="1" customWidth="1"/>
    <col min="13590" max="13590" width="10.109375" style="1" customWidth="1"/>
    <col min="13591" max="13592" width="9.109375" style="1"/>
    <col min="13593" max="13593" width="13.33203125" style="1" customWidth="1"/>
    <col min="13594" max="13594" width="11.44140625" style="1" customWidth="1"/>
    <col min="13595" max="13595" width="13.33203125" style="1" bestFit="1" customWidth="1"/>
    <col min="13596" max="13596" width="16.88671875" style="1" bestFit="1" customWidth="1"/>
    <col min="13597" max="13599" width="14.44140625" style="1" customWidth="1"/>
    <col min="13600" max="13600" width="9.88671875" style="1" customWidth="1"/>
    <col min="13601" max="13603" width="17" style="1" customWidth="1"/>
    <col min="13604" max="13604" width="9.109375" style="1"/>
    <col min="13605" max="13605" width="17" style="1" customWidth="1"/>
    <col min="13606" max="13606" width="10.44140625" style="1" customWidth="1"/>
    <col min="13607" max="13778" width="9.109375" style="1"/>
    <col min="13779" max="13781" width="18.44140625" style="1" customWidth="1"/>
    <col min="13782" max="13782" width="11.88671875" style="1" customWidth="1"/>
    <col min="13783" max="13784" width="10.109375" style="1" customWidth="1"/>
    <col min="13785" max="13786" width="13.6640625" style="1" customWidth="1"/>
    <col min="13787" max="13789" width="23.77734375" style="1" customWidth="1"/>
    <col min="13790" max="13790" width="11.77734375" style="1" customWidth="1"/>
    <col min="13791" max="13792" width="9.109375" style="1"/>
    <col min="13793" max="13793" width="21" style="1" customWidth="1"/>
    <col min="13794" max="13794" width="12.33203125" style="1" customWidth="1"/>
    <col min="13795" max="13796" width="14" style="1" customWidth="1"/>
    <col min="13797" max="13797" width="10.109375" style="1" bestFit="1" customWidth="1"/>
    <col min="13798" max="13798" width="27.21875" style="1" customWidth="1"/>
    <col min="13799" max="13799" width="24.5546875" style="1" customWidth="1"/>
    <col min="13800" max="13800" width="16.21875" style="1" customWidth="1"/>
    <col min="13801" max="13801" width="16.33203125" style="1" customWidth="1"/>
    <col min="13802" max="13802" width="18.5546875" style="1" customWidth="1"/>
    <col min="13803" max="13803" width="20.33203125" style="1" customWidth="1"/>
    <col min="13804" max="13805" width="22.88671875" style="1" customWidth="1"/>
    <col min="13806" max="13808" width="18" style="1" customWidth="1"/>
    <col min="13809" max="13809" width="17.21875" style="1" customWidth="1"/>
    <col min="13810" max="13810" width="16.6640625" style="1" customWidth="1"/>
    <col min="13811" max="13811" width="17.44140625" style="1" customWidth="1"/>
    <col min="13812" max="13812" width="24.21875" style="1" customWidth="1"/>
    <col min="13813" max="13813" width="14.5546875" style="1" customWidth="1"/>
    <col min="13814" max="13814" width="41.5546875" style="1" customWidth="1"/>
    <col min="13815" max="13816" width="32.44140625" style="1" customWidth="1"/>
    <col min="13817" max="13821" width="41.5546875" style="1" customWidth="1"/>
    <col min="13822" max="13822" width="30.44140625" style="1" customWidth="1"/>
    <col min="13823" max="13824" width="22.33203125" style="1" customWidth="1"/>
    <col min="13825" max="13825" width="9.109375" style="1"/>
    <col min="13826" max="13826" width="16.109375" style="1" customWidth="1"/>
    <col min="13827" max="13827" width="23.77734375" style="1" customWidth="1"/>
    <col min="13828" max="13828" width="74.44140625" style="1" customWidth="1"/>
    <col min="13829" max="13830" width="9.109375" style="1"/>
    <col min="13831" max="13831" width="14.109375" style="1" customWidth="1"/>
    <col min="13832" max="13832" width="12.44140625" style="1" customWidth="1"/>
    <col min="13833" max="13833" width="13.44140625" style="1" customWidth="1"/>
    <col min="13834" max="13834" width="11.109375" style="1" customWidth="1"/>
    <col min="13835" max="13838" width="17.33203125" style="1" customWidth="1"/>
    <col min="13839" max="13842" width="9.109375" style="1"/>
    <col min="13843" max="13844" width="22.33203125" style="1" customWidth="1"/>
    <col min="13845" max="13845" width="11.88671875" style="1" customWidth="1"/>
    <col min="13846" max="13846" width="10.109375" style="1" customWidth="1"/>
    <col min="13847" max="13848" width="9.109375" style="1"/>
    <col min="13849" max="13849" width="13.33203125" style="1" customWidth="1"/>
    <col min="13850" max="13850" width="11.44140625" style="1" customWidth="1"/>
    <col min="13851" max="13851" width="13.33203125" style="1" bestFit="1" customWidth="1"/>
    <col min="13852" max="13852" width="16.88671875" style="1" bestFit="1" customWidth="1"/>
    <col min="13853" max="13855" width="14.44140625" style="1" customWidth="1"/>
    <col min="13856" max="13856" width="9.88671875" style="1" customWidth="1"/>
    <col min="13857" max="13859" width="17" style="1" customWidth="1"/>
    <col min="13860" max="13860" width="9.109375" style="1"/>
    <col min="13861" max="13861" width="17" style="1" customWidth="1"/>
    <col min="13862" max="13862" width="10.44140625" style="1" customWidth="1"/>
    <col min="13863" max="14034" width="9.109375" style="1"/>
    <col min="14035" max="14037" width="18.44140625" style="1" customWidth="1"/>
    <col min="14038" max="14038" width="11.88671875" style="1" customWidth="1"/>
    <col min="14039" max="14040" width="10.109375" style="1" customWidth="1"/>
    <col min="14041" max="14042" width="13.6640625" style="1" customWidth="1"/>
    <col min="14043" max="14045" width="23.77734375" style="1" customWidth="1"/>
    <col min="14046" max="14046" width="11.77734375" style="1" customWidth="1"/>
    <col min="14047" max="14048" width="9.109375" style="1"/>
    <col min="14049" max="14049" width="21" style="1" customWidth="1"/>
    <col min="14050" max="14050" width="12.33203125" style="1" customWidth="1"/>
    <col min="14051" max="14052" width="14" style="1" customWidth="1"/>
    <col min="14053" max="14053" width="10.109375" style="1" bestFit="1" customWidth="1"/>
    <col min="14054" max="14054" width="27.21875" style="1" customWidth="1"/>
    <col min="14055" max="14055" width="24.5546875" style="1" customWidth="1"/>
    <col min="14056" max="14056" width="16.21875" style="1" customWidth="1"/>
    <col min="14057" max="14057" width="16.33203125" style="1" customWidth="1"/>
    <col min="14058" max="14058" width="18.5546875" style="1" customWidth="1"/>
    <col min="14059" max="14059" width="20.33203125" style="1" customWidth="1"/>
    <col min="14060" max="14061" width="22.88671875" style="1" customWidth="1"/>
    <col min="14062" max="14064" width="18" style="1" customWidth="1"/>
    <col min="14065" max="14065" width="17.21875" style="1" customWidth="1"/>
    <col min="14066" max="14066" width="16.6640625" style="1" customWidth="1"/>
    <col min="14067" max="14067" width="17.44140625" style="1" customWidth="1"/>
    <col min="14068" max="14068" width="24.21875" style="1" customWidth="1"/>
    <col min="14069" max="14069" width="14.5546875" style="1" customWidth="1"/>
    <col min="14070" max="14070" width="41.5546875" style="1" customWidth="1"/>
    <col min="14071" max="14072" width="32.44140625" style="1" customWidth="1"/>
    <col min="14073" max="14077" width="41.5546875" style="1" customWidth="1"/>
    <col min="14078" max="14078" width="30.44140625" style="1" customWidth="1"/>
    <col min="14079" max="14080" width="22.33203125" style="1" customWidth="1"/>
    <col min="14081" max="14081" width="9.109375" style="1"/>
    <col min="14082" max="14082" width="16.109375" style="1" customWidth="1"/>
    <col min="14083" max="14083" width="23.77734375" style="1" customWidth="1"/>
    <col min="14084" max="14084" width="74.44140625" style="1" customWidth="1"/>
    <col min="14085" max="14086" width="9.109375" style="1"/>
    <col min="14087" max="14087" width="14.109375" style="1" customWidth="1"/>
    <col min="14088" max="14088" width="12.44140625" style="1" customWidth="1"/>
    <col min="14089" max="14089" width="13.44140625" style="1" customWidth="1"/>
    <col min="14090" max="14090" width="11.109375" style="1" customWidth="1"/>
    <col min="14091" max="14094" width="17.33203125" style="1" customWidth="1"/>
    <col min="14095" max="14098" width="9.109375" style="1"/>
    <col min="14099" max="14100" width="22.33203125" style="1" customWidth="1"/>
    <col min="14101" max="14101" width="11.88671875" style="1" customWidth="1"/>
    <col min="14102" max="14102" width="10.109375" style="1" customWidth="1"/>
    <col min="14103" max="14104" width="9.109375" style="1"/>
    <col min="14105" max="14105" width="13.33203125" style="1" customWidth="1"/>
    <col min="14106" max="14106" width="11.44140625" style="1" customWidth="1"/>
    <col min="14107" max="14107" width="13.33203125" style="1" bestFit="1" customWidth="1"/>
    <col min="14108" max="14108" width="16.88671875" style="1" bestFit="1" customWidth="1"/>
    <col min="14109" max="14111" width="14.44140625" style="1" customWidth="1"/>
    <col min="14112" max="14112" width="9.88671875" style="1" customWidth="1"/>
    <col min="14113" max="14115" width="17" style="1" customWidth="1"/>
    <col min="14116" max="14116" width="9.109375" style="1"/>
    <col min="14117" max="14117" width="17" style="1" customWidth="1"/>
    <col min="14118" max="14118" width="10.44140625" style="1" customWidth="1"/>
    <col min="14119" max="14290" width="9.109375" style="1"/>
    <col min="14291" max="14293" width="18.44140625" style="1" customWidth="1"/>
    <col min="14294" max="14294" width="11.88671875" style="1" customWidth="1"/>
    <col min="14295" max="14296" width="10.109375" style="1" customWidth="1"/>
    <col min="14297" max="14298" width="13.6640625" style="1" customWidth="1"/>
    <col min="14299" max="14301" width="23.77734375" style="1" customWidth="1"/>
    <col min="14302" max="14302" width="11.77734375" style="1" customWidth="1"/>
    <col min="14303" max="14304" width="9.109375" style="1"/>
    <col min="14305" max="14305" width="21" style="1" customWidth="1"/>
    <col min="14306" max="14306" width="12.33203125" style="1" customWidth="1"/>
    <col min="14307" max="14308" width="14" style="1" customWidth="1"/>
    <col min="14309" max="14309" width="10.109375" style="1" bestFit="1" customWidth="1"/>
    <col min="14310" max="14310" width="27.21875" style="1" customWidth="1"/>
    <col min="14311" max="14311" width="24.5546875" style="1" customWidth="1"/>
    <col min="14312" max="14312" width="16.21875" style="1" customWidth="1"/>
    <col min="14313" max="14313" width="16.33203125" style="1" customWidth="1"/>
    <col min="14314" max="14314" width="18.5546875" style="1" customWidth="1"/>
    <col min="14315" max="14315" width="20.33203125" style="1" customWidth="1"/>
    <col min="14316" max="14317" width="22.88671875" style="1" customWidth="1"/>
    <col min="14318" max="14320" width="18" style="1" customWidth="1"/>
    <col min="14321" max="14321" width="17.21875" style="1" customWidth="1"/>
    <col min="14322" max="14322" width="16.6640625" style="1" customWidth="1"/>
    <col min="14323" max="14323" width="17.44140625" style="1" customWidth="1"/>
    <col min="14324" max="14324" width="24.21875" style="1" customWidth="1"/>
    <col min="14325" max="14325" width="14.5546875" style="1" customWidth="1"/>
    <col min="14326" max="14326" width="41.5546875" style="1" customWidth="1"/>
    <col min="14327" max="14328" width="32.44140625" style="1" customWidth="1"/>
    <col min="14329" max="14333" width="41.5546875" style="1" customWidth="1"/>
    <col min="14334" max="14334" width="30.44140625" style="1" customWidth="1"/>
    <col min="14335" max="14336" width="22.33203125" style="1" customWidth="1"/>
    <col min="14337" max="14337" width="9.109375" style="1"/>
    <col min="14338" max="14338" width="16.109375" style="1" customWidth="1"/>
    <col min="14339" max="14339" width="23.77734375" style="1" customWidth="1"/>
    <col min="14340" max="14340" width="74.44140625" style="1" customWidth="1"/>
    <col min="14341" max="14342" width="9.109375" style="1"/>
    <col min="14343" max="14343" width="14.109375" style="1" customWidth="1"/>
    <col min="14344" max="14344" width="12.44140625" style="1" customWidth="1"/>
    <col min="14345" max="14345" width="13.44140625" style="1" customWidth="1"/>
    <col min="14346" max="14346" width="11.109375" style="1" customWidth="1"/>
    <col min="14347" max="14350" width="17.33203125" style="1" customWidth="1"/>
    <col min="14351" max="14354" width="9.109375" style="1"/>
    <col min="14355" max="14356" width="22.33203125" style="1" customWidth="1"/>
    <col min="14357" max="14357" width="11.88671875" style="1" customWidth="1"/>
    <col min="14358" max="14358" width="10.109375" style="1" customWidth="1"/>
    <col min="14359" max="14360" width="9.109375" style="1"/>
    <col min="14361" max="14361" width="13.33203125" style="1" customWidth="1"/>
    <col min="14362" max="14362" width="11.44140625" style="1" customWidth="1"/>
    <col min="14363" max="14363" width="13.33203125" style="1" bestFit="1" customWidth="1"/>
    <col min="14364" max="14364" width="16.88671875" style="1" bestFit="1" customWidth="1"/>
    <col min="14365" max="14367" width="14.44140625" style="1" customWidth="1"/>
    <col min="14368" max="14368" width="9.88671875" style="1" customWidth="1"/>
    <col min="14369" max="14371" width="17" style="1" customWidth="1"/>
    <col min="14372" max="14372" width="9.109375" style="1"/>
    <col min="14373" max="14373" width="17" style="1" customWidth="1"/>
    <col min="14374" max="14374" width="10.44140625" style="1" customWidth="1"/>
    <col min="14375" max="14546" width="9.109375" style="1"/>
    <col min="14547" max="14549" width="18.44140625" style="1" customWidth="1"/>
    <col min="14550" max="14550" width="11.88671875" style="1" customWidth="1"/>
    <col min="14551" max="14552" width="10.109375" style="1" customWidth="1"/>
    <col min="14553" max="14554" width="13.6640625" style="1" customWidth="1"/>
    <col min="14555" max="14557" width="23.77734375" style="1" customWidth="1"/>
    <col min="14558" max="14558" width="11.77734375" style="1" customWidth="1"/>
    <col min="14559" max="14560" width="9.109375" style="1"/>
    <col min="14561" max="14561" width="21" style="1" customWidth="1"/>
    <col min="14562" max="14562" width="12.33203125" style="1" customWidth="1"/>
    <col min="14563" max="14564" width="14" style="1" customWidth="1"/>
    <col min="14565" max="14565" width="10.109375" style="1" bestFit="1" customWidth="1"/>
    <col min="14566" max="14566" width="27.21875" style="1" customWidth="1"/>
    <col min="14567" max="14567" width="24.5546875" style="1" customWidth="1"/>
    <col min="14568" max="14568" width="16.21875" style="1" customWidth="1"/>
    <col min="14569" max="14569" width="16.33203125" style="1" customWidth="1"/>
    <col min="14570" max="14570" width="18.5546875" style="1" customWidth="1"/>
    <col min="14571" max="14571" width="20.33203125" style="1" customWidth="1"/>
    <col min="14572" max="14573" width="22.88671875" style="1" customWidth="1"/>
    <col min="14574" max="14576" width="18" style="1" customWidth="1"/>
    <col min="14577" max="14577" width="17.21875" style="1" customWidth="1"/>
    <col min="14578" max="14578" width="16.6640625" style="1" customWidth="1"/>
    <col min="14579" max="14579" width="17.44140625" style="1" customWidth="1"/>
    <col min="14580" max="14580" width="24.21875" style="1" customWidth="1"/>
    <col min="14581" max="14581" width="14.5546875" style="1" customWidth="1"/>
    <col min="14582" max="14582" width="41.5546875" style="1" customWidth="1"/>
    <col min="14583" max="14584" width="32.44140625" style="1" customWidth="1"/>
    <col min="14585" max="14589" width="41.5546875" style="1" customWidth="1"/>
    <col min="14590" max="14590" width="30.44140625" style="1" customWidth="1"/>
    <col min="14591" max="14592" width="22.33203125" style="1" customWidth="1"/>
    <col min="14593" max="14593" width="9.109375" style="1"/>
    <col min="14594" max="14594" width="16.109375" style="1" customWidth="1"/>
    <col min="14595" max="14595" width="23.77734375" style="1" customWidth="1"/>
    <col min="14596" max="14596" width="74.44140625" style="1" customWidth="1"/>
    <col min="14597" max="14598" width="9.109375" style="1"/>
    <col min="14599" max="14599" width="14.109375" style="1" customWidth="1"/>
    <col min="14600" max="14600" width="12.44140625" style="1" customWidth="1"/>
    <col min="14601" max="14601" width="13.44140625" style="1" customWidth="1"/>
    <col min="14602" max="14602" width="11.109375" style="1" customWidth="1"/>
    <col min="14603" max="14606" width="17.33203125" style="1" customWidth="1"/>
    <col min="14607" max="14610" width="9.109375" style="1"/>
    <col min="14611" max="14612" width="22.33203125" style="1" customWidth="1"/>
    <col min="14613" max="14613" width="11.88671875" style="1" customWidth="1"/>
    <col min="14614" max="14614" width="10.109375" style="1" customWidth="1"/>
    <col min="14615" max="14616" width="9.109375" style="1"/>
    <col min="14617" max="14617" width="13.33203125" style="1" customWidth="1"/>
    <col min="14618" max="14618" width="11.44140625" style="1" customWidth="1"/>
    <col min="14619" max="14619" width="13.33203125" style="1" bestFit="1" customWidth="1"/>
    <col min="14620" max="14620" width="16.88671875" style="1" bestFit="1" customWidth="1"/>
    <col min="14621" max="14623" width="14.44140625" style="1" customWidth="1"/>
    <col min="14624" max="14624" width="9.88671875" style="1" customWidth="1"/>
    <col min="14625" max="14627" width="17" style="1" customWidth="1"/>
    <col min="14628" max="14628" width="9.109375" style="1"/>
    <col min="14629" max="14629" width="17" style="1" customWidth="1"/>
    <col min="14630" max="14630" width="10.44140625" style="1" customWidth="1"/>
    <col min="14631" max="14802" width="9.109375" style="1"/>
    <col min="14803" max="14805" width="18.44140625" style="1" customWidth="1"/>
    <col min="14806" max="14806" width="11.88671875" style="1" customWidth="1"/>
    <col min="14807" max="14808" width="10.109375" style="1" customWidth="1"/>
    <col min="14809" max="14810" width="13.6640625" style="1" customWidth="1"/>
    <col min="14811" max="14813" width="23.77734375" style="1" customWidth="1"/>
    <col min="14814" max="14814" width="11.77734375" style="1" customWidth="1"/>
    <col min="14815" max="14816" width="9.109375" style="1"/>
    <col min="14817" max="14817" width="21" style="1" customWidth="1"/>
    <col min="14818" max="14818" width="12.33203125" style="1" customWidth="1"/>
    <col min="14819" max="14820" width="14" style="1" customWidth="1"/>
    <col min="14821" max="14821" width="10.109375" style="1" bestFit="1" customWidth="1"/>
    <col min="14822" max="14822" width="27.21875" style="1" customWidth="1"/>
    <col min="14823" max="14823" width="24.5546875" style="1" customWidth="1"/>
    <col min="14824" max="14824" width="16.21875" style="1" customWidth="1"/>
    <col min="14825" max="14825" width="16.33203125" style="1" customWidth="1"/>
    <col min="14826" max="14826" width="18.5546875" style="1" customWidth="1"/>
    <col min="14827" max="14827" width="20.33203125" style="1" customWidth="1"/>
    <col min="14828" max="14829" width="22.88671875" style="1" customWidth="1"/>
    <col min="14830" max="14832" width="18" style="1" customWidth="1"/>
    <col min="14833" max="14833" width="17.21875" style="1" customWidth="1"/>
    <col min="14834" max="14834" width="16.6640625" style="1" customWidth="1"/>
    <col min="14835" max="14835" width="17.44140625" style="1" customWidth="1"/>
    <col min="14836" max="14836" width="24.21875" style="1" customWidth="1"/>
    <col min="14837" max="14837" width="14.5546875" style="1" customWidth="1"/>
    <col min="14838" max="14838" width="41.5546875" style="1" customWidth="1"/>
    <col min="14839" max="14840" width="32.44140625" style="1" customWidth="1"/>
    <col min="14841" max="14845" width="41.5546875" style="1" customWidth="1"/>
    <col min="14846" max="14846" width="30.44140625" style="1" customWidth="1"/>
    <col min="14847" max="14848" width="22.33203125" style="1" customWidth="1"/>
    <col min="14849" max="14849" width="9.109375" style="1"/>
    <col min="14850" max="14850" width="16.109375" style="1" customWidth="1"/>
    <col min="14851" max="14851" width="23.77734375" style="1" customWidth="1"/>
    <col min="14852" max="14852" width="74.44140625" style="1" customWidth="1"/>
    <col min="14853" max="14854" width="9.109375" style="1"/>
    <col min="14855" max="14855" width="14.109375" style="1" customWidth="1"/>
    <col min="14856" max="14856" width="12.44140625" style="1" customWidth="1"/>
    <col min="14857" max="14857" width="13.44140625" style="1" customWidth="1"/>
    <col min="14858" max="14858" width="11.109375" style="1" customWidth="1"/>
    <col min="14859" max="14862" width="17.33203125" style="1" customWidth="1"/>
    <col min="14863" max="14866" width="9.109375" style="1"/>
    <col min="14867" max="14868" width="22.33203125" style="1" customWidth="1"/>
    <col min="14869" max="14869" width="11.88671875" style="1" customWidth="1"/>
    <col min="14870" max="14870" width="10.109375" style="1" customWidth="1"/>
    <col min="14871" max="14872" width="9.109375" style="1"/>
    <col min="14873" max="14873" width="13.33203125" style="1" customWidth="1"/>
    <col min="14874" max="14874" width="11.44140625" style="1" customWidth="1"/>
    <col min="14875" max="14875" width="13.33203125" style="1" bestFit="1" customWidth="1"/>
    <col min="14876" max="14876" width="16.88671875" style="1" bestFit="1" customWidth="1"/>
    <col min="14877" max="14879" width="14.44140625" style="1" customWidth="1"/>
    <col min="14880" max="14880" width="9.88671875" style="1" customWidth="1"/>
    <col min="14881" max="14883" width="17" style="1" customWidth="1"/>
    <col min="14884" max="14884" width="9.109375" style="1"/>
    <col min="14885" max="14885" width="17" style="1" customWidth="1"/>
    <col min="14886" max="14886" width="10.44140625" style="1" customWidth="1"/>
    <col min="14887" max="15058" width="9.109375" style="1"/>
    <col min="15059" max="15061" width="18.44140625" style="1" customWidth="1"/>
    <col min="15062" max="15062" width="11.88671875" style="1" customWidth="1"/>
    <col min="15063" max="15064" width="10.109375" style="1" customWidth="1"/>
    <col min="15065" max="15066" width="13.6640625" style="1" customWidth="1"/>
    <col min="15067" max="15069" width="23.77734375" style="1" customWidth="1"/>
    <col min="15070" max="15070" width="11.77734375" style="1" customWidth="1"/>
    <col min="15071" max="15072" width="9.109375" style="1"/>
    <col min="15073" max="15073" width="21" style="1" customWidth="1"/>
    <col min="15074" max="15074" width="12.33203125" style="1" customWidth="1"/>
    <col min="15075" max="15076" width="14" style="1" customWidth="1"/>
    <col min="15077" max="15077" width="10.109375" style="1" bestFit="1" customWidth="1"/>
    <col min="15078" max="15078" width="27.21875" style="1" customWidth="1"/>
    <col min="15079" max="15079" width="24.5546875" style="1" customWidth="1"/>
    <col min="15080" max="15080" width="16.21875" style="1" customWidth="1"/>
    <col min="15081" max="15081" width="16.33203125" style="1" customWidth="1"/>
    <col min="15082" max="15082" width="18.5546875" style="1" customWidth="1"/>
    <col min="15083" max="15083" width="20.33203125" style="1" customWidth="1"/>
    <col min="15084" max="15085" width="22.88671875" style="1" customWidth="1"/>
    <col min="15086" max="15088" width="18" style="1" customWidth="1"/>
    <col min="15089" max="15089" width="17.21875" style="1" customWidth="1"/>
    <col min="15090" max="15090" width="16.6640625" style="1" customWidth="1"/>
    <col min="15091" max="15091" width="17.44140625" style="1" customWidth="1"/>
    <col min="15092" max="15092" width="24.21875" style="1" customWidth="1"/>
    <col min="15093" max="15093" width="14.5546875" style="1" customWidth="1"/>
    <col min="15094" max="15094" width="41.5546875" style="1" customWidth="1"/>
    <col min="15095" max="15096" width="32.44140625" style="1" customWidth="1"/>
    <col min="15097" max="15101" width="41.5546875" style="1" customWidth="1"/>
    <col min="15102" max="15102" width="30.44140625" style="1" customWidth="1"/>
    <col min="15103" max="15104" width="22.33203125" style="1" customWidth="1"/>
    <col min="15105" max="15105" width="9.109375" style="1"/>
    <col min="15106" max="15106" width="16.109375" style="1" customWidth="1"/>
    <col min="15107" max="15107" width="23.77734375" style="1" customWidth="1"/>
    <col min="15108" max="15108" width="74.44140625" style="1" customWidth="1"/>
    <col min="15109" max="15110" width="9.109375" style="1"/>
    <col min="15111" max="15111" width="14.109375" style="1" customWidth="1"/>
    <col min="15112" max="15112" width="12.44140625" style="1" customWidth="1"/>
    <col min="15113" max="15113" width="13.44140625" style="1" customWidth="1"/>
    <col min="15114" max="15114" width="11.109375" style="1" customWidth="1"/>
    <col min="15115" max="15118" width="17.33203125" style="1" customWidth="1"/>
    <col min="15119" max="15122" width="9.109375" style="1"/>
    <col min="15123" max="15124" width="22.33203125" style="1" customWidth="1"/>
    <col min="15125" max="15125" width="11.88671875" style="1" customWidth="1"/>
    <col min="15126" max="15126" width="10.109375" style="1" customWidth="1"/>
    <col min="15127" max="15128" width="9.109375" style="1"/>
    <col min="15129" max="15129" width="13.33203125" style="1" customWidth="1"/>
    <col min="15130" max="15130" width="11.44140625" style="1" customWidth="1"/>
    <col min="15131" max="15131" width="13.33203125" style="1" bestFit="1" customWidth="1"/>
    <col min="15132" max="15132" width="16.88671875" style="1" bestFit="1" customWidth="1"/>
    <col min="15133" max="15135" width="14.44140625" style="1" customWidth="1"/>
    <col min="15136" max="15136" width="9.88671875" style="1" customWidth="1"/>
    <col min="15137" max="15139" width="17" style="1" customWidth="1"/>
    <col min="15140" max="15140" width="9.109375" style="1"/>
    <col min="15141" max="15141" width="17" style="1" customWidth="1"/>
    <col min="15142" max="15142" width="10.44140625" style="1" customWidth="1"/>
    <col min="15143" max="15314" width="9.109375" style="1"/>
    <col min="15315" max="15317" width="18.44140625" style="1" customWidth="1"/>
    <col min="15318" max="15318" width="11.88671875" style="1" customWidth="1"/>
    <col min="15319" max="15320" width="10.109375" style="1" customWidth="1"/>
    <col min="15321" max="15322" width="13.6640625" style="1" customWidth="1"/>
    <col min="15323" max="15325" width="23.77734375" style="1" customWidth="1"/>
    <col min="15326" max="15326" width="11.77734375" style="1" customWidth="1"/>
    <col min="15327" max="15328" width="9.109375" style="1"/>
    <col min="15329" max="15329" width="21" style="1" customWidth="1"/>
    <col min="15330" max="15330" width="12.33203125" style="1" customWidth="1"/>
    <col min="15331" max="15332" width="14" style="1" customWidth="1"/>
    <col min="15333" max="15333" width="10.109375" style="1" bestFit="1" customWidth="1"/>
    <col min="15334" max="15334" width="27.21875" style="1" customWidth="1"/>
    <col min="15335" max="15335" width="24.5546875" style="1" customWidth="1"/>
    <col min="15336" max="15336" width="16.21875" style="1" customWidth="1"/>
    <col min="15337" max="15337" width="16.33203125" style="1" customWidth="1"/>
    <col min="15338" max="15338" width="18.5546875" style="1" customWidth="1"/>
    <col min="15339" max="15339" width="20.33203125" style="1" customWidth="1"/>
    <col min="15340" max="15341" width="22.88671875" style="1" customWidth="1"/>
    <col min="15342" max="15344" width="18" style="1" customWidth="1"/>
    <col min="15345" max="15345" width="17.21875" style="1" customWidth="1"/>
    <col min="15346" max="15346" width="16.6640625" style="1" customWidth="1"/>
    <col min="15347" max="15347" width="17.44140625" style="1" customWidth="1"/>
    <col min="15348" max="15348" width="24.21875" style="1" customWidth="1"/>
    <col min="15349" max="15349" width="14.5546875" style="1" customWidth="1"/>
    <col min="15350" max="15350" width="41.5546875" style="1" customWidth="1"/>
    <col min="15351" max="15352" width="32.44140625" style="1" customWidth="1"/>
    <col min="15353" max="15357" width="41.5546875" style="1" customWidth="1"/>
    <col min="15358" max="15358" width="30.44140625" style="1" customWidth="1"/>
    <col min="15359" max="15360" width="22.33203125" style="1" customWidth="1"/>
    <col min="15361" max="15361" width="9.109375" style="1"/>
    <col min="15362" max="15362" width="16.109375" style="1" customWidth="1"/>
    <col min="15363" max="15363" width="23.77734375" style="1" customWidth="1"/>
    <col min="15364" max="15364" width="74.44140625" style="1" customWidth="1"/>
    <col min="15365" max="15366" width="9.109375" style="1"/>
    <col min="15367" max="15367" width="14.109375" style="1" customWidth="1"/>
    <col min="15368" max="15368" width="12.44140625" style="1" customWidth="1"/>
    <col min="15369" max="15369" width="13.44140625" style="1" customWidth="1"/>
    <col min="15370" max="15370" width="11.109375" style="1" customWidth="1"/>
    <col min="15371" max="15374" width="17.33203125" style="1" customWidth="1"/>
    <col min="15375" max="15378" width="9.109375" style="1"/>
    <col min="15379" max="15380" width="22.33203125" style="1" customWidth="1"/>
    <col min="15381" max="15381" width="11.88671875" style="1" customWidth="1"/>
    <col min="15382" max="15382" width="10.109375" style="1" customWidth="1"/>
    <col min="15383" max="15384" width="9.109375" style="1"/>
    <col min="15385" max="15385" width="13.33203125" style="1" customWidth="1"/>
    <col min="15386" max="15386" width="11.44140625" style="1" customWidth="1"/>
    <col min="15387" max="15387" width="13.33203125" style="1" bestFit="1" customWidth="1"/>
    <col min="15388" max="15388" width="16.88671875" style="1" bestFit="1" customWidth="1"/>
    <col min="15389" max="15391" width="14.44140625" style="1" customWidth="1"/>
    <col min="15392" max="15392" width="9.88671875" style="1" customWidth="1"/>
    <col min="15393" max="15395" width="17" style="1" customWidth="1"/>
    <col min="15396" max="15396" width="9.109375" style="1"/>
    <col min="15397" max="15397" width="17" style="1" customWidth="1"/>
    <col min="15398" max="15398" width="10.44140625" style="1" customWidth="1"/>
    <col min="15399" max="15570" width="9.109375" style="1"/>
    <col min="15571" max="15573" width="18.44140625" style="1" customWidth="1"/>
    <col min="15574" max="15574" width="11.88671875" style="1" customWidth="1"/>
    <col min="15575" max="15576" width="10.109375" style="1" customWidth="1"/>
    <col min="15577" max="15578" width="13.6640625" style="1" customWidth="1"/>
    <col min="15579" max="15581" width="23.77734375" style="1" customWidth="1"/>
    <col min="15582" max="15582" width="11.77734375" style="1" customWidth="1"/>
    <col min="15583" max="15584" width="9.109375" style="1"/>
    <col min="15585" max="15585" width="21" style="1" customWidth="1"/>
    <col min="15586" max="15586" width="12.33203125" style="1" customWidth="1"/>
    <col min="15587" max="15588" width="14" style="1" customWidth="1"/>
    <col min="15589" max="15589" width="10.109375" style="1" bestFit="1" customWidth="1"/>
    <col min="15590" max="15590" width="27.21875" style="1" customWidth="1"/>
    <col min="15591" max="15591" width="24.5546875" style="1" customWidth="1"/>
    <col min="15592" max="15592" width="16.21875" style="1" customWidth="1"/>
    <col min="15593" max="15593" width="16.33203125" style="1" customWidth="1"/>
    <col min="15594" max="15594" width="18.5546875" style="1" customWidth="1"/>
    <col min="15595" max="15595" width="20.33203125" style="1" customWidth="1"/>
    <col min="15596" max="15597" width="22.88671875" style="1" customWidth="1"/>
    <col min="15598" max="15600" width="18" style="1" customWidth="1"/>
    <col min="15601" max="15601" width="17.21875" style="1" customWidth="1"/>
    <col min="15602" max="15602" width="16.6640625" style="1" customWidth="1"/>
    <col min="15603" max="15603" width="17.44140625" style="1" customWidth="1"/>
    <col min="15604" max="15604" width="24.21875" style="1" customWidth="1"/>
    <col min="15605" max="15605" width="14.5546875" style="1" customWidth="1"/>
    <col min="15606" max="15606" width="41.5546875" style="1" customWidth="1"/>
    <col min="15607" max="15608" width="32.44140625" style="1" customWidth="1"/>
    <col min="15609" max="15613" width="41.5546875" style="1" customWidth="1"/>
    <col min="15614" max="15614" width="30.44140625" style="1" customWidth="1"/>
    <col min="15615" max="15616" width="22.33203125" style="1" customWidth="1"/>
    <col min="15617" max="15617" width="9.109375" style="1"/>
    <col min="15618" max="15618" width="16.109375" style="1" customWidth="1"/>
    <col min="15619" max="15619" width="23.77734375" style="1" customWidth="1"/>
    <col min="15620" max="15620" width="74.44140625" style="1" customWidth="1"/>
    <col min="15621" max="15622" width="9.109375" style="1"/>
    <col min="15623" max="15623" width="14.109375" style="1" customWidth="1"/>
    <col min="15624" max="15624" width="12.44140625" style="1" customWidth="1"/>
    <col min="15625" max="15625" width="13.44140625" style="1" customWidth="1"/>
    <col min="15626" max="15626" width="11.109375" style="1" customWidth="1"/>
    <col min="15627" max="15630" width="17.33203125" style="1" customWidth="1"/>
    <col min="15631" max="15634" width="9.109375" style="1"/>
    <col min="15635" max="15636" width="22.33203125" style="1" customWidth="1"/>
    <col min="15637" max="15637" width="11.88671875" style="1" customWidth="1"/>
    <col min="15638" max="15638" width="10.109375" style="1" customWidth="1"/>
    <col min="15639" max="15640" width="9.109375" style="1"/>
    <col min="15641" max="15641" width="13.33203125" style="1" customWidth="1"/>
    <col min="15642" max="15642" width="11.44140625" style="1" customWidth="1"/>
    <col min="15643" max="15643" width="13.33203125" style="1" bestFit="1" customWidth="1"/>
    <col min="15644" max="15644" width="16.88671875" style="1" bestFit="1" customWidth="1"/>
    <col min="15645" max="15647" width="14.44140625" style="1" customWidth="1"/>
    <col min="15648" max="15648" width="9.88671875" style="1" customWidth="1"/>
    <col min="15649" max="15651" width="17" style="1" customWidth="1"/>
    <col min="15652" max="15652" width="9.109375" style="1"/>
    <col min="15653" max="15653" width="17" style="1" customWidth="1"/>
    <col min="15654" max="15654" width="10.44140625" style="1" customWidth="1"/>
    <col min="15655" max="15826" width="9.109375" style="1"/>
    <col min="15827" max="15829" width="18.44140625" style="1" customWidth="1"/>
    <col min="15830" max="15830" width="11.88671875" style="1" customWidth="1"/>
    <col min="15831" max="15832" width="10.109375" style="1" customWidth="1"/>
    <col min="15833" max="15834" width="13.6640625" style="1" customWidth="1"/>
    <col min="15835" max="15837" width="23.77734375" style="1" customWidth="1"/>
    <col min="15838" max="15838" width="11.77734375" style="1" customWidth="1"/>
    <col min="15839" max="15840" width="9.109375" style="1"/>
    <col min="15841" max="15841" width="21" style="1" customWidth="1"/>
    <col min="15842" max="15842" width="12.33203125" style="1" customWidth="1"/>
    <col min="15843" max="15844" width="14" style="1" customWidth="1"/>
    <col min="15845" max="15845" width="10.109375" style="1" bestFit="1" customWidth="1"/>
    <col min="15846" max="15846" width="27.21875" style="1" customWidth="1"/>
    <col min="15847" max="15847" width="24.5546875" style="1" customWidth="1"/>
    <col min="15848" max="15848" width="16.21875" style="1" customWidth="1"/>
    <col min="15849" max="15849" width="16.33203125" style="1" customWidth="1"/>
    <col min="15850" max="15850" width="18.5546875" style="1" customWidth="1"/>
    <col min="15851" max="15851" width="20.33203125" style="1" customWidth="1"/>
    <col min="15852" max="15853" width="22.88671875" style="1" customWidth="1"/>
    <col min="15854" max="15856" width="18" style="1" customWidth="1"/>
    <col min="15857" max="15857" width="17.21875" style="1" customWidth="1"/>
    <col min="15858" max="15858" width="16.6640625" style="1" customWidth="1"/>
    <col min="15859" max="15859" width="17.44140625" style="1" customWidth="1"/>
    <col min="15860" max="15860" width="24.21875" style="1" customWidth="1"/>
    <col min="15861" max="15861" width="14.5546875" style="1" customWidth="1"/>
    <col min="15862" max="15862" width="41.5546875" style="1" customWidth="1"/>
    <col min="15863" max="15864" width="32.44140625" style="1" customWidth="1"/>
    <col min="15865" max="15869" width="41.5546875" style="1" customWidth="1"/>
    <col min="15870" max="15870" width="30.44140625" style="1" customWidth="1"/>
    <col min="15871" max="15872" width="22.33203125" style="1" customWidth="1"/>
    <col min="15873" max="15873" width="9.109375" style="1"/>
    <col min="15874" max="15874" width="16.109375" style="1" customWidth="1"/>
    <col min="15875" max="15875" width="23.77734375" style="1" customWidth="1"/>
    <col min="15876" max="15876" width="74.44140625" style="1" customWidth="1"/>
    <col min="15877" max="15878" width="9.109375" style="1"/>
    <col min="15879" max="15879" width="14.109375" style="1" customWidth="1"/>
    <col min="15880" max="15880" width="12.44140625" style="1" customWidth="1"/>
    <col min="15881" max="15881" width="13.44140625" style="1" customWidth="1"/>
    <col min="15882" max="15882" width="11.109375" style="1" customWidth="1"/>
    <col min="15883" max="15886" width="17.33203125" style="1" customWidth="1"/>
    <col min="15887" max="15890" width="9.109375" style="1"/>
    <col min="15891" max="15892" width="22.33203125" style="1" customWidth="1"/>
    <col min="15893" max="15893" width="11.88671875" style="1" customWidth="1"/>
    <col min="15894" max="15894" width="10.109375" style="1" customWidth="1"/>
    <col min="15895" max="15896" width="9.109375" style="1"/>
    <col min="15897" max="15897" width="13.33203125" style="1" customWidth="1"/>
    <col min="15898" max="15898" width="11.44140625" style="1" customWidth="1"/>
    <col min="15899" max="15899" width="13.33203125" style="1" bestFit="1" customWidth="1"/>
    <col min="15900" max="15900" width="16.88671875" style="1" bestFit="1" customWidth="1"/>
    <col min="15901" max="15903" width="14.44140625" style="1" customWidth="1"/>
    <col min="15904" max="15904" width="9.88671875" style="1" customWidth="1"/>
    <col min="15905" max="15907" width="17" style="1" customWidth="1"/>
    <col min="15908" max="15908" width="9.109375" style="1"/>
    <col min="15909" max="15909" width="17" style="1" customWidth="1"/>
    <col min="15910" max="15910" width="10.44140625" style="1" customWidth="1"/>
    <col min="15911" max="16082" width="9.109375" style="1"/>
    <col min="16083" max="16085" width="18.44140625" style="1" customWidth="1"/>
    <col min="16086" max="16086" width="11.88671875" style="1" customWidth="1"/>
    <col min="16087" max="16088" width="10.109375" style="1" customWidth="1"/>
    <col min="16089" max="16090" width="13.6640625" style="1" customWidth="1"/>
    <col min="16091" max="16093" width="23.77734375" style="1" customWidth="1"/>
    <col min="16094" max="16094" width="11.77734375" style="1" customWidth="1"/>
    <col min="16095" max="16096" width="9.109375" style="1"/>
    <col min="16097" max="16097" width="21" style="1" customWidth="1"/>
    <col min="16098" max="16098" width="12.33203125" style="1" customWidth="1"/>
    <col min="16099" max="16100" width="14" style="1" customWidth="1"/>
    <col min="16101" max="16101" width="10.109375" style="1" bestFit="1" customWidth="1"/>
    <col min="16102" max="16102" width="27.21875" style="1" customWidth="1"/>
    <col min="16103" max="16103" width="24.5546875" style="1" customWidth="1"/>
    <col min="16104" max="16104" width="16.21875" style="1" customWidth="1"/>
    <col min="16105" max="16105" width="16.33203125" style="1" customWidth="1"/>
    <col min="16106" max="16106" width="18.5546875" style="1" customWidth="1"/>
    <col min="16107" max="16107" width="20.33203125" style="1" customWidth="1"/>
    <col min="16108" max="16109" width="22.88671875" style="1" customWidth="1"/>
    <col min="16110" max="16112" width="18" style="1" customWidth="1"/>
    <col min="16113" max="16113" width="17.21875" style="1" customWidth="1"/>
    <col min="16114" max="16114" width="16.6640625" style="1" customWidth="1"/>
    <col min="16115" max="16115" width="17.44140625" style="1" customWidth="1"/>
    <col min="16116" max="16116" width="24.21875" style="1" customWidth="1"/>
    <col min="16117" max="16117" width="14.5546875" style="1" customWidth="1"/>
    <col min="16118" max="16118" width="41.5546875" style="1" customWidth="1"/>
    <col min="16119" max="16120" width="32.44140625" style="1" customWidth="1"/>
    <col min="16121" max="16125" width="41.5546875" style="1" customWidth="1"/>
    <col min="16126" max="16126" width="30.44140625" style="1" customWidth="1"/>
    <col min="16127" max="16128" width="22.33203125" style="1" customWidth="1"/>
    <col min="16129" max="16129" width="9.109375" style="1"/>
    <col min="16130" max="16130" width="16.109375" style="1" customWidth="1"/>
    <col min="16131" max="16131" width="23.77734375" style="1" customWidth="1"/>
    <col min="16132" max="16132" width="74.44140625" style="1" customWidth="1"/>
    <col min="16133" max="16134" width="9.109375" style="1"/>
    <col min="16135" max="16135" width="14.109375" style="1" customWidth="1"/>
    <col min="16136" max="16136" width="12.44140625" style="1" customWidth="1"/>
    <col min="16137" max="16137" width="13.44140625" style="1" customWidth="1"/>
    <col min="16138" max="16138" width="11.109375" style="1" customWidth="1"/>
    <col min="16139" max="16142" width="17.33203125" style="1" customWidth="1"/>
    <col min="16143" max="16146" width="9.109375" style="1"/>
    <col min="16147" max="16148" width="22.33203125" style="1" customWidth="1"/>
    <col min="16149" max="16149" width="11.88671875" style="1" customWidth="1"/>
    <col min="16150" max="16150" width="10.109375" style="1" customWidth="1"/>
    <col min="16151" max="16152" width="9.109375" style="1"/>
    <col min="16153" max="16153" width="13.33203125" style="1" customWidth="1"/>
    <col min="16154" max="16154" width="11.44140625" style="1" customWidth="1"/>
    <col min="16155" max="16155" width="13.33203125" style="1" bestFit="1" customWidth="1"/>
    <col min="16156" max="16156" width="16.88671875" style="1" bestFit="1" customWidth="1"/>
    <col min="16157" max="16159" width="14.44140625" style="1" customWidth="1"/>
    <col min="16160" max="16160" width="9.88671875" style="1" customWidth="1"/>
    <col min="16161" max="16163" width="17" style="1" customWidth="1"/>
    <col min="16164" max="16164" width="9.109375" style="1"/>
    <col min="16165" max="16165" width="17" style="1" customWidth="1"/>
    <col min="16166" max="16166" width="10.44140625" style="1" customWidth="1"/>
    <col min="16167" max="16384" width="9.109375" style="1"/>
  </cols>
  <sheetData>
    <row r="1" spans="1:41" x14ac:dyDescent="0.3">
      <c r="A1" s="1" t="s">
        <v>49</v>
      </c>
      <c r="B1" s="1" t="s">
        <v>50</v>
      </c>
      <c r="C1" s="4" t="s">
        <v>0</v>
      </c>
      <c r="D1" s="4" t="s">
        <v>26</v>
      </c>
      <c r="E1" s="4" t="s">
        <v>2</v>
      </c>
      <c r="F1" s="4" t="s">
        <v>1</v>
      </c>
      <c r="G1" s="4" t="s">
        <v>3</v>
      </c>
      <c r="H1" s="4" t="s">
        <v>23</v>
      </c>
      <c r="I1" s="4" t="s">
        <v>4</v>
      </c>
      <c r="J1" s="4" t="s">
        <v>27</v>
      </c>
      <c r="K1" s="4" t="s">
        <v>28</v>
      </c>
      <c r="L1" s="4" t="s">
        <v>24</v>
      </c>
      <c r="M1" s="4" t="s">
        <v>29</v>
      </c>
      <c r="N1" s="4" t="s">
        <v>30</v>
      </c>
      <c r="O1" s="4" t="s">
        <v>31</v>
      </c>
      <c r="P1" s="4" t="s">
        <v>46</v>
      </c>
      <c r="Q1" s="4" t="s">
        <v>32</v>
      </c>
      <c r="R1" s="4" t="s">
        <v>33</v>
      </c>
      <c r="S1" s="4" t="s">
        <v>51</v>
      </c>
      <c r="T1" s="4" t="s">
        <v>52</v>
      </c>
      <c r="U1" s="4" t="s">
        <v>53</v>
      </c>
      <c r="V1" s="4" t="s">
        <v>54</v>
      </c>
      <c r="W1" s="4" t="s">
        <v>55</v>
      </c>
      <c r="X1" s="4" t="s">
        <v>170</v>
      </c>
      <c r="Y1" s="4" t="s">
        <v>56</v>
      </c>
      <c r="Z1" s="4" t="s">
        <v>57</v>
      </c>
      <c r="AA1" s="4" t="s">
        <v>58</v>
      </c>
      <c r="AB1" s="4" t="s">
        <v>59</v>
      </c>
      <c r="AC1" s="4" t="s">
        <v>34</v>
      </c>
      <c r="AD1" s="4" t="s">
        <v>60</v>
      </c>
      <c r="AE1" s="4" t="s">
        <v>61</v>
      </c>
      <c r="AF1" s="4" t="s">
        <v>62</v>
      </c>
      <c r="AG1" s="4" t="s">
        <v>171</v>
      </c>
      <c r="AH1" s="4" t="s">
        <v>44</v>
      </c>
      <c r="AI1" s="4" t="s">
        <v>63</v>
      </c>
      <c r="AJ1" s="4" t="s">
        <v>35</v>
      </c>
      <c r="AK1" s="4" t="s">
        <v>5</v>
      </c>
      <c r="AL1" s="4" t="s">
        <v>6</v>
      </c>
      <c r="AM1" s="4" t="s">
        <v>7</v>
      </c>
      <c r="AN1" s="4" t="s">
        <v>34</v>
      </c>
      <c r="AO1" s="4" t="s">
        <v>36</v>
      </c>
    </row>
    <row r="2" spans="1:41" s="7" customFormat="1" x14ac:dyDescent="0.3">
      <c r="A2" s="7" t="s">
        <v>17</v>
      </c>
      <c r="B2" s="7" t="s">
        <v>64</v>
      </c>
      <c r="C2" s="7" t="s">
        <v>65</v>
      </c>
      <c r="D2" s="7" t="s">
        <v>67</v>
      </c>
      <c r="E2" s="7" t="s">
        <v>25</v>
      </c>
      <c r="F2" s="10" t="s">
        <v>169</v>
      </c>
      <c r="G2" s="7" t="s">
        <v>66</v>
      </c>
      <c r="H2" s="7">
        <v>1204</v>
      </c>
      <c r="I2" s="7">
        <v>87</v>
      </c>
      <c r="J2" s="7">
        <v>-70</v>
      </c>
      <c r="K2" s="7">
        <v>160</v>
      </c>
      <c r="L2" s="7">
        <v>33</v>
      </c>
      <c r="M2" s="7">
        <v>80</v>
      </c>
      <c r="N2" s="8">
        <v>27.3</v>
      </c>
      <c r="O2" s="7">
        <v>60.8</v>
      </c>
      <c r="P2" s="7">
        <v>58.1</v>
      </c>
      <c r="Q2" s="7">
        <v>1.17</v>
      </c>
      <c r="R2" s="7">
        <v>-52.9</v>
      </c>
      <c r="S2" s="7">
        <v>0.43803220999999998</v>
      </c>
      <c r="T2" s="7">
        <v>1.0642417669999999</v>
      </c>
      <c r="U2" s="7">
        <v>147.74114990000001</v>
      </c>
      <c r="V2" s="7">
        <v>-51.282051090000003</v>
      </c>
      <c r="W2" s="7">
        <f t="shared" ref="W2:W62" si="0">U2/V2</f>
        <v>-2.880952433839167</v>
      </c>
      <c r="X2" s="7">
        <f>(K2*L2)/1000</f>
        <v>5.28</v>
      </c>
      <c r="Y2" s="7">
        <v>5</v>
      </c>
      <c r="Z2" s="7">
        <v>-12.4</v>
      </c>
      <c r="AA2" s="7">
        <v>0.76</v>
      </c>
      <c r="AB2" s="7">
        <v>2</v>
      </c>
      <c r="AC2" s="7">
        <v>1</v>
      </c>
      <c r="AD2" s="7">
        <v>50</v>
      </c>
      <c r="AE2" s="7">
        <f>50.1/65.4</f>
        <v>0.76605504587155959</v>
      </c>
      <c r="AF2" s="7">
        <f>18/13.8</f>
        <v>1.3043478260869565</v>
      </c>
      <c r="AK2" s="7" t="s">
        <v>172</v>
      </c>
      <c r="AL2" s="7">
        <v>4</v>
      </c>
      <c r="AM2" s="7" t="s">
        <v>9</v>
      </c>
      <c r="AN2" s="7">
        <v>1</v>
      </c>
      <c r="AO2" s="7" t="s">
        <v>68</v>
      </c>
    </row>
    <row r="3" spans="1:41" s="7" customFormat="1" x14ac:dyDescent="0.3">
      <c r="A3" s="7" t="s">
        <v>10</v>
      </c>
      <c r="B3" s="7" t="s">
        <v>64</v>
      </c>
      <c r="C3" s="7" t="s">
        <v>69</v>
      </c>
      <c r="D3" s="7" t="s">
        <v>67</v>
      </c>
      <c r="E3" s="7" t="s">
        <v>25</v>
      </c>
      <c r="F3" s="10" t="s">
        <v>169</v>
      </c>
      <c r="G3" s="7" t="s">
        <v>70</v>
      </c>
      <c r="H3" s="7">
        <v>4</v>
      </c>
      <c r="I3" s="7">
        <v>66</v>
      </c>
      <c r="J3" s="7">
        <v>-70</v>
      </c>
      <c r="K3" s="7">
        <v>350</v>
      </c>
      <c r="L3" s="7">
        <v>25</v>
      </c>
      <c r="M3" s="7">
        <v>120</v>
      </c>
      <c r="N3" s="8">
        <v>21.5</v>
      </c>
      <c r="O3" s="7">
        <v>69.400000000000006</v>
      </c>
      <c r="P3" s="7">
        <v>67.099999999999994</v>
      </c>
      <c r="Q3" s="7">
        <v>1.21</v>
      </c>
      <c r="R3" s="7">
        <v>-47.2</v>
      </c>
      <c r="S3" s="7">
        <v>0.52198159700000002</v>
      </c>
      <c r="T3" s="7">
        <v>1.0574719909999999</v>
      </c>
      <c r="U3" s="7">
        <v>156.59339900000001</v>
      </c>
      <c r="V3" s="7">
        <v>-61.355312349999998</v>
      </c>
      <c r="W3" s="7">
        <f t="shared" si="0"/>
        <v>-2.5522386408322149</v>
      </c>
      <c r="X3" s="7">
        <f t="shared" ref="X3:X62" si="1">(K3*L3)/1000</f>
        <v>8.75</v>
      </c>
      <c r="Y3" s="7">
        <v>4.5</v>
      </c>
      <c r="Z3" s="7">
        <v>-15.9</v>
      </c>
      <c r="AA3" s="7">
        <v>0.76</v>
      </c>
      <c r="AB3" s="7">
        <v>32</v>
      </c>
      <c r="AC3" s="7">
        <v>3</v>
      </c>
      <c r="AD3" s="7">
        <v>66</v>
      </c>
      <c r="AE3" s="7">
        <f>56.9/70.8</f>
        <v>0.8036723163841808</v>
      </c>
      <c r="AF3" s="7">
        <f>16.1/11.4</f>
        <v>1.4122807017543861</v>
      </c>
      <c r="AG3" s="7">
        <f>1/0.0078</f>
        <v>128.2051282051282</v>
      </c>
      <c r="AH3" s="7">
        <f>1/0.01367</f>
        <v>73.152889539136794</v>
      </c>
      <c r="AI3" s="7">
        <f>AG3/AH3</f>
        <v>1.7525641025641026</v>
      </c>
      <c r="AJ3" s="7" t="s">
        <v>71</v>
      </c>
      <c r="AK3" s="7" t="s">
        <v>172</v>
      </c>
      <c r="AL3" s="7">
        <v>4</v>
      </c>
      <c r="AM3" s="7" t="s">
        <v>9</v>
      </c>
      <c r="AN3" s="7">
        <v>3</v>
      </c>
      <c r="AO3" s="7" t="s">
        <v>72</v>
      </c>
    </row>
    <row r="4" spans="1:41" s="7" customFormat="1" x14ac:dyDescent="0.3">
      <c r="A4" s="7" t="s">
        <v>10</v>
      </c>
      <c r="B4" s="7" t="s">
        <v>64</v>
      </c>
      <c r="C4" s="7" t="s">
        <v>73</v>
      </c>
      <c r="D4" s="7" t="s">
        <v>67</v>
      </c>
      <c r="E4" s="7" t="s">
        <v>25</v>
      </c>
      <c r="F4" s="10" t="s">
        <v>169</v>
      </c>
      <c r="G4" s="7" t="s">
        <v>70</v>
      </c>
      <c r="H4" s="7">
        <v>4</v>
      </c>
      <c r="I4" s="7">
        <v>66</v>
      </c>
      <c r="J4" s="7">
        <v>-63</v>
      </c>
      <c r="K4" s="7">
        <v>280</v>
      </c>
      <c r="L4" s="7">
        <v>20</v>
      </c>
      <c r="M4" s="7">
        <v>120</v>
      </c>
      <c r="N4" s="8">
        <v>22.4</v>
      </c>
      <c r="O4" s="7">
        <v>72.3</v>
      </c>
      <c r="P4" s="7">
        <v>100.4</v>
      </c>
      <c r="Q4" s="7">
        <v>1.62</v>
      </c>
      <c r="R4" s="7">
        <v>-44.1</v>
      </c>
      <c r="S4" s="7">
        <v>0.60425609400000002</v>
      </c>
      <c r="T4" s="7">
        <v>1.550137162</v>
      </c>
      <c r="U4" s="7">
        <v>132.17338559999999</v>
      </c>
      <c r="V4" s="7">
        <v>-43.650794980000001</v>
      </c>
      <c r="W4" s="7">
        <f t="shared" si="0"/>
        <v>-3.0279720142682263</v>
      </c>
      <c r="X4" s="7">
        <f t="shared" si="1"/>
        <v>5.6</v>
      </c>
      <c r="Y4" s="7">
        <v>5.8</v>
      </c>
      <c r="Z4" s="7">
        <v>-15.8</v>
      </c>
      <c r="AA4" s="7">
        <v>0.85</v>
      </c>
      <c r="AB4" s="7">
        <v>28</v>
      </c>
      <c r="AC4" s="7">
        <v>5</v>
      </c>
      <c r="AD4" s="7">
        <v>56</v>
      </c>
      <c r="AE4" s="7">
        <f>53.6/71.5</f>
        <v>0.74965034965034971</v>
      </c>
      <c r="AF4" s="7">
        <f>20.6/13.1</f>
        <v>1.5725190839694658</v>
      </c>
      <c r="AK4" s="7" t="s">
        <v>172</v>
      </c>
      <c r="AL4" s="7">
        <v>4</v>
      </c>
      <c r="AM4" s="7" t="s">
        <v>9</v>
      </c>
      <c r="AN4" s="7">
        <v>5</v>
      </c>
      <c r="AO4" s="7" t="s">
        <v>38</v>
      </c>
    </row>
    <row r="5" spans="1:41" s="7" customFormat="1" x14ac:dyDescent="0.3">
      <c r="A5" s="7" t="s">
        <v>11</v>
      </c>
      <c r="B5" s="7" t="s">
        <v>64</v>
      </c>
      <c r="C5" s="7" t="s">
        <v>74</v>
      </c>
      <c r="D5" s="7" t="s">
        <v>67</v>
      </c>
      <c r="E5" s="7" t="s">
        <v>25</v>
      </c>
      <c r="F5" s="10" t="s">
        <v>169</v>
      </c>
      <c r="G5" s="7" t="s">
        <v>75</v>
      </c>
      <c r="H5" s="7">
        <v>2</v>
      </c>
      <c r="I5" s="7">
        <v>66</v>
      </c>
      <c r="J5" s="7">
        <v>-68</v>
      </c>
      <c r="K5" s="7">
        <v>480</v>
      </c>
      <c r="L5" s="7">
        <v>30</v>
      </c>
      <c r="M5" s="7">
        <v>80</v>
      </c>
      <c r="N5" s="8">
        <v>34.299999999999997</v>
      </c>
      <c r="O5" s="7">
        <v>67.7</v>
      </c>
      <c r="P5" s="7">
        <v>66.3</v>
      </c>
      <c r="Q5" s="7">
        <v>1.32</v>
      </c>
      <c r="R5" s="7">
        <v>-43.4</v>
      </c>
      <c r="S5" s="7">
        <v>0.60296267299999995</v>
      </c>
      <c r="T5" s="7">
        <v>1.12712872</v>
      </c>
      <c r="U5" s="7">
        <v>132.17338559999999</v>
      </c>
      <c r="V5" s="7">
        <v>-56.166057590000001</v>
      </c>
      <c r="W5" s="7">
        <f t="shared" si="0"/>
        <v>-2.3532608709131222</v>
      </c>
      <c r="X5" s="7">
        <f t="shared" si="1"/>
        <v>14.4</v>
      </c>
      <c r="Y5" s="7">
        <v>5</v>
      </c>
      <c r="Z5" s="7">
        <v>-18.7</v>
      </c>
      <c r="AA5" s="7">
        <v>0.52</v>
      </c>
      <c r="AB5" s="7">
        <v>24</v>
      </c>
      <c r="AC5" s="7">
        <v>2</v>
      </c>
      <c r="AD5" s="7">
        <v>54</v>
      </c>
      <c r="AE5" s="7">
        <f>54.1/69.2</f>
        <v>0.78179190751445082</v>
      </c>
      <c r="AF5" s="7">
        <f>20/15.3</f>
        <v>1.3071895424836601</v>
      </c>
      <c r="AG5" s="7">
        <f>1/0.0104</f>
        <v>96.15384615384616</v>
      </c>
      <c r="AH5" s="7">
        <f>1/0.0172</f>
        <v>58.139534883720927</v>
      </c>
      <c r="AI5" s="7">
        <f>AG5/AH5</f>
        <v>1.653846153846154</v>
      </c>
      <c r="AJ5" s="7" t="s">
        <v>76</v>
      </c>
      <c r="AK5" s="7" t="s">
        <v>172</v>
      </c>
      <c r="AL5" s="7">
        <v>4</v>
      </c>
      <c r="AM5" s="7" t="s">
        <v>9</v>
      </c>
      <c r="AN5" s="7">
        <v>2</v>
      </c>
      <c r="AO5" s="7" t="s">
        <v>41</v>
      </c>
    </row>
    <row r="6" spans="1:41" s="7" customFormat="1" x14ac:dyDescent="0.3">
      <c r="A6" s="7" t="s">
        <v>11</v>
      </c>
      <c r="B6" s="7" t="s">
        <v>64</v>
      </c>
      <c r="C6" s="7" t="s">
        <v>77</v>
      </c>
      <c r="D6" s="7" t="s">
        <v>67</v>
      </c>
      <c r="E6" s="7" t="s">
        <v>25</v>
      </c>
      <c r="F6" s="10" t="s">
        <v>169</v>
      </c>
      <c r="G6" s="7" t="s">
        <v>75</v>
      </c>
      <c r="H6" s="7">
        <v>2</v>
      </c>
      <c r="I6" s="7">
        <v>66</v>
      </c>
      <c r="J6" s="7">
        <v>-66</v>
      </c>
      <c r="K6" s="7">
        <v>190</v>
      </c>
      <c r="L6" s="7">
        <v>22</v>
      </c>
      <c r="M6" s="7">
        <v>160</v>
      </c>
      <c r="N6" s="8">
        <v>56.5</v>
      </c>
      <c r="O6" s="7">
        <v>74.099999999999994</v>
      </c>
      <c r="P6" s="7">
        <v>53</v>
      </c>
      <c r="Q6" s="7">
        <v>0.85</v>
      </c>
      <c r="R6" s="7">
        <v>-39.299999999999997</v>
      </c>
      <c r="S6" s="7">
        <v>0.37370440399999999</v>
      </c>
      <c r="T6" s="7">
        <v>0.75138896700000002</v>
      </c>
      <c r="U6" s="7">
        <v>215.9853516</v>
      </c>
      <c r="V6" s="7">
        <v>-93.654670719999999</v>
      </c>
      <c r="W6" s="7">
        <f t="shared" si="0"/>
        <v>-2.3061887884452967</v>
      </c>
      <c r="X6" s="7">
        <f t="shared" si="1"/>
        <v>4.18</v>
      </c>
      <c r="Y6" s="7">
        <v>3</v>
      </c>
      <c r="Z6" s="7">
        <v>-15.9</v>
      </c>
      <c r="AA6" s="7">
        <v>1.1000000000000001</v>
      </c>
      <c r="AB6" s="7">
        <v>6</v>
      </c>
      <c r="AC6" s="7">
        <v>3</v>
      </c>
      <c r="AD6" s="7">
        <v>70</v>
      </c>
      <c r="AE6" s="7">
        <f>63/73</f>
        <v>0.86301369863013699</v>
      </c>
      <c r="AF6" s="7">
        <f>15.1/9.5</f>
        <v>1.5894736842105264</v>
      </c>
      <c r="AG6" s="7">
        <f>1/0.0064</f>
        <v>156.25</v>
      </c>
      <c r="AH6" s="7">
        <f>1/0.0116</f>
        <v>86.206896551724142</v>
      </c>
      <c r="AI6" s="7">
        <f>AG6/AH6</f>
        <v>1.8125</v>
      </c>
      <c r="AJ6" s="7" t="s">
        <v>71</v>
      </c>
      <c r="AK6" s="7" t="s">
        <v>172</v>
      </c>
      <c r="AL6" s="7">
        <v>4</v>
      </c>
      <c r="AM6" s="7" t="s">
        <v>9</v>
      </c>
      <c r="AN6" s="7">
        <v>3</v>
      </c>
      <c r="AO6" s="7" t="s">
        <v>78</v>
      </c>
    </row>
    <row r="7" spans="1:41" s="7" customFormat="1" x14ac:dyDescent="0.3">
      <c r="A7" s="7" t="s">
        <v>47</v>
      </c>
      <c r="B7" s="7" t="s">
        <v>64</v>
      </c>
      <c r="C7" s="7" t="s">
        <v>79</v>
      </c>
      <c r="D7" s="7" t="s">
        <v>67</v>
      </c>
      <c r="E7" s="7" t="s">
        <v>25</v>
      </c>
      <c r="F7" s="10" t="s">
        <v>169</v>
      </c>
      <c r="G7" s="7" t="s">
        <v>80</v>
      </c>
      <c r="H7" s="7">
        <v>8</v>
      </c>
      <c r="I7" s="7">
        <v>72</v>
      </c>
      <c r="J7" s="7">
        <v>-63</v>
      </c>
      <c r="K7" s="7">
        <v>250</v>
      </c>
      <c r="L7" s="7">
        <v>23</v>
      </c>
      <c r="M7" s="7">
        <v>200</v>
      </c>
      <c r="N7" s="8">
        <v>6.3</v>
      </c>
      <c r="O7" s="7">
        <v>52.9</v>
      </c>
      <c r="P7" s="7">
        <v>43.1</v>
      </c>
      <c r="Q7" s="7">
        <v>0.84</v>
      </c>
      <c r="R7" s="7">
        <v>-54.2</v>
      </c>
      <c r="S7" s="7">
        <v>0.39488977199999997</v>
      </c>
      <c r="T7" s="7">
        <v>0.81531685600000003</v>
      </c>
      <c r="U7" s="7">
        <v>161.78266909999999</v>
      </c>
      <c r="V7" s="7">
        <v>-68.681320189999994</v>
      </c>
      <c r="W7" s="7">
        <f t="shared" si="0"/>
        <v>-2.3555556103529232</v>
      </c>
      <c r="X7" s="7">
        <f t="shared" si="1"/>
        <v>5.75</v>
      </c>
      <c r="Y7" s="7">
        <v>3</v>
      </c>
      <c r="Z7" s="7">
        <v>-8.1</v>
      </c>
      <c r="AA7" s="7">
        <v>0.52</v>
      </c>
      <c r="AB7" s="7">
        <v>82</v>
      </c>
      <c r="AC7" s="7">
        <v>2</v>
      </c>
      <c r="AD7" s="7">
        <v>136</v>
      </c>
      <c r="AE7" s="7">
        <f>36.1/54</f>
        <v>0.66851851851851851</v>
      </c>
      <c r="AF7" s="7">
        <f>7.8/5.9</f>
        <v>1.3220338983050846</v>
      </c>
      <c r="AG7" s="7">
        <f>1/0.0056</f>
        <v>178.57142857142858</v>
      </c>
      <c r="AH7" s="7">
        <f>1/0.0077</f>
        <v>129.87012987012986</v>
      </c>
      <c r="AI7" s="7">
        <f>AG7/AH7</f>
        <v>1.3750000000000002</v>
      </c>
      <c r="AK7" s="7" t="s">
        <v>172</v>
      </c>
      <c r="AL7" s="7">
        <v>4</v>
      </c>
      <c r="AM7" s="7" t="s">
        <v>9</v>
      </c>
      <c r="AN7" s="7">
        <v>2</v>
      </c>
      <c r="AO7" s="7" t="s">
        <v>81</v>
      </c>
    </row>
    <row r="8" spans="1:41" s="7" customFormat="1" x14ac:dyDescent="0.3">
      <c r="A8" s="7" t="s">
        <v>47</v>
      </c>
      <c r="B8" s="7" t="s">
        <v>64</v>
      </c>
      <c r="C8" s="7" t="s">
        <v>82</v>
      </c>
      <c r="D8" s="7" t="s">
        <v>67</v>
      </c>
      <c r="E8" s="7" t="s">
        <v>25</v>
      </c>
      <c r="F8" s="10" t="s">
        <v>169</v>
      </c>
      <c r="G8" s="7" t="s">
        <v>80</v>
      </c>
      <c r="H8" s="7">
        <v>8</v>
      </c>
      <c r="I8" s="7">
        <v>72</v>
      </c>
      <c r="J8" s="7">
        <v>-70</v>
      </c>
      <c r="K8" s="7">
        <v>170</v>
      </c>
      <c r="L8" s="7">
        <v>37</v>
      </c>
      <c r="M8" s="7">
        <v>200</v>
      </c>
      <c r="N8" s="8">
        <v>96.7</v>
      </c>
      <c r="O8" s="7">
        <v>59.5</v>
      </c>
      <c r="P8" s="7">
        <v>31.2</v>
      </c>
      <c r="Q8" s="7">
        <v>0.69</v>
      </c>
      <c r="R8" s="7">
        <v>-41.9</v>
      </c>
      <c r="S8" s="7">
        <v>0.32736971999999998</v>
      </c>
      <c r="T8" s="7">
        <v>0.59151506399999998</v>
      </c>
      <c r="U8" s="7">
        <v>189.86569209999999</v>
      </c>
      <c r="V8" s="7">
        <v>-99.206352229999993</v>
      </c>
      <c r="W8" s="7">
        <f t="shared" si="0"/>
        <v>-1.9138461180370325</v>
      </c>
      <c r="X8" s="7">
        <f t="shared" si="1"/>
        <v>6.29</v>
      </c>
      <c r="Y8" s="7">
        <v>2.8</v>
      </c>
      <c r="Z8" s="7">
        <v>-13.4</v>
      </c>
      <c r="AA8" s="7">
        <v>0.67</v>
      </c>
      <c r="AB8" s="7">
        <v>6</v>
      </c>
      <c r="AC8" s="7">
        <v>4</v>
      </c>
      <c r="AD8" s="7">
        <v>74</v>
      </c>
      <c r="AE8" s="7">
        <f>55.6/60.2</f>
        <v>0.92358803986710958</v>
      </c>
      <c r="AF8" s="7">
        <f>11.6/11.6</f>
        <v>1</v>
      </c>
      <c r="AG8" s="7">
        <f>1/0.0069</f>
        <v>144.92753623188406</v>
      </c>
      <c r="AH8" s="7">
        <f>1/0.009966</f>
        <v>100.34115994380896</v>
      </c>
      <c r="AI8" s="7">
        <f>AG8/AH8</f>
        <v>1.4443478260869564</v>
      </c>
      <c r="AJ8" s="7" t="s">
        <v>71</v>
      </c>
      <c r="AK8" s="7" t="s">
        <v>172</v>
      </c>
      <c r="AL8" s="7">
        <v>4</v>
      </c>
      <c r="AM8" s="7" t="s">
        <v>9</v>
      </c>
      <c r="AN8" s="7">
        <v>4</v>
      </c>
      <c r="AO8" s="7" t="s">
        <v>83</v>
      </c>
    </row>
    <row r="9" spans="1:41" s="7" customFormat="1" x14ac:dyDescent="0.3">
      <c r="A9" s="7" t="s">
        <v>47</v>
      </c>
      <c r="B9" s="7" t="s">
        <v>64</v>
      </c>
      <c r="C9" s="7" t="s">
        <v>84</v>
      </c>
      <c r="D9" s="7" t="s">
        <v>67</v>
      </c>
      <c r="E9" s="7" t="s">
        <v>25</v>
      </c>
      <c r="F9" s="10" t="s">
        <v>169</v>
      </c>
      <c r="G9" s="7" t="s">
        <v>80</v>
      </c>
      <c r="H9" s="7">
        <v>8</v>
      </c>
      <c r="I9" s="7">
        <v>69</v>
      </c>
      <c r="J9" s="7">
        <v>-65</v>
      </c>
      <c r="K9" s="7">
        <v>400</v>
      </c>
      <c r="L9" s="7">
        <v>20</v>
      </c>
      <c r="M9" s="7">
        <v>120</v>
      </c>
      <c r="N9" s="8">
        <v>108</v>
      </c>
      <c r="O9" s="7">
        <v>57.6</v>
      </c>
      <c r="P9" s="7">
        <v>28</v>
      </c>
      <c r="Q9" s="7">
        <v>0.91</v>
      </c>
      <c r="R9" s="7">
        <v>-34.6</v>
      </c>
      <c r="S9" s="7">
        <v>0.42776051199999998</v>
      </c>
      <c r="T9" s="7">
        <v>0.74859726400000004</v>
      </c>
      <c r="U9" s="7">
        <v>143.1623993</v>
      </c>
      <c r="V9" s="7">
        <v>-73.565322879999997</v>
      </c>
      <c r="W9" s="7">
        <f t="shared" si="0"/>
        <v>-1.9460581928462</v>
      </c>
      <c r="X9" s="7">
        <f t="shared" si="1"/>
        <v>8</v>
      </c>
      <c r="Y9" s="7">
        <v>3.9</v>
      </c>
      <c r="Z9" s="7">
        <v>-17.600000000000001</v>
      </c>
      <c r="AA9" s="7">
        <v>1.5</v>
      </c>
      <c r="AB9" s="7">
        <v>28</v>
      </c>
      <c r="AC9" s="7">
        <v>11</v>
      </c>
      <c r="AD9" s="7">
        <v>84</v>
      </c>
      <c r="AE9" s="7">
        <f>48.5/58.5</f>
        <v>0.82905982905982911</v>
      </c>
      <c r="AF9" s="7">
        <f>11.9/11.6</f>
        <v>1.0258620689655173</v>
      </c>
      <c r="AK9" s="7" t="s">
        <v>172</v>
      </c>
      <c r="AL9" s="7">
        <v>4</v>
      </c>
      <c r="AM9" s="7" t="s">
        <v>9</v>
      </c>
      <c r="AN9" s="7">
        <v>11</v>
      </c>
      <c r="AO9" s="7" t="s">
        <v>38</v>
      </c>
    </row>
    <row r="10" spans="1:41" s="7" customFormat="1" x14ac:dyDescent="0.3">
      <c r="A10" s="7" t="s">
        <v>47</v>
      </c>
      <c r="B10" s="7" t="s">
        <v>64</v>
      </c>
      <c r="C10" s="7" t="s">
        <v>85</v>
      </c>
      <c r="D10" s="7" t="s">
        <v>67</v>
      </c>
      <c r="E10" s="7" t="s">
        <v>25</v>
      </c>
      <c r="F10" s="10" t="s">
        <v>169</v>
      </c>
      <c r="G10" s="7" t="s">
        <v>80</v>
      </c>
      <c r="H10" s="7">
        <v>8</v>
      </c>
      <c r="I10" s="7">
        <v>69</v>
      </c>
      <c r="J10" s="7">
        <v>-66</v>
      </c>
      <c r="K10" s="7">
        <v>250</v>
      </c>
      <c r="L10" s="7">
        <v>31</v>
      </c>
      <c r="M10" s="7">
        <v>200</v>
      </c>
      <c r="N10" s="8">
        <v>38.5</v>
      </c>
      <c r="O10" s="7">
        <v>56.2</v>
      </c>
      <c r="P10" s="7">
        <v>16.600000000000001</v>
      </c>
      <c r="Q10" s="7">
        <v>0.84</v>
      </c>
      <c r="R10" s="7">
        <v>-29.2</v>
      </c>
      <c r="S10" s="7">
        <v>0.36528188</v>
      </c>
      <c r="T10" s="7">
        <v>0.70084285700000004</v>
      </c>
      <c r="U10" s="7">
        <v>172.77166750000001</v>
      </c>
      <c r="V10" s="7">
        <v>-73.260070799999994</v>
      </c>
      <c r="W10" s="7">
        <f t="shared" si="0"/>
        <v>-2.3583333405678339</v>
      </c>
      <c r="X10" s="7">
        <f t="shared" si="1"/>
        <v>7.75</v>
      </c>
      <c r="Y10" s="7">
        <v>4.2</v>
      </c>
      <c r="Z10" s="7">
        <v>-17.899999999999999</v>
      </c>
      <c r="AA10" s="7">
        <v>1.71</v>
      </c>
      <c r="AB10" s="7">
        <v>28</v>
      </c>
      <c r="AC10" s="7">
        <v>13</v>
      </c>
      <c r="AD10" s="7">
        <v>100</v>
      </c>
      <c r="AE10" s="7">
        <f>42.4/60.2</f>
        <v>0.70431893687707636</v>
      </c>
      <c r="AF10" s="7">
        <f>10.7/7.8</f>
        <v>1.3717948717948718</v>
      </c>
      <c r="AG10" s="7">
        <f>1/0.0065</f>
        <v>153.84615384615384</v>
      </c>
      <c r="AH10" s="7">
        <f>1/0.010075</f>
        <v>99.25558312655086</v>
      </c>
      <c r="AI10" s="7">
        <f t="shared" ref="AI10:AI45" si="2">AG10/AH10</f>
        <v>1.55</v>
      </c>
      <c r="AJ10" s="7" t="s">
        <v>71</v>
      </c>
      <c r="AK10" s="7" t="s">
        <v>172</v>
      </c>
      <c r="AL10" s="7">
        <v>4</v>
      </c>
      <c r="AM10" s="7" t="s">
        <v>9</v>
      </c>
      <c r="AN10" s="7">
        <v>13</v>
      </c>
      <c r="AO10" s="7" t="s">
        <v>83</v>
      </c>
    </row>
    <row r="11" spans="1:41" s="11" customFormat="1" x14ac:dyDescent="0.3">
      <c r="A11" s="11" t="s">
        <v>17</v>
      </c>
      <c r="B11" s="11" t="s">
        <v>86</v>
      </c>
      <c r="C11" s="11" t="s">
        <v>87</v>
      </c>
      <c r="D11" s="11" t="s">
        <v>67</v>
      </c>
      <c r="E11" s="11" t="s">
        <v>25</v>
      </c>
      <c r="F11" s="12" t="s">
        <v>169</v>
      </c>
      <c r="G11" s="11" t="s">
        <v>66</v>
      </c>
      <c r="H11" s="11">
        <v>1204</v>
      </c>
      <c r="I11" s="11">
        <v>87</v>
      </c>
      <c r="J11" s="11">
        <v>-64</v>
      </c>
      <c r="K11" s="11">
        <v>360</v>
      </c>
      <c r="L11" s="11">
        <v>26</v>
      </c>
      <c r="M11" s="11">
        <v>80</v>
      </c>
      <c r="N11" s="13">
        <v>176.7</v>
      </c>
      <c r="O11" s="11">
        <v>60.6</v>
      </c>
      <c r="P11" s="11">
        <v>55.1</v>
      </c>
      <c r="Q11" s="11">
        <v>1.19</v>
      </c>
      <c r="R11" s="11">
        <v>-40.6</v>
      </c>
      <c r="S11" s="11">
        <v>0.50922799100000005</v>
      </c>
      <c r="T11" s="11">
        <v>1.0820747610000001</v>
      </c>
      <c r="U11" s="11">
        <v>140.0243988</v>
      </c>
      <c r="V11" s="11">
        <v>-53.081146240000002</v>
      </c>
      <c r="W11" s="11">
        <f t="shared" si="0"/>
        <v>-2.6379309551247547</v>
      </c>
      <c r="X11" s="11">
        <f t="shared" si="1"/>
        <v>9.36</v>
      </c>
      <c r="Y11" s="11">
        <v>4.9000000000000004</v>
      </c>
      <c r="Z11" s="11">
        <v>-12.8</v>
      </c>
      <c r="AA11" s="11">
        <v>0.21</v>
      </c>
      <c r="AB11" s="11">
        <v>8</v>
      </c>
      <c r="AC11" s="11">
        <v>5</v>
      </c>
      <c r="AD11" s="11">
        <v>42</v>
      </c>
      <c r="AE11" s="11">
        <f>54/60</f>
        <v>0.9</v>
      </c>
      <c r="AF11" s="11">
        <f>22.9/19.6</f>
        <v>1.1683673469387754</v>
      </c>
      <c r="AG11" s="11">
        <f>1/0.0089</f>
        <v>112.35955056179776</v>
      </c>
      <c r="AH11" s="11">
        <f>1/0.01737</f>
        <v>57.570523891767415</v>
      </c>
      <c r="AI11" s="11">
        <f t="shared" si="2"/>
        <v>1.951685393258427</v>
      </c>
      <c r="AK11" s="11" t="s">
        <v>172</v>
      </c>
      <c r="AL11" s="11">
        <v>4</v>
      </c>
      <c r="AM11" s="11" t="s">
        <v>9</v>
      </c>
      <c r="AN11" s="11">
        <v>5</v>
      </c>
      <c r="AO11" s="11" t="s">
        <v>38</v>
      </c>
    </row>
    <row r="12" spans="1:41" s="11" customFormat="1" x14ac:dyDescent="0.3">
      <c r="A12" s="11" t="s">
        <v>17</v>
      </c>
      <c r="B12" s="11" t="s">
        <v>86</v>
      </c>
      <c r="C12" s="11" t="s">
        <v>88</v>
      </c>
      <c r="D12" s="11" t="s">
        <v>67</v>
      </c>
      <c r="E12" s="11" t="s">
        <v>25</v>
      </c>
      <c r="F12" s="12" t="s">
        <v>169</v>
      </c>
      <c r="G12" s="11" t="s">
        <v>66</v>
      </c>
      <c r="H12" s="11">
        <v>1204</v>
      </c>
      <c r="I12" s="11">
        <v>87</v>
      </c>
      <c r="J12" s="11">
        <v>-63</v>
      </c>
      <c r="K12" s="11">
        <v>320</v>
      </c>
      <c r="L12" s="11">
        <v>27</v>
      </c>
      <c r="M12" s="11">
        <v>120</v>
      </c>
      <c r="N12" s="13">
        <v>41.4</v>
      </c>
      <c r="O12" s="11">
        <v>64.900000000000006</v>
      </c>
      <c r="P12" s="11">
        <v>51.5</v>
      </c>
      <c r="Q12" s="11">
        <v>1.07</v>
      </c>
      <c r="R12" s="11">
        <v>-37.4</v>
      </c>
      <c r="S12" s="11">
        <v>0.412756175</v>
      </c>
      <c r="T12" s="11">
        <v>0.92196667200000004</v>
      </c>
      <c r="U12" s="11">
        <v>176.73992920000001</v>
      </c>
      <c r="V12" s="11">
        <v>-65.588775630000001</v>
      </c>
      <c r="W12" s="11">
        <f t="shared" si="0"/>
        <v>-2.6946673040068152</v>
      </c>
      <c r="X12" s="11">
        <f t="shared" si="1"/>
        <v>8.64</v>
      </c>
      <c r="Y12" s="11">
        <v>4.7</v>
      </c>
      <c r="Z12" s="11">
        <v>-16.100000000000001</v>
      </c>
      <c r="AA12" s="11">
        <v>1.59</v>
      </c>
      <c r="AB12" s="11">
        <v>22</v>
      </c>
      <c r="AC12" s="11">
        <v>19</v>
      </c>
      <c r="AD12" s="11">
        <v>56</v>
      </c>
      <c r="AE12" s="11">
        <f>49.6/67.5</f>
        <v>0.73481481481481481</v>
      </c>
      <c r="AF12" s="11">
        <f>19.7/11.4</f>
        <v>1.7280701754385963</v>
      </c>
      <c r="AG12" s="11">
        <f>1/0.0089</f>
        <v>112.35955056179776</v>
      </c>
      <c r="AH12" s="11">
        <f>1/0.01805</f>
        <v>55.401662049861493</v>
      </c>
      <c r="AI12" s="11">
        <f t="shared" si="2"/>
        <v>2.0280898876404496</v>
      </c>
      <c r="AK12" s="11" t="s">
        <v>172</v>
      </c>
      <c r="AL12" s="11">
        <v>4</v>
      </c>
      <c r="AM12" s="11" t="s">
        <v>9</v>
      </c>
      <c r="AN12" s="11">
        <v>19</v>
      </c>
      <c r="AO12" s="11" t="s">
        <v>89</v>
      </c>
    </row>
    <row r="13" spans="1:41" s="11" customFormat="1" x14ac:dyDescent="0.3">
      <c r="A13" s="11" t="s">
        <v>17</v>
      </c>
      <c r="B13" s="11" t="s">
        <v>86</v>
      </c>
      <c r="C13" s="11" t="s">
        <v>90</v>
      </c>
      <c r="D13" s="11" t="s">
        <v>67</v>
      </c>
      <c r="E13" s="11" t="s">
        <v>25</v>
      </c>
      <c r="F13" s="12" t="s">
        <v>169</v>
      </c>
      <c r="G13" s="11" t="s">
        <v>66</v>
      </c>
      <c r="H13" s="11">
        <v>1204</v>
      </c>
      <c r="I13" s="11">
        <v>87</v>
      </c>
      <c r="J13" s="11">
        <v>-67</v>
      </c>
      <c r="K13" s="11">
        <v>260</v>
      </c>
      <c r="L13" s="11">
        <v>28</v>
      </c>
      <c r="M13" s="11">
        <v>120</v>
      </c>
      <c r="N13" s="13">
        <v>37.1</v>
      </c>
      <c r="O13" s="11">
        <v>68.8</v>
      </c>
      <c r="P13" s="11">
        <v>47.5</v>
      </c>
      <c r="Q13" s="11">
        <v>1.02</v>
      </c>
      <c r="R13" s="11">
        <v>-43.7</v>
      </c>
      <c r="S13" s="11">
        <v>0.42645168300000003</v>
      </c>
      <c r="T13" s="11">
        <v>0.87018722299999995</v>
      </c>
      <c r="U13" s="11">
        <v>184.86882019999999</v>
      </c>
      <c r="V13" s="11">
        <v>-73.870574950000005</v>
      </c>
      <c r="W13" s="11">
        <f t="shared" si="0"/>
        <v>-2.5026043228326054</v>
      </c>
      <c r="X13" s="11">
        <f t="shared" si="1"/>
        <v>7.28</v>
      </c>
      <c r="Y13" s="11">
        <v>4.7</v>
      </c>
      <c r="Z13" s="11">
        <v>-17.399999999999999</v>
      </c>
      <c r="AA13" s="11">
        <v>0.46</v>
      </c>
      <c r="AB13" s="11">
        <v>24</v>
      </c>
      <c r="AC13" s="11">
        <v>22</v>
      </c>
      <c r="AD13" s="11">
        <v>60</v>
      </c>
      <c r="AE13" s="11">
        <f>56.4/70.9</f>
        <v>0.79548660084626222</v>
      </c>
      <c r="AF13" s="11">
        <f>17.6/12.9</f>
        <v>1.3643410852713178</v>
      </c>
      <c r="AG13" s="11">
        <f>1/0.0085</f>
        <v>117.64705882352941</v>
      </c>
      <c r="AH13" s="11">
        <f>1/0.014</f>
        <v>71.428571428571431</v>
      </c>
      <c r="AI13" s="11">
        <f t="shared" si="2"/>
        <v>1.6470588235294117</v>
      </c>
      <c r="AJ13" s="11" t="s">
        <v>71</v>
      </c>
      <c r="AK13" s="11" t="s">
        <v>172</v>
      </c>
      <c r="AL13" s="11">
        <v>4</v>
      </c>
      <c r="AM13" s="11" t="s">
        <v>9</v>
      </c>
      <c r="AN13" s="11">
        <v>22</v>
      </c>
      <c r="AO13" s="11" t="s">
        <v>91</v>
      </c>
    </row>
    <row r="14" spans="1:41" s="11" customFormat="1" x14ac:dyDescent="0.3">
      <c r="A14" s="11" t="s">
        <v>8</v>
      </c>
      <c r="B14" s="11" t="s">
        <v>86</v>
      </c>
      <c r="C14" s="11" t="s">
        <v>92</v>
      </c>
      <c r="D14" s="11" t="s">
        <v>67</v>
      </c>
      <c r="E14" s="11" t="s">
        <v>25</v>
      </c>
      <c r="F14" s="12" t="s">
        <v>169</v>
      </c>
      <c r="G14" s="11" t="s">
        <v>93</v>
      </c>
      <c r="H14" s="11">
        <v>1</v>
      </c>
      <c r="I14" s="11">
        <v>69</v>
      </c>
      <c r="J14" s="11">
        <v>-82</v>
      </c>
      <c r="K14" s="11">
        <v>300</v>
      </c>
      <c r="L14" s="11">
        <v>20</v>
      </c>
      <c r="M14" s="11">
        <v>80</v>
      </c>
      <c r="N14" s="13">
        <v>43</v>
      </c>
      <c r="O14" s="11">
        <v>61.5</v>
      </c>
      <c r="P14" s="11">
        <v>32.799999999999997</v>
      </c>
      <c r="Q14" s="11">
        <v>0.84</v>
      </c>
      <c r="R14" s="11">
        <v>-53.4</v>
      </c>
      <c r="S14" s="11">
        <v>0.33793467300000002</v>
      </c>
      <c r="T14" s="11">
        <v>0.71160328399999995</v>
      </c>
      <c r="U14" s="11">
        <v>195.0549469</v>
      </c>
      <c r="V14" s="11">
        <v>-79.059829710000002</v>
      </c>
      <c r="W14" s="11">
        <f t="shared" si="0"/>
        <v>-2.467181470229352</v>
      </c>
      <c r="X14" s="11">
        <f t="shared" si="1"/>
        <v>6</v>
      </c>
      <c r="Y14" s="11">
        <v>3.2</v>
      </c>
      <c r="Z14" s="11">
        <v>-16.2</v>
      </c>
      <c r="AA14" s="11">
        <v>0.55000000000000004</v>
      </c>
      <c r="AB14" s="11">
        <v>24</v>
      </c>
      <c r="AC14" s="11">
        <v>7</v>
      </c>
      <c r="AD14" s="11">
        <v>70</v>
      </c>
      <c r="AE14" s="11">
        <f>51.5/64.1</f>
        <v>0.80343213728549145</v>
      </c>
      <c r="AF14" s="11">
        <f>15.9/11.2</f>
        <v>1.4196428571428572</v>
      </c>
      <c r="AG14" s="11">
        <f>1/0.0064</f>
        <v>156.25</v>
      </c>
      <c r="AH14" s="11">
        <f>1/0.0105</f>
        <v>95.238095238095227</v>
      </c>
      <c r="AI14" s="11">
        <f t="shared" si="2"/>
        <v>1.6406250000000002</v>
      </c>
      <c r="AJ14" s="11" t="s">
        <v>71</v>
      </c>
      <c r="AK14" s="11" t="s">
        <v>172</v>
      </c>
      <c r="AL14" s="11">
        <v>4</v>
      </c>
      <c r="AM14" s="11" t="s">
        <v>9</v>
      </c>
      <c r="AN14" s="11">
        <v>7</v>
      </c>
      <c r="AO14" s="11" t="s">
        <v>45</v>
      </c>
    </row>
    <row r="15" spans="1:41" s="11" customFormat="1" ht="15" customHeight="1" x14ac:dyDescent="0.3">
      <c r="A15" s="11" t="s">
        <v>10</v>
      </c>
      <c r="B15" s="11" t="s">
        <v>86</v>
      </c>
      <c r="C15" s="11" t="s">
        <v>94</v>
      </c>
      <c r="D15" s="11" t="s">
        <v>67</v>
      </c>
      <c r="E15" s="11" t="s">
        <v>25</v>
      </c>
      <c r="F15" s="12" t="s">
        <v>169</v>
      </c>
      <c r="G15" s="11" t="s">
        <v>70</v>
      </c>
      <c r="H15" s="11">
        <v>4</v>
      </c>
      <c r="I15" s="11">
        <v>66</v>
      </c>
      <c r="J15" s="11">
        <v>-71</v>
      </c>
      <c r="K15" s="11">
        <v>250</v>
      </c>
      <c r="L15" s="11">
        <v>30</v>
      </c>
      <c r="M15" s="11">
        <v>120</v>
      </c>
      <c r="N15" s="13">
        <v>36.1</v>
      </c>
      <c r="O15" s="11">
        <v>66.5</v>
      </c>
      <c r="P15" s="11">
        <v>34</v>
      </c>
      <c r="Q15" s="11">
        <v>0.76</v>
      </c>
      <c r="R15" s="11">
        <v>-44.8</v>
      </c>
      <c r="S15" s="11">
        <v>0.343353927</v>
      </c>
      <c r="T15" s="11">
        <v>0.63634717500000004</v>
      </c>
      <c r="U15" s="11">
        <v>201.46519470000001</v>
      </c>
      <c r="V15" s="11">
        <v>-96.153846740000006</v>
      </c>
      <c r="W15" s="11">
        <f t="shared" si="0"/>
        <v>-2.095238012107429</v>
      </c>
      <c r="X15" s="11">
        <f t="shared" si="1"/>
        <v>7.5</v>
      </c>
      <c r="Y15" s="11">
        <v>2.9</v>
      </c>
      <c r="Z15" s="11">
        <v>-19.899999999999999</v>
      </c>
      <c r="AA15" s="11">
        <v>0.7</v>
      </c>
      <c r="AB15" s="11">
        <v>32</v>
      </c>
      <c r="AC15" s="11">
        <v>2</v>
      </c>
      <c r="AD15" s="11">
        <v>76</v>
      </c>
      <c r="AE15" s="11">
        <f>59.4/67.3</f>
        <v>0.88261515601783058</v>
      </c>
      <c r="AF15" s="11">
        <f>12.7/11.3</f>
        <v>1.1238938053097345</v>
      </c>
      <c r="AG15" s="11">
        <f>1/0.0063</f>
        <v>158.73015873015873</v>
      </c>
      <c r="AH15" s="11">
        <f>1/0.009925</f>
        <v>100.75566750629723</v>
      </c>
      <c r="AI15" s="11">
        <f t="shared" si="2"/>
        <v>1.5753968253968254</v>
      </c>
      <c r="AJ15" s="11" t="s">
        <v>71</v>
      </c>
      <c r="AK15" s="11" t="s">
        <v>172</v>
      </c>
      <c r="AL15" s="11">
        <v>4</v>
      </c>
      <c r="AM15" s="11" t="s">
        <v>9</v>
      </c>
      <c r="AN15" s="11">
        <v>2</v>
      </c>
      <c r="AO15" s="11" t="s">
        <v>95</v>
      </c>
    </row>
    <row r="16" spans="1:41" s="11" customFormat="1" x14ac:dyDescent="0.3">
      <c r="A16" s="11" t="s">
        <v>22</v>
      </c>
      <c r="B16" s="11" t="s">
        <v>86</v>
      </c>
      <c r="C16" s="11" t="s">
        <v>96</v>
      </c>
      <c r="D16" s="11" t="s">
        <v>67</v>
      </c>
      <c r="E16" s="11" t="s">
        <v>25</v>
      </c>
      <c r="F16" s="12" t="s">
        <v>169</v>
      </c>
      <c r="G16" s="11" t="s">
        <v>97</v>
      </c>
      <c r="H16" s="11">
        <v>7</v>
      </c>
      <c r="I16" s="11">
        <v>76</v>
      </c>
      <c r="J16" s="11">
        <v>-73</v>
      </c>
      <c r="K16" s="11">
        <v>580</v>
      </c>
      <c r="L16" s="11">
        <v>18</v>
      </c>
      <c r="M16" s="11">
        <v>80</v>
      </c>
      <c r="N16" s="13">
        <v>30.9</v>
      </c>
      <c r="O16" s="11">
        <v>59.8</v>
      </c>
      <c r="P16" s="11">
        <v>48.4</v>
      </c>
      <c r="Q16" s="11">
        <v>1.0900000000000001</v>
      </c>
      <c r="R16" s="11">
        <v>-40.6</v>
      </c>
      <c r="S16" s="11">
        <v>0.44213420199999998</v>
      </c>
      <c r="T16" s="11">
        <v>0.90215516100000004</v>
      </c>
      <c r="U16" s="11">
        <v>151.40414430000001</v>
      </c>
      <c r="V16" s="11">
        <v>-62.576313020000001</v>
      </c>
      <c r="W16" s="11">
        <f t="shared" si="0"/>
        <v>-2.4195120644389796</v>
      </c>
      <c r="X16" s="11">
        <f t="shared" si="1"/>
        <v>10.44</v>
      </c>
      <c r="Y16" s="11">
        <v>4.0999999999999996</v>
      </c>
      <c r="Z16" s="11">
        <v>-14.2</v>
      </c>
      <c r="AA16" s="11">
        <v>0.79</v>
      </c>
      <c r="AB16" s="11">
        <v>34</v>
      </c>
      <c r="AC16" s="11">
        <v>4</v>
      </c>
      <c r="AD16" s="11">
        <v>74</v>
      </c>
      <c r="AE16" s="11">
        <f>43.9/60.4</f>
        <v>0.72682119205298013</v>
      </c>
      <c r="AF16" s="11">
        <f>14.4/9.6</f>
        <v>1.5</v>
      </c>
      <c r="AG16" s="11">
        <f>1/0.0074</f>
        <v>135.13513513513513</v>
      </c>
      <c r="AH16" s="11">
        <f>1/0.0133</f>
        <v>75.187969924812037</v>
      </c>
      <c r="AI16" s="11">
        <f t="shared" si="2"/>
        <v>1.7972972972972971</v>
      </c>
      <c r="AJ16" s="11" t="s">
        <v>76</v>
      </c>
      <c r="AK16" s="11" t="s">
        <v>172</v>
      </c>
      <c r="AL16" s="11">
        <v>4</v>
      </c>
      <c r="AM16" s="11" t="s">
        <v>9</v>
      </c>
      <c r="AN16" s="11">
        <v>4</v>
      </c>
      <c r="AO16" s="11" t="s">
        <v>41</v>
      </c>
    </row>
    <row r="17" spans="1:41" s="11" customFormat="1" x14ac:dyDescent="0.3">
      <c r="A17" s="11" t="s">
        <v>22</v>
      </c>
      <c r="B17" s="11" t="s">
        <v>86</v>
      </c>
      <c r="C17" s="11" t="s">
        <v>98</v>
      </c>
      <c r="D17" s="11" t="s">
        <v>67</v>
      </c>
      <c r="E17" s="11" t="s">
        <v>25</v>
      </c>
      <c r="F17" s="12" t="s">
        <v>169</v>
      </c>
      <c r="G17" s="11" t="s">
        <v>97</v>
      </c>
      <c r="H17" s="11">
        <v>7</v>
      </c>
      <c r="I17" s="11">
        <v>76</v>
      </c>
      <c r="J17" s="11">
        <v>-73</v>
      </c>
      <c r="K17" s="11">
        <v>280</v>
      </c>
      <c r="L17" s="11">
        <v>29</v>
      </c>
      <c r="M17" s="11">
        <v>160</v>
      </c>
      <c r="N17" s="13">
        <v>38.6</v>
      </c>
      <c r="O17" s="11">
        <v>62.5</v>
      </c>
      <c r="P17" s="11">
        <v>34.5</v>
      </c>
      <c r="Q17" s="11">
        <v>0.73</v>
      </c>
      <c r="R17" s="11">
        <v>-42</v>
      </c>
      <c r="S17" s="11">
        <v>0.34913077999999997</v>
      </c>
      <c r="T17" s="11">
        <v>0.66040664900000001</v>
      </c>
      <c r="U17" s="11">
        <v>204.8229523</v>
      </c>
      <c r="V17" s="11">
        <v>-91.214157099999994</v>
      </c>
      <c r="W17" s="11">
        <f t="shared" si="0"/>
        <v>-2.2455171303665975</v>
      </c>
      <c r="X17" s="11">
        <f t="shared" si="1"/>
        <v>8.1199999999999992</v>
      </c>
      <c r="Y17" s="11">
        <v>2.8</v>
      </c>
      <c r="Z17" s="11">
        <v>-13.1</v>
      </c>
      <c r="AA17" s="11">
        <v>0.24</v>
      </c>
      <c r="AB17" s="11">
        <v>40</v>
      </c>
      <c r="AC17" s="11">
        <v>5</v>
      </c>
      <c r="AD17" s="11">
        <v>116</v>
      </c>
      <c r="AE17" s="11">
        <f>53.6/63.1</f>
        <v>0.849445324881141</v>
      </c>
      <c r="AF17" s="11">
        <f>9.1/7.3</f>
        <v>1.2465753424657533</v>
      </c>
      <c r="AG17" s="11">
        <f>1/0.0049</f>
        <v>204.08163265306123</v>
      </c>
      <c r="AH17" s="11">
        <f>1/0.0077</f>
        <v>129.87012987012986</v>
      </c>
      <c r="AI17" s="11">
        <f t="shared" si="2"/>
        <v>1.5714285714285716</v>
      </c>
      <c r="AJ17" s="11" t="s">
        <v>71</v>
      </c>
      <c r="AK17" s="11" t="s">
        <v>172</v>
      </c>
      <c r="AL17" s="11">
        <v>4</v>
      </c>
      <c r="AM17" s="11" t="s">
        <v>9</v>
      </c>
      <c r="AN17" s="11">
        <v>5</v>
      </c>
      <c r="AO17" s="11" t="s">
        <v>41</v>
      </c>
    </row>
    <row r="18" spans="1:41" s="11" customFormat="1" x14ac:dyDescent="0.3">
      <c r="A18" s="11" t="s">
        <v>11</v>
      </c>
      <c r="B18" s="11" t="s">
        <v>86</v>
      </c>
      <c r="C18" s="11" t="s">
        <v>99</v>
      </c>
      <c r="D18" s="11" t="s">
        <v>67</v>
      </c>
      <c r="E18" s="11" t="s">
        <v>25</v>
      </c>
      <c r="F18" s="12" t="s">
        <v>169</v>
      </c>
      <c r="G18" s="11" t="s">
        <v>75</v>
      </c>
      <c r="H18" s="11">
        <v>2</v>
      </c>
      <c r="I18" s="11">
        <v>66</v>
      </c>
      <c r="J18" s="11">
        <v>-65</v>
      </c>
      <c r="K18" s="11">
        <v>160</v>
      </c>
      <c r="L18" s="11">
        <v>32</v>
      </c>
      <c r="M18" s="11">
        <v>160</v>
      </c>
      <c r="N18" s="13">
        <v>101</v>
      </c>
      <c r="O18" s="11">
        <v>82.7</v>
      </c>
      <c r="P18" s="11">
        <v>59.2</v>
      </c>
      <c r="Q18" s="11">
        <v>0.82</v>
      </c>
      <c r="R18" s="11">
        <v>-34.4</v>
      </c>
      <c r="S18" s="11">
        <v>0.39348927099999997</v>
      </c>
      <c r="T18" s="11">
        <v>0.71963798999999995</v>
      </c>
      <c r="U18" s="11">
        <v>226.19047549999999</v>
      </c>
      <c r="V18" s="11">
        <v>-114.4688644</v>
      </c>
      <c r="W18" s="11">
        <f t="shared" si="0"/>
        <v>-1.9759999951567615</v>
      </c>
      <c r="X18" s="11">
        <f t="shared" si="1"/>
        <v>5.12</v>
      </c>
      <c r="Y18" s="11">
        <v>2.9</v>
      </c>
      <c r="Z18" s="11">
        <v>-15.6</v>
      </c>
      <c r="AA18" s="11">
        <v>0.4</v>
      </c>
      <c r="AB18" s="11">
        <v>8</v>
      </c>
      <c r="AC18" s="11">
        <v>8</v>
      </c>
      <c r="AD18" s="11">
        <v>78</v>
      </c>
      <c r="AE18" s="11">
        <f>70.8/79.5</f>
        <v>0.89056603773584897</v>
      </c>
      <c r="AF18" s="11">
        <f>13.5/8.5</f>
        <v>1.588235294117647</v>
      </c>
      <c r="AG18" s="11">
        <f>1/0.0055</f>
        <v>181.81818181818184</v>
      </c>
      <c r="AH18" s="11">
        <f>1/0.0093</f>
        <v>107.52688172043011</v>
      </c>
      <c r="AI18" s="11">
        <f t="shared" si="2"/>
        <v>1.6909090909090911</v>
      </c>
      <c r="AJ18" s="11" t="s">
        <v>71</v>
      </c>
      <c r="AK18" s="11" t="s">
        <v>172</v>
      </c>
      <c r="AL18" s="11">
        <v>4</v>
      </c>
      <c r="AM18" s="11" t="s">
        <v>9</v>
      </c>
      <c r="AN18" s="11">
        <v>8</v>
      </c>
      <c r="AO18" s="11" t="s">
        <v>100</v>
      </c>
    </row>
    <row r="19" spans="1:41" s="11" customFormat="1" x14ac:dyDescent="0.3">
      <c r="A19" s="11" t="s">
        <v>47</v>
      </c>
      <c r="B19" s="11" t="s">
        <v>86</v>
      </c>
      <c r="C19" s="11" t="s">
        <v>101</v>
      </c>
      <c r="D19" s="11" t="s">
        <v>67</v>
      </c>
      <c r="E19" s="11" t="s">
        <v>25</v>
      </c>
      <c r="F19" s="12" t="s">
        <v>169</v>
      </c>
      <c r="G19" s="11" t="s">
        <v>80</v>
      </c>
      <c r="H19" s="11">
        <v>8</v>
      </c>
      <c r="I19" s="11">
        <v>69</v>
      </c>
      <c r="J19" s="11">
        <v>-78</v>
      </c>
      <c r="K19" s="11">
        <v>220</v>
      </c>
      <c r="L19" s="11">
        <v>32</v>
      </c>
      <c r="M19" s="11">
        <v>160</v>
      </c>
      <c r="N19" s="13">
        <v>32.6</v>
      </c>
      <c r="O19" s="11">
        <v>59.4</v>
      </c>
      <c r="P19" s="11">
        <v>28.6</v>
      </c>
      <c r="Q19" s="11">
        <v>0.59</v>
      </c>
      <c r="R19" s="11">
        <v>-46.1</v>
      </c>
      <c r="S19" s="11">
        <v>0.28923961500000001</v>
      </c>
      <c r="T19" s="11">
        <v>0.53817915900000002</v>
      </c>
      <c r="U19" s="11">
        <v>208.48596190000001</v>
      </c>
      <c r="V19" s="11">
        <v>-109.27960969999999</v>
      </c>
      <c r="W19" s="11">
        <f t="shared" si="0"/>
        <v>-1.9078212529523704</v>
      </c>
      <c r="X19" s="11">
        <f t="shared" si="1"/>
        <v>7.04</v>
      </c>
      <c r="Y19" s="11">
        <v>2.5</v>
      </c>
      <c r="Z19" s="11">
        <v>-11</v>
      </c>
      <c r="AA19" s="11">
        <v>1.1599999999999999</v>
      </c>
      <c r="AB19" s="11">
        <v>42</v>
      </c>
      <c r="AC19" s="11">
        <v>5</v>
      </c>
      <c r="AD19" s="11">
        <v>124</v>
      </c>
      <c r="AE19" s="11">
        <f>53.6/64.9</f>
        <v>0.82588597842835121</v>
      </c>
      <c r="AF19" s="11">
        <f>7.9/7.3</f>
        <v>1.0821917808219179</v>
      </c>
      <c r="AG19" s="11">
        <f>1/0.0041</f>
        <v>243.90243902439022</v>
      </c>
      <c r="AH19" s="11">
        <f>1/0.00555</f>
        <v>180.18018018018017</v>
      </c>
      <c r="AI19" s="11">
        <f t="shared" si="2"/>
        <v>1.3536585365853657</v>
      </c>
      <c r="AJ19" s="11" t="s">
        <v>102</v>
      </c>
      <c r="AK19" s="11" t="s">
        <v>172</v>
      </c>
      <c r="AL19" s="11">
        <v>4</v>
      </c>
      <c r="AM19" s="11" t="s">
        <v>9</v>
      </c>
      <c r="AN19" s="11">
        <v>5</v>
      </c>
      <c r="AO19" s="11" t="s">
        <v>103</v>
      </c>
    </row>
    <row r="20" spans="1:41" s="11" customFormat="1" x14ac:dyDescent="0.3">
      <c r="A20" s="11" t="s">
        <v>47</v>
      </c>
      <c r="B20" s="11" t="s">
        <v>86</v>
      </c>
      <c r="C20" s="11" t="s">
        <v>104</v>
      </c>
      <c r="D20" s="11" t="s">
        <v>67</v>
      </c>
      <c r="E20" s="11" t="s">
        <v>25</v>
      </c>
      <c r="F20" s="12" t="s">
        <v>169</v>
      </c>
      <c r="G20" s="11" t="s">
        <v>80</v>
      </c>
      <c r="H20" s="11">
        <v>8</v>
      </c>
      <c r="I20" s="11">
        <v>69</v>
      </c>
      <c r="J20" s="11">
        <v>-66</v>
      </c>
      <c r="K20" s="11">
        <v>300</v>
      </c>
      <c r="L20" s="11">
        <v>30</v>
      </c>
      <c r="M20" s="11">
        <v>160</v>
      </c>
      <c r="N20" s="13">
        <v>36.5</v>
      </c>
      <c r="O20" s="11">
        <v>53.1</v>
      </c>
      <c r="P20" s="11">
        <v>48.3</v>
      </c>
      <c r="Q20" s="11">
        <v>1.02</v>
      </c>
      <c r="R20" s="11">
        <v>-37.5</v>
      </c>
      <c r="S20" s="11">
        <v>0.37854269099999999</v>
      </c>
      <c r="T20" s="11">
        <v>1.0235081909999999</v>
      </c>
      <c r="U20" s="11">
        <v>154.97254939999999</v>
      </c>
      <c r="V20" s="11">
        <v>-51.892551419999997</v>
      </c>
      <c r="W20" s="11">
        <f t="shared" si="0"/>
        <v>-2.9864122144565002</v>
      </c>
      <c r="X20" s="11">
        <f t="shared" si="1"/>
        <v>9</v>
      </c>
      <c r="Y20" s="11">
        <v>4.5999999999999996</v>
      </c>
      <c r="Z20" s="11">
        <v>-7.7</v>
      </c>
      <c r="AA20" s="11">
        <v>0.98</v>
      </c>
      <c r="AB20" s="11">
        <v>32</v>
      </c>
      <c r="AC20" s="11">
        <v>10</v>
      </c>
      <c r="AD20" s="11">
        <v>96</v>
      </c>
      <c r="AE20" s="11">
        <f>39.4/52.5</f>
        <v>0.75047619047619041</v>
      </c>
      <c r="AF20" s="11">
        <f>10.8/7.6</f>
        <v>1.4210526315789476</v>
      </c>
      <c r="AG20" s="11">
        <f>1/0.0067</f>
        <v>149.25373134328359</v>
      </c>
      <c r="AH20" s="11">
        <f>1/0.010775</f>
        <v>92.807424593967525</v>
      </c>
      <c r="AI20" s="11">
        <f t="shared" si="2"/>
        <v>1.6082089552238805</v>
      </c>
      <c r="AJ20" s="11" t="s">
        <v>71</v>
      </c>
      <c r="AK20" s="11" t="s">
        <v>172</v>
      </c>
      <c r="AL20" s="11">
        <v>4</v>
      </c>
      <c r="AM20" s="11" t="s">
        <v>9</v>
      </c>
      <c r="AN20" s="11">
        <v>10</v>
      </c>
      <c r="AO20" s="11" t="s">
        <v>83</v>
      </c>
    </row>
    <row r="21" spans="1:41" s="11" customFormat="1" x14ac:dyDescent="0.3">
      <c r="A21" s="11" t="s">
        <v>47</v>
      </c>
      <c r="B21" s="11" t="s">
        <v>86</v>
      </c>
      <c r="C21" s="11" t="s">
        <v>105</v>
      </c>
      <c r="D21" s="11" t="s">
        <v>67</v>
      </c>
      <c r="E21" s="11" t="s">
        <v>25</v>
      </c>
      <c r="F21" s="12" t="s">
        <v>169</v>
      </c>
      <c r="G21" s="11" t="s">
        <v>80</v>
      </c>
      <c r="H21" s="11">
        <v>8</v>
      </c>
      <c r="I21" s="11">
        <v>69</v>
      </c>
      <c r="J21" s="11">
        <v>-80</v>
      </c>
      <c r="K21" s="11">
        <v>900</v>
      </c>
      <c r="L21" s="11">
        <v>27</v>
      </c>
      <c r="M21" s="11">
        <v>120</v>
      </c>
      <c r="N21" s="13">
        <v>29.7</v>
      </c>
      <c r="O21" s="11">
        <v>65.400000000000006</v>
      </c>
      <c r="P21" s="11">
        <v>34.5</v>
      </c>
      <c r="Q21" s="11">
        <v>0.74</v>
      </c>
      <c r="R21" s="11">
        <v>-47.1</v>
      </c>
      <c r="S21" s="11">
        <v>0.33946916500000002</v>
      </c>
      <c r="T21" s="11">
        <v>0.63553339200000003</v>
      </c>
      <c r="U21" s="11">
        <v>203.7827911</v>
      </c>
      <c r="V21" s="11">
        <v>-94.627593989999994</v>
      </c>
      <c r="W21" s="11">
        <f t="shared" si="0"/>
        <v>-2.1535239617477249</v>
      </c>
      <c r="X21" s="11">
        <f t="shared" si="1"/>
        <v>24.3</v>
      </c>
      <c r="Y21" s="11">
        <v>3</v>
      </c>
      <c r="Z21" s="11">
        <v>-14.6</v>
      </c>
      <c r="AA21" s="11">
        <v>0.4</v>
      </c>
      <c r="AB21" s="11">
        <v>40</v>
      </c>
      <c r="AC21" s="11" t="s">
        <v>106</v>
      </c>
      <c r="AD21" s="11">
        <v>98</v>
      </c>
      <c r="AE21" s="11">
        <f>55.8/64.8</f>
        <v>0.86111111111111116</v>
      </c>
      <c r="AF21" s="11">
        <f>10.2/9.3</f>
        <v>1.096774193548387</v>
      </c>
      <c r="AG21" s="11">
        <f>1/0.0052</f>
        <v>192.30769230769232</v>
      </c>
      <c r="AH21" s="11">
        <f>1/0.00827</f>
        <v>120.91898428053204</v>
      </c>
      <c r="AI21" s="11">
        <f t="shared" si="2"/>
        <v>1.5903846153846155</v>
      </c>
      <c r="AJ21" s="11" t="s">
        <v>71</v>
      </c>
      <c r="AK21" s="11" t="s">
        <v>172</v>
      </c>
      <c r="AL21" s="11">
        <v>4</v>
      </c>
      <c r="AM21" s="11" t="s">
        <v>9</v>
      </c>
      <c r="AN21" s="11" t="s">
        <v>106</v>
      </c>
      <c r="AO21" s="11" t="s">
        <v>37</v>
      </c>
    </row>
    <row r="22" spans="1:41" x14ac:dyDescent="0.3">
      <c r="A22" s="1" t="s">
        <v>18</v>
      </c>
      <c r="B22" s="1" t="s">
        <v>64</v>
      </c>
      <c r="C22" s="1" t="s">
        <v>107</v>
      </c>
      <c r="D22" s="1" t="s">
        <v>67</v>
      </c>
      <c r="E22" s="1" t="s">
        <v>25</v>
      </c>
      <c r="F22" s="14" t="s">
        <v>108</v>
      </c>
      <c r="G22" s="1" t="s">
        <v>93</v>
      </c>
      <c r="H22" s="1">
        <v>0</v>
      </c>
      <c r="I22" s="1">
        <v>68</v>
      </c>
      <c r="J22" s="1">
        <v>-66</v>
      </c>
      <c r="K22" s="1">
        <v>320</v>
      </c>
      <c r="L22" s="1">
        <v>34</v>
      </c>
      <c r="M22" s="1">
        <v>120</v>
      </c>
      <c r="N22" s="3">
        <v>24.8</v>
      </c>
      <c r="O22" s="1">
        <v>76.599999999999994</v>
      </c>
      <c r="P22" s="1">
        <v>77.8</v>
      </c>
      <c r="Q22" s="1">
        <v>1.0900000000000001</v>
      </c>
      <c r="R22" s="1">
        <v>-36.700000000000003</v>
      </c>
      <c r="S22" s="1">
        <v>0.453776181</v>
      </c>
      <c r="T22" s="1">
        <v>1.1107784510000001</v>
      </c>
      <c r="U22" s="1">
        <v>200.24420169999999</v>
      </c>
      <c r="V22" s="1">
        <v>-70.818069460000004</v>
      </c>
      <c r="W22" s="1">
        <f t="shared" si="0"/>
        <v>-2.8275862816777777</v>
      </c>
      <c r="X22" s="7">
        <f t="shared" si="1"/>
        <v>10.88</v>
      </c>
      <c r="Y22" s="1">
        <v>4.2</v>
      </c>
      <c r="Z22" s="1">
        <v>-12.9</v>
      </c>
      <c r="AA22" s="1">
        <v>1.22</v>
      </c>
      <c r="AB22" s="1">
        <v>30</v>
      </c>
      <c r="AC22" s="1">
        <v>1</v>
      </c>
      <c r="AD22" s="1">
        <v>62</v>
      </c>
      <c r="AE22" s="1">
        <f>52.3/77.6</f>
        <v>0.6739690721649485</v>
      </c>
      <c r="AF22" s="1">
        <f>17.6/12.9</f>
        <v>1.3643410852713178</v>
      </c>
      <c r="AG22" s="1">
        <f>1/0.0083</f>
        <v>120.48192771084337</v>
      </c>
      <c r="AH22" s="1">
        <f>1/0.0183</f>
        <v>54.644808743169399</v>
      </c>
      <c r="AI22" s="1">
        <f t="shared" si="2"/>
        <v>2.2048192771084336</v>
      </c>
      <c r="AJ22" s="1" t="s">
        <v>76</v>
      </c>
      <c r="AK22" s="7" t="s">
        <v>172</v>
      </c>
      <c r="AL22" s="7">
        <v>4</v>
      </c>
      <c r="AM22" s="7" t="s">
        <v>9</v>
      </c>
      <c r="AN22" s="1">
        <v>1</v>
      </c>
      <c r="AO22" s="1" t="s">
        <v>43</v>
      </c>
    </row>
    <row r="23" spans="1:41" x14ac:dyDescent="0.3">
      <c r="A23" s="1" t="s">
        <v>109</v>
      </c>
      <c r="B23" s="1" t="s">
        <v>64</v>
      </c>
      <c r="C23" s="1" t="s">
        <v>110</v>
      </c>
      <c r="D23" s="1" t="s">
        <v>67</v>
      </c>
      <c r="E23" s="1" t="s">
        <v>25</v>
      </c>
      <c r="F23" s="14" t="s">
        <v>108</v>
      </c>
      <c r="G23" s="1" t="s">
        <v>111</v>
      </c>
      <c r="H23" s="1">
        <v>1</v>
      </c>
      <c r="I23" s="1">
        <v>93</v>
      </c>
      <c r="J23" s="1">
        <v>-82</v>
      </c>
      <c r="K23" s="1">
        <v>280</v>
      </c>
      <c r="L23" s="1">
        <v>35</v>
      </c>
      <c r="M23" s="1">
        <v>40</v>
      </c>
      <c r="N23" s="3">
        <v>35.5</v>
      </c>
      <c r="O23" s="1">
        <v>70.7</v>
      </c>
      <c r="P23" s="1">
        <v>35</v>
      </c>
      <c r="Q23" s="1">
        <v>0.7</v>
      </c>
      <c r="R23" s="1">
        <v>-58.2</v>
      </c>
      <c r="S23" s="1">
        <v>0.35215556599999998</v>
      </c>
      <c r="T23" s="1">
        <v>0.53769785199999998</v>
      </c>
      <c r="U23" s="1">
        <v>213.06471250000001</v>
      </c>
      <c r="V23" s="1">
        <v>-115.0793686</v>
      </c>
      <c r="W23" s="1">
        <f t="shared" si="0"/>
        <v>-1.8514588243926116</v>
      </c>
      <c r="X23" s="7">
        <f t="shared" si="1"/>
        <v>9.8000000000000007</v>
      </c>
      <c r="Y23" s="1">
        <v>2.8</v>
      </c>
      <c r="Z23" s="1">
        <v>-20.6</v>
      </c>
      <c r="AA23" s="1">
        <v>0.32</v>
      </c>
      <c r="AB23" s="1">
        <v>6</v>
      </c>
      <c r="AC23" s="1">
        <v>5</v>
      </c>
      <c r="AD23" s="1">
        <v>54</v>
      </c>
      <c r="AE23" s="1">
        <f>69.1/75.8</f>
        <v>0.91160949868073871</v>
      </c>
      <c r="AF23" s="1">
        <f>17.2/16.1</f>
        <v>1.0683229813664594</v>
      </c>
      <c r="AG23" s="1">
        <f>1/0.0058</f>
        <v>172.41379310344828</v>
      </c>
      <c r="AH23" s="1">
        <f>1/0.00868</f>
        <v>115.2073732718894</v>
      </c>
      <c r="AI23" s="1">
        <f t="shared" si="2"/>
        <v>1.4965517241379311</v>
      </c>
      <c r="AJ23" s="1" t="s">
        <v>76</v>
      </c>
      <c r="AK23" s="7" t="s">
        <v>172</v>
      </c>
      <c r="AL23" s="7">
        <v>4</v>
      </c>
      <c r="AM23" s="7" t="s">
        <v>9</v>
      </c>
      <c r="AN23" s="1">
        <v>5</v>
      </c>
      <c r="AO23" s="1" t="s">
        <v>112</v>
      </c>
    </row>
    <row r="24" spans="1:41" x14ac:dyDescent="0.3">
      <c r="A24" s="1" t="s">
        <v>109</v>
      </c>
      <c r="B24" s="1" t="s">
        <v>64</v>
      </c>
      <c r="C24" s="1" t="s">
        <v>113</v>
      </c>
      <c r="D24" s="1" t="s">
        <v>67</v>
      </c>
      <c r="E24" s="1" t="s">
        <v>25</v>
      </c>
      <c r="F24" s="14" t="s">
        <v>108</v>
      </c>
      <c r="G24" s="1" t="s">
        <v>111</v>
      </c>
      <c r="H24" s="1">
        <v>1</v>
      </c>
      <c r="I24" s="1">
        <v>93</v>
      </c>
      <c r="J24" s="1">
        <v>-64</v>
      </c>
      <c r="K24" s="1">
        <v>200</v>
      </c>
      <c r="L24" s="1">
        <v>32</v>
      </c>
      <c r="M24" s="1">
        <v>160</v>
      </c>
      <c r="N24" s="3">
        <v>27.1</v>
      </c>
      <c r="O24" s="1">
        <v>64.2</v>
      </c>
      <c r="P24" s="1">
        <v>50.2</v>
      </c>
      <c r="Q24" s="1">
        <v>0.97</v>
      </c>
      <c r="R24" s="1">
        <v>-39.799999999999997</v>
      </c>
      <c r="S24" s="1">
        <v>0.39986193199999998</v>
      </c>
      <c r="T24" s="1">
        <v>0.84304588999999996</v>
      </c>
      <c r="U24" s="1">
        <v>189.13972469999999</v>
      </c>
      <c r="V24" s="1">
        <v>-71.690055849999993</v>
      </c>
      <c r="W24" s="1">
        <f t="shared" si="0"/>
        <v>-2.6382979125549113</v>
      </c>
      <c r="X24" s="7">
        <f t="shared" si="1"/>
        <v>6.4</v>
      </c>
      <c r="Y24" s="1">
        <v>3.7</v>
      </c>
      <c r="Z24" s="1">
        <v>-15.5</v>
      </c>
      <c r="AA24" s="1">
        <v>0.85</v>
      </c>
      <c r="AB24" s="1">
        <v>28</v>
      </c>
      <c r="AC24" s="1">
        <v>8</v>
      </c>
      <c r="AD24" s="1">
        <v>80</v>
      </c>
      <c r="AE24" s="1">
        <f>47.2/70.4</f>
        <v>0.67045454545454541</v>
      </c>
      <c r="AF24" s="1">
        <f>12.7/9.8</f>
        <v>1.2959183673469385</v>
      </c>
      <c r="AG24" s="1">
        <f>1/0.0069</f>
        <v>144.92753623188406</v>
      </c>
      <c r="AH24" s="1">
        <f>1/0.0108</f>
        <v>92.592592592592581</v>
      </c>
      <c r="AI24" s="1">
        <f t="shared" si="2"/>
        <v>1.5652173913043481</v>
      </c>
      <c r="AJ24" s="1" t="s">
        <v>71</v>
      </c>
      <c r="AK24" s="7" t="s">
        <v>172</v>
      </c>
      <c r="AL24" s="7">
        <v>4</v>
      </c>
      <c r="AM24" s="7" t="s">
        <v>9</v>
      </c>
      <c r="AN24" s="1">
        <v>8</v>
      </c>
      <c r="AO24" s="1" t="s">
        <v>114</v>
      </c>
    </row>
    <row r="25" spans="1:41" x14ac:dyDescent="0.3">
      <c r="A25" s="1" t="s">
        <v>20</v>
      </c>
      <c r="B25" s="1" t="s">
        <v>64</v>
      </c>
      <c r="C25" s="1" t="s">
        <v>115</v>
      </c>
      <c r="D25" s="1" t="s">
        <v>67</v>
      </c>
      <c r="E25" s="1" t="s">
        <v>25</v>
      </c>
      <c r="F25" s="14" t="s">
        <v>108</v>
      </c>
      <c r="G25" s="1" t="s">
        <v>116</v>
      </c>
      <c r="H25" s="1">
        <v>8</v>
      </c>
      <c r="I25" s="1">
        <v>67</v>
      </c>
      <c r="J25" s="1">
        <v>-65</v>
      </c>
      <c r="K25" s="1">
        <v>190</v>
      </c>
      <c r="L25" s="1">
        <v>28</v>
      </c>
      <c r="M25" s="1">
        <v>160</v>
      </c>
      <c r="N25" s="3">
        <v>200.6</v>
      </c>
      <c r="O25" s="1">
        <v>57.4</v>
      </c>
      <c r="P25" s="1">
        <v>38.5</v>
      </c>
      <c r="Q25" s="1">
        <v>0.79</v>
      </c>
      <c r="R25" s="1">
        <v>-32.200000000000003</v>
      </c>
      <c r="S25" s="1">
        <v>0.37775266200000002</v>
      </c>
      <c r="T25" s="1">
        <v>0.70187395799999996</v>
      </c>
      <c r="U25" s="1">
        <v>178.8766785</v>
      </c>
      <c r="V25" s="1">
        <v>-82.977424619999994</v>
      </c>
      <c r="W25" s="1">
        <f t="shared" si="0"/>
        <v>-2.1557270464728964</v>
      </c>
      <c r="X25" s="7">
        <f t="shared" si="1"/>
        <v>5.32</v>
      </c>
      <c r="Y25" s="1">
        <v>3.1</v>
      </c>
      <c r="Z25" s="1">
        <v>-12.8</v>
      </c>
      <c r="AA25" s="1">
        <v>0.37</v>
      </c>
      <c r="AB25" s="1">
        <v>8</v>
      </c>
      <c r="AC25" s="1">
        <v>1</v>
      </c>
      <c r="AD25" s="1">
        <v>126</v>
      </c>
      <c r="AE25" s="1">
        <f>42.4/57.9</f>
        <v>0.73229706390328153</v>
      </c>
      <c r="AF25" s="1">
        <f>8.4/7.6</f>
        <v>1.1052631578947369</v>
      </c>
      <c r="AG25" s="1">
        <f>1/0.0068</f>
        <v>147.05882352941177</v>
      </c>
      <c r="AH25" s="1">
        <f>1/0.00827</f>
        <v>120.91898428053204</v>
      </c>
      <c r="AI25" s="1">
        <f t="shared" si="2"/>
        <v>1.2161764705882354</v>
      </c>
      <c r="AK25" s="7" t="s">
        <v>172</v>
      </c>
      <c r="AL25" s="7">
        <v>4</v>
      </c>
      <c r="AM25" s="7" t="s">
        <v>9</v>
      </c>
      <c r="AN25" s="1">
        <v>1</v>
      </c>
      <c r="AO25" s="1" t="s">
        <v>117</v>
      </c>
    </row>
    <row r="26" spans="1:41" x14ac:dyDescent="0.3">
      <c r="A26" s="1" t="s">
        <v>20</v>
      </c>
      <c r="B26" s="1" t="s">
        <v>64</v>
      </c>
      <c r="C26" s="1" t="s">
        <v>118</v>
      </c>
      <c r="D26" s="1" t="s">
        <v>67</v>
      </c>
      <c r="E26" s="1" t="s">
        <v>25</v>
      </c>
      <c r="F26" s="14" t="s">
        <v>108</v>
      </c>
      <c r="G26" s="1" t="s">
        <v>116</v>
      </c>
      <c r="H26" s="1">
        <v>8</v>
      </c>
      <c r="I26" s="1">
        <v>67</v>
      </c>
      <c r="J26" s="1">
        <v>-63</v>
      </c>
      <c r="K26" s="1">
        <v>300</v>
      </c>
      <c r="L26" s="1">
        <v>30</v>
      </c>
      <c r="M26" s="1">
        <v>120</v>
      </c>
      <c r="N26" s="3">
        <v>35.700000000000003</v>
      </c>
      <c r="O26" s="1">
        <v>72.3</v>
      </c>
      <c r="P26" s="1">
        <v>79.400000000000006</v>
      </c>
      <c r="Q26" s="1">
        <v>1.29</v>
      </c>
      <c r="R26" s="1">
        <v>-37.9</v>
      </c>
      <c r="S26" s="1">
        <v>0.52967441100000001</v>
      </c>
      <c r="T26" s="1">
        <v>1.192085624</v>
      </c>
      <c r="U26" s="1">
        <v>157.5091553</v>
      </c>
      <c r="V26" s="1">
        <v>-57.692306520000002</v>
      </c>
      <c r="W26" s="1">
        <f t="shared" si="0"/>
        <v>-2.7301587473434923</v>
      </c>
      <c r="X26" s="7">
        <f t="shared" si="1"/>
        <v>9</v>
      </c>
      <c r="Y26" s="1">
        <v>4.8</v>
      </c>
      <c r="Z26" s="1">
        <v>-15.7</v>
      </c>
      <c r="AA26" s="1">
        <v>0.57999999999999996</v>
      </c>
      <c r="AB26" s="1">
        <v>22</v>
      </c>
      <c r="AC26" s="1">
        <v>5</v>
      </c>
      <c r="AD26" s="1">
        <v>64</v>
      </c>
      <c r="AE26" s="1">
        <f>54.7/70.9</f>
        <v>0.77150916784203105</v>
      </c>
      <c r="AF26" s="1">
        <f>15.8/12.1</f>
        <v>1.3057851239669422</v>
      </c>
      <c r="AG26" s="1">
        <f>1/0.0097</f>
        <v>103.09278350515464</v>
      </c>
      <c r="AH26" s="1">
        <f>1/0.0135</f>
        <v>74.074074074074076</v>
      </c>
      <c r="AI26" s="1">
        <f t="shared" si="2"/>
        <v>1.3917525773195876</v>
      </c>
      <c r="AJ26" s="1" t="s">
        <v>76</v>
      </c>
      <c r="AK26" s="7" t="s">
        <v>172</v>
      </c>
      <c r="AL26" s="7">
        <v>4</v>
      </c>
      <c r="AM26" s="7" t="s">
        <v>9</v>
      </c>
      <c r="AN26" s="1">
        <v>5</v>
      </c>
    </row>
    <row r="27" spans="1:41" x14ac:dyDescent="0.3">
      <c r="A27" s="1" t="s">
        <v>21</v>
      </c>
      <c r="B27" s="1" t="s">
        <v>64</v>
      </c>
      <c r="C27" s="1" t="s">
        <v>119</v>
      </c>
      <c r="D27" s="1" t="s">
        <v>67</v>
      </c>
      <c r="E27" s="1" t="s">
        <v>25</v>
      </c>
      <c r="F27" s="14" t="s">
        <v>108</v>
      </c>
      <c r="G27" s="1" t="s">
        <v>97</v>
      </c>
      <c r="H27" s="1">
        <v>10</v>
      </c>
      <c r="I27" s="1">
        <v>75</v>
      </c>
      <c r="J27" s="1">
        <v>-66</v>
      </c>
      <c r="K27" s="1">
        <v>250</v>
      </c>
      <c r="L27" s="1">
        <v>35</v>
      </c>
      <c r="M27" s="1">
        <v>240</v>
      </c>
      <c r="N27" s="3">
        <v>14.6</v>
      </c>
      <c r="O27" s="1">
        <v>54.9</v>
      </c>
      <c r="P27" s="1">
        <v>31</v>
      </c>
      <c r="Q27" s="1">
        <v>0.72</v>
      </c>
      <c r="R27" s="1">
        <v>-32.9</v>
      </c>
      <c r="S27" s="1">
        <v>0.33410495499999998</v>
      </c>
      <c r="T27" s="1">
        <v>0.57220417300000004</v>
      </c>
      <c r="U27" s="1">
        <v>174.60317989999999</v>
      </c>
      <c r="V27" s="1">
        <v>-94.017097469999996</v>
      </c>
      <c r="W27" s="1">
        <f t="shared" si="0"/>
        <v>-1.8571428452757146</v>
      </c>
      <c r="X27" s="7">
        <f t="shared" si="1"/>
        <v>8.75</v>
      </c>
      <c r="Y27" s="1">
        <v>2.7</v>
      </c>
      <c r="Z27" s="1">
        <v>-15.3</v>
      </c>
      <c r="AA27" s="1">
        <v>0.52</v>
      </c>
      <c r="AB27" s="1">
        <v>70</v>
      </c>
      <c r="AC27" s="1">
        <v>0</v>
      </c>
      <c r="AD27" s="1">
        <v>130</v>
      </c>
      <c r="AE27" s="1">
        <f>28/56.5</f>
        <v>0.49557522123893805</v>
      </c>
      <c r="AF27" s="1">
        <f>8.7/5.5</f>
        <v>1.5818181818181818</v>
      </c>
      <c r="AG27" s="1">
        <f>1/0.0055</f>
        <v>181.81818181818184</v>
      </c>
      <c r="AH27" s="1">
        <f>1/0.0083</f>
        <v>120.48192771084337</v>
      </c>
      <c r="AI27" s="1">
        <f t="shared" si="2"/>
        <v>1.5090909090909095</v>
      </c>
      <c r="AJ27" s="1" t="s">
        <v>71</v>
      </c>
      <c r="AK27" s="7" t="s">
        <v>172</v>
      </c>
      <c r="AL27" s="7">
        <v>4</v>
      </c>
      <c r="AM27" s="7" t="s">
        <v>9</v>
      </c>
      <c r="AN27" s="1">
        <v>0</v>
      </c>
      <c r="AO27" s="1" t="s">
        <v>38</v>
      </c>
    </row>
    <row r="28" spans="1:41" x14ac:dyDescent="0.3">
      <c r="A28" s="1" t="s">
        <v>19</v>
      </c>
      <c r="B28" s="1" t="s">
        <v>64</v>
      </c>
      <c r="C28" s="1" t="s">
        <v>120</v>
      </c>
      <c r="D28" s="1" t="s">
        <v>67</v>
      </c>
      <c r="E28" s="1" t="s">
        <v>25</v>
      </c>
      <c r="F28" s="14" t="s">
        <v>108</v>
      </c>
      <c r="G28" s="1" t="s">
        <v>70</v>
      </c>
      <c r="H28" s="1">
        <v>3</v>
      </c>
      <c r="I28" s="1">
        <v>68</v>
      </c>
      <c r="J28" s="1">
        <v>-60</v>
      </c>
      <c r="K28" s="1">
        <v>180</v>
      </c>
      <c r="L28" s="1">
        <v>40</v>
      </c>
      <c r="M28" s="1">
        <v>120</v>
      </c>
      <c r="N28" s="3">
        <v>361.8</v>
      </c>
      <c r="O28" s="1">
        <v>66.7</v>
      </c>
      <c r="P28" s="1">
        <v>22.8</v>
      </c>
      <c r="Q28" s="1">
        <v>0.84</v>
      </c>
      <c r="R28" s="1">
        <v>-37.4</v>
      </c>
      <c r="S28" s="1">
        <v>0.35775309799999999</v>
      </c>
      <c r="T28" s="1">
        <v>0.68553543100000003</v>
      </c>
      <c r="U28" s="1">
        <v>197.80220030000001</v>
      </c>
      <c r="V28" s="1">
        <v>-87.553382869999993</v>
      </c>
      <c r="W28" s="1">
        <f t="shared" si="0"/>
        <v>-2.2592182485249985</v>
      </c>
      <c r="X28" s="7">
        <f t="shared" si="1"/>
        <v>7.2</v>
      </c>
      <c r="Y28" s="1">
        <v>3.5</v>
      </c>
      <c r="Z28" s="1">
        <v>-23.3</v>
      </c>
      <c r="AA28" s="1">
        <v>0.37</v>
      </c>
      <c r="AB28" s="1">
        <v>4</v>
      </c>
      <c r="AC28" s="1">
        <v>1</v>
      </c>
      <c r="AD28" s="1">
        <v>68</v>
      </c>
      <c r="AE28" s="1">
        <f>62.6/71</f>
        <v>0.88169014084507047</v>
      </c>
      <c r="AF28" s="1">
        <f>14.9/14.6</f>
        <v>1.0205479452054795</v>
      </c>
      <c r="AG28" s="1">
        <f>1/0.0068</f>
        <v>147.05882352941177</v>
      </c>
      <c r="AH28" s="1">
        <f>1/0.00985</f>
        <v>101.52284263959392</v>
      </c>
      <c r="AI28" s="1">
        <f t="shared" si="2"/>
        <v>1.4485294117647058</v>
      </c>
      <c r="AJ28" s="1" t="s">
        <v>71</v>
      </c>
      <c r="AK28" s="7" t="s">
        <v>172</v>
      </c>
      <c r="AL28" s="7">
        <v>4</v>
      </c>
      <c r="AM28" s="7" t="s">
        <v>9</v>
      </c>
      <c r="AN28" s="1">
        <v>1</v>
      </c>
      <c r="AO28" s="1" t="s">
        <v>38</v>
      </c>
    </row>
    <row r="29" spans="1:41" x14ac:dyDescent="0.3">
      <c r="A29" s="1" t="s">
        <v>21</v>
      </c>
      <c r="B29" s="1" t="s">
        <v>64</v>
      </c>
      <c r="C29" s="1" t="s">
        <v>121</v>
      </c>
      <c r="D29" s="1" t="s">
        <v>67</v>
      </c>
      <c r="E29" s="1" t="s">
        <v>25</v>
      </c>
      <c r="F29" s="14" t="s">
        <v>108</v>
      </c>
      <c r="G29" s="1" t="s">
        <v>97</v>
      </c>
      <c r="H29" s="1">
        <v>10</v>
      </c>
      <c r="I29" s="1">
        <v>75</v>
      </c>
      <c r="J29" s="1">
        <v>-73</v>
      </c>
      <c r="K29" s="1">
        <v>290</v>
      </c>
      <c r="L29" s="1">
        <v>23</v>
      </c>
      <c r="M29" s="1">
        <v>120</v>
      </c>
      <c r="N29" s="3">
        <v>25</v>
      </c>
      <c r="O29" s="1">
        <v>72.2</v>
      </c>
      <c r="P29" s="1">
        <v>50.3</v>
      </c>
      <c r="Q29" s="1">
        <v>0.93</v>
      </c>
      <c r="R29" s="1">
        <v>-36.799999999999997</v>
      </c>
      <c r="S29" s="1">
        <v>0.42941063600000001</v>
      </c>
      <c r="T29" s="1">
        <v>0.77880841499999998</v>
      </c>
      <c r="U29" s="1">
        <v>192.61294559999999</v>
      </c>
      <c r="V29" s="1">
        <v>-83.943832400000005</v>
      </c>
      <c r="W29" s="1">
        <f t="shared" si="0"/>
        <v>-2.2945455323290669</v>
      </c>
      <c r="X29" s="7">
        <f t="shared" si="1"/>
        <v>6.67</v>
      </c>
      <c r="Y29" s="1">
        <v>3.5</v>
      </c>
      <c r="Z29" s="1">
        <v>-18.3</v>
      </c>
      <c r="AA29" s="1">
        <v>0.98</v>
      </c>
      <c r="AB29" s="1">
        <v>38</v>
      </c>
      <c r="AC29" s="1">
        <v>8</v>
      </c>
      <c r="AD29" s="1">
        <v>90</v>
      </c>
      <c r="AE29" s="1">
        <f>61.3/74.3</f>
        <v>0.82503364737550466</v>
      </c>
      <c r="AF29" s="1">
        <f>11.5/9.1</f>
        <v>1.2637362637362637</v>
      </c>
      <c r="AG29" s="1">
        <f>1/0.0065</f>
        <v>153.84615384615384</v>
      </c>
      <c r="AH29" s="1">
        <f>1/0.0097</f>
        <v>103.09278350515464</v>
      </c>
      <c r="AI29" s="1">
        <f t="shared" si="2"/>
        <v>1.4923076923076921</v>
      </c>
      <c r="AJ29" s="1" t="s">
        <v>71</v>
      </c>
      <c r="AK29" s="7" t="s">
        <v>172</v>
      </c>
      <c r="AL29" s="7">
        <v>4</v>
      </c>
      <c r="AM29" s="7" t="s">
        <v>9</v>
      </c>
      <c r="AN29" s="1">
        <v>8</v>
      </c>
      <c r="AO29" s="1" t="s">
        <v>40</v>
      </c>
    </row>
    <row r="30" spans="1:41" x14ac:dyDescent="0.3">
      <c r="A30" s="1" t="s">
        <v>12</v>
      </c>
      <c r="B30" s="1" t="s">
        <v>64</v>
      </c>
      <c r="C30" s="1" t="s">
        <v>122</v>
      </c>
      <c r="D30" s="1" t="s">
        <v>67</v>
      </c>
      <c r="E30" s="1" t="s">
        <v>25</v>
      </c>
      <c r="F30" s="15" t="s">
        <v>108</v>
      </c>
      <c r="G30" s="1" t="s">
        <v>123</v>
      </c>
      <c r="H30" s="1">
        <v>2</v>
      </c>
      <c r="I30" s="1">
        <v>66</v>
      </c>
      <c r="J30" s="1">
        <v>-73</v>
      </c>
      <c r="K30" s="1">
        <v>340</v>
      </c>
      <c r="L30" s="1">
        <v>26</v>
      </c>
      <c r="M30" s="1">
        <v>120</v>
      </c>
      <c r="N30" s="3">
        <v>27.5</v>
      </c>
      <c r="O30" s="1">
        <v>53.7</v>
      </c>
      <c r="P30" s="1">
        <v>22.6</v>
      </c>
      <c r="Q30" s="1">
        <v>0.72</v>
      </c>
      <c r="R30" s="1">
        <v>-40.4</v>
      </c>
      <c r="S30" s="1">
        <v>0.31876069299999998</v>
      </c>
      <c r="T30" s="1">
        <v>0.59457320000000002</v>
      </c>
      <c r="U30" s="1">
        <v>186.5079346</v>
      </c>
      <c r="V30" s="1">
        <v>-86.996337890000007</v>
      </c>
      <c r="W30" s="1">
        <f t="shared" si="0"/>
        <v>-2.14385960516895</v>
      </c>
      <c r="X30" s="7">
        <f t="shared" si="1"/>
        <v>8.84</v>
      </c>
      <c r="Y30" s="1">
        <v>3</v>
      </c>
      <c r="Z30" s="1">
        <v>-18.100000000000001</v>
      </c>
      <c r="AA30" s="1">
        <v>0.61</v>
      </c>
      <c r="AB30" s="1">
        <v>4</v>
      </c>
      <c r="AC30" s="1">
        <v>0</v>
      </c>
      <c r="AD30" s="1">
        <v>92</v>
      </c>
      <c r="AE30" s="1">
        <f>49.7/59.6</f>
        <v>0.83389261744966447</v>
      </c>
      <c r="AF30" s="1">
        <f>11/9.2</f>
        <v>1.1956521739130437</v>
      </c>
      <c r="AG30" s="1">
        <f>1/0.006</f>
        <v>166.66666666666666</v>
      </c>
      <c r="AH30" s="1">
        <f>1/0.0086</f>
        <v>116.27906976744185</v>
      </c>
      <c r="AI30" s="1">
        <f t="shared" si="2"/>
        <v>1.4333333333333333</v>
      </c>
      <c r="AJ30" s="1" t="s">
        <v>76</v>
      </c>
      <c r="AK30" s="7" t="s">
        <v>172</v>
      </c>
      <c r="AL30" s="7">
        <v>4</v>
      </c>
      <c r="AM30" s="7" t="s">
        <v>9</v>
      </c>
      <c r="AN30" s="1">
        <v>0</v>
      </c>
      <c r="AO30" s="1" t="s">
        <v>39</v>
      </c>
    </row>
    <row r="31" spans="1:41" x14ac:dyDescent="0.3">
      <c r="A31" s="1" t="s">
        <v>12</v>
      </c>
      <c r="B31" s="1" t="s">
        <v>64</v>
      </c>
      <c r="C31" s="1" t="s">
        <v>124</v>
      </c>
      <c r="D31" s="1" t="s">
        <v>67</v>
      </c>
      <c r="E31" s="1" t="s">
        <v>25</v>
      </c>
      <c r="F31" s="15" t="s">
        <v>108</v>
      </c>
      <c r="G31" s="1" t="s">
        <v>123</v>
      </c>
      <c r="H31" s="1">
        <v>2</v>
      </c>
      <c r="I31" s="1">
        <v>66</v>
      </c>
      <c r="J31" s="1">
        <v>-73</v>
      </c>
      <c r="K31" s="1">
        <v>190</v>
      </c>
      <c r="L31" s="1">
        <v>28</v>
      </c>
      <c r="M31" s="1">
        <v>240</v>
      </c>
      <c r="N31" s="3">
        <v>19</v>
      </c>
      <c r="O31" s="1">
        <v>50.2</v>
      </c>
      <c r="P31" s="1">
        <v>19.3</v>
      </c>
      <c r="Q31" s="1">
        <v>0.68</v>
      </c>
      <c r="R31" s="1">
        <v>-39.299999999999997</v>
      </c>
      <c r="S31" s="1">
        <v>0.31423363100000001</v>
      </c>
      <c r="T31" s="1">
        <v>0.55241370199999995</v>
      </c>
      <c r="U31" s="1">
        <v>171.85592650000001</v>
      </c>
      <c r="V31" s="1">
        <v>-89.133087160000002</v>
      </c>
      <c r="W31" s="1">
        <f t="shared" si="0"/>
        <v>-1.9280822865644365</v>
      </c>
      <c r="X31" s="7">
        <f t="shared" si="1"/>
        <v>5.32</v>
      </c>
      <c r="Y31" s="1">
        <v>2.8</v>
      </c>
      <c r="Z31" s="1">
        <v>-17.399999999999999</v>
      </c>
      <c r="AA31" s="1">
        <v>0.27</v>
      </c>
      <c r="AB31" s="1">
        <v>50</v>
      </c>
      <c r="AC31" s="1">
        <v>8</v>
      </c>
      <c r="AD31" s="1">
        <v>134</v>
      </c>
      <c r="AE31" s="1">
        <f>33.3/54.3</f>
        <v>0.61325966850828728</v>
      </c>
      <c r="AF31" s="1">
        <f>7.6/6.1</f>
        <v>1.2459016393442623</v>
      </c>
      <c r="AG31" s="1">
        <f>1/0.0061</f>
        <v>163.93442622950818</v>
      </c>
      <c r="AH31" s="1">
        <f>1/0.0077</f>
        <v>129.87012987012986</v>
      </c>
      <c r="AI31" s="1">
        <f t="shared" si="2"/>
        <v>1.262295081967213</v>
      </c>
      <c r="AJ31" s="1" t="s">
        <v>71</v>
      </c>
      <c r="AK31" s="7" t="s">
        <v>172</v>
      </c>
      <c r="AL31" s="7">
        <v>4</v>
      </c>
      <c r="AM31" s="7" t="s">
        <v>9</v>
      </c>
      <c r="AN31" s="1">
        <v>8</v>
      </c>
      <c r="AO31" s="1" t="s">
        <v>72</v>
      </c>
    </row>
    <row r="32" spans="1:41" x14ac:dyDescent="0.3">
      <c r="A32" s="1" t="s">
        <v>13</v>
      </c>
      <c r="B32" s="1" t="s">
        <v>64</v>
      </c>
      <c r="C32" s="1" t="s">
        <v>125</v>
      </c>
      <c r="D32" s="1" t="s">
        <v>67</v>
      </c>
      <c r="E32" s="1" t="s">
        <v>25</v>
      </c>
      <c r="F32" s="15" t="s">
        <v>108</v>
      </c>
      <c r="G32" s="1" t="s">
        <v>123</v>
      </c>
      <c r="H32" s="1">
        <v>1</v>
      </c>
      <c r="I32" s="1">
        <v>70</v>
      </c>
      <c r="J32" s="1">
        <v>-64</v>
      </c>
      <c r="K32" s="1">
        <v>220</v>
      </c>
      <c r="L32" s="1">
        <v>31</v>
      </c>
      <c r="M32" s="1">
        <v>280</v>
      </c>
      <c r="N32" s="3">
        <v>97.1</v>
      </c>
      <c r="O32" s="1">
        <v>65.099999999999994</v>
      </c>
      <c r="P32" s="1">
        <v>25.5</v>
      </c>
      <c r="Q32" s="1">
        <v>0.65</v>
      </c>
      <c r="R32" s="1">
        <v>-20.6</v>
      </c>
      <c r="S32" s="1">
        <v>0.31468308</v>
      </c>
      <c r="T32" s="1">
        <v>0.54053831100000005</v>
      </c>
      <c r="U32" s="1">
        <v>233.6790771</v>
      </c>
      <c r="V32" s="1">
        <v>-112.6373596</v>
      </c>
      <c r="W32" s="1">
        <f t="shared" si="0"/>
        <v>-2.0746143014169163</v>
      </c>
      <c r="X32" s="7">
        <f t="shared" si="1"/>
        <v>6.82</v>
      </c>
      <c r="Y32" s="1">
        <v>2.7</v>
      </c>
      <c r="Z32" s="1">
        <v>-19.600000000000001</v>
      </c>
      <c r="AA32" s="1">
        <v>1.04</v>
      </c>
      <c r="AB32" s="1">
        <v>26</v>
      </c>
      <c r="AC32" s="1">
        <v>0</v>
      </c>
      <c r="AD32" s="1">
        <v>114</v>
      </c>
      <c r="AE32" s="1">
        <f>44.2/67.9</f>
        <v>0.65095729013254788</v>
      </c>
      <c r="AF32" s="1">
        <f>8.9/7.7</f>
        <v>1.1558441558441559</v>
      </c>
      <c r="AG32" s="1">
        <f>1/0.0071</f>
        <v>140.8450704225352</v>
      </c>
      <c r="AH32" s="1">
        <f>1/0.0091</f>
        <v>109.89010989010988</v>
      </c>
      <c r="AI32" s="1">
        <f t="shared" si="2"/>
        <v>1.2816901408450705</v>
      </c>
      <c r="AJ32" s="1" t="s">
        <v>71</v>
      </c>
      <c r="AK32" s="7" t="s">
        <v>172</v>
      </c>
      <c r="AL32" s="7">
        <v>4</v>
      </c>
      <c r="AM32" s="7" t="s">
        <v>9</v>
      </c>
      <c r="AN32" s="1">
        <v>0</v>
      </c>
      <c r="AO32" s="1" t="s">
        <v>100</v>
      </c>
    </row>
    <row r="33" spans="1:41" x14ac:dyDescent="0.3">
      <c r="A33" s="1" t="s">
        <v>13</v>
      </c>
      <c r="B33" s="1" t="s">
        <v>64</v>
      </c>
      <c r="C33" s="1" t="s">
        <v>126</v>
      </c>
      <c r="D33" s="1" t="s">
        <v>67</v>
      </c>
      <c r="E33" s="1" t="s">
        <v>25</v>
      </c>
      <c r="F33" s="15" t="s">
        <v>108</v>
      </c>
      <c r="G33" s="1" t="s">
        <v>123</v>
      </c>
      <c r="H33" s="1">
        <v>1</v>
      </c>
      <c r="I33" s="1">
        <v>70</v>
      </c>
      <c r="J33" s="1">
        <v>-62</v>
      </c>
      <c r="K33" s="1">
        <v>500</v>
      </c>
      <c r="L33" s="1">
        <v>29</v>
      </c>
      <c r="M33" s="1">
        <v>80</v>
      </c>
      <c r="N33" s="3">
        <v>98.1</v>
      </c>
      <c r="O33" s="1">
        <v>53</v>
      </c>
      <c r="P33" s="1">
        <v>24.8</v>
      </c>
      <c r="Q33" s="1">
        <v>0.89</v>
      </c>
      <c r="R33" s="1">
        <v>-31.6</v>
      </c>
      <c r="S33" s="1">
        <v>0.38350114200000002</v>
      </c>
      <c r="T33" s="1">
        <v>0.74019986400000004</v>
      </c>
      <c r="U33" s="1">
        <v>144.3833923</v>
      </c>
      <c r="V33" s="1">
        <v>-70.512817380000001</v>
      </c>
      <c r="W33" s="1">
        <f t="shared" si="0"/>
        <v>-2.047619109046583</v>
      </c>
      <c r="X33" s="7">
        <f t="shared" si="1"/>
        <v>14.5</v>
      </c>
      <c r="Y33" s="1">
        <v>4</v>
      </c>
      <c r="Z33" s="1">
        <v>-17.7</v>
      </c>
      <c r="AA33" s="1">
        <v>1.43</v>
      </c>
      <c r="AB33" s="1">
        <v>10</v>
      </c>
      <c r="AC33" s="1">
        <v>1</v>
      </c>
      <c r="AD33" s="1">
        <v>56</v>
      </c>
      <c r="AE33" s="1">
        <f>48/53.2</f>
        <v>0.90225563909774431</v>
      </c>
      <c r="AF33" s="1">
        <f>19/16.7</f>
        <v>1.1377245508982037</v>
      </c>
      <c r="AG33" s="1">
        <f>1/0.0081</f>
        <v>123.4567901234568</v>
      </c>
      <c r="AH33" s="1">
        <f>1/0.0121</f>
        <v>82.644628099173559</v>
      </c>
      <c r="AI33" s="1">
        <f t="shared" si="2"/>
        <v>1.4938271604938271</v>
      </c>
      <c r="AK33" s="7" t="s">
        <v>172</v>
      </c>
      <c r="AL33" s="7">
        <v>4</v>
      </c>
      <c r="AM33" s="7" t="s">
        <v>9</v>
      </c>
      <c r="AN33" s="1">
        <v>1</v>
      </c>
      <c r="AO33" s="1" t="s">
        <v>127</v>
      </c>
    </row>
    <row r="34" spans="1:41" x14ac:dyDescent="0.3">
      <c r="A34" s="1" t="s">
        <v>13</v>
      </c>
      <c r="B34" s="1" t="s">
        <v>64</v>
      </c>
      <c r="C34" s="1" t="s">
        <v>128</v>
      </c>
      <c r="D34" s="1" t="s">
        <v>67</v>
      </c>
      <c r="E34" s="1" t="s">
        <v>25</v>
      </c>
      <c r="F34" s="15" t="s">
        <v>108</v>
      </c>
      <c r="G34" s="1" t="s">
        <v>123</v>
      </c>
      <c r="H34" s="1">
        <v>1</v>
      </c>
      <c r="I34" s="1">
        <v>70</v>
      </c>
      <c r="J34" s="1">
        <v>-75</v>
      </c>
      <c r="K34" s="1">
        <v>375</v>
      </c>
      <c r="L34" s="1">
        <v>25</v>
      </c>
      <c r="M34" s="1">
        <v>120</v>
      </c>
      <c r="N34" s="3">
        <v>51</v>
      </c>
      <c r="O34" s="1">
        <v>65.5</v>
      </c>
      <c r="P34" s="1">
        <v>34</v>
      </c>
      <c r="Q34" s="1">
        <v>0.65</v>
      </c>
      <c r="R34" s="1">
        <v>-43.4</v>
      </c>
      <c r="S34" s="1">
        <v>0.35130813700000002</v>
      </c>
      <c r="T34" s="1">
        <v>0.54723286599999998</v>
      </c>
      <c r="U34" s="1">
        <v>205.43345640000001</v>
      </c>
      <c r="V34" s="1">
        <v>-115.31421659999999</v>
      </c>
      <c r="W34" s="1">
        <f t="shared" si="0"/>
        <v>-1.7815102288090299</v>
      </c>
      <c r="X34" s="7">
        <f t="shared" si="1"/>
        <v>9.375</v>
      </c>
      <c r="Y34" s="1">
        <v>2.6</v>
      </c>
      <c r="Z34" s="1">
        <v>-14.3</v>
      </c>
      <c r="AA34" s="1">
        <v>0.1</v>
      </c>
      <c r="AB34" s="1">
        <v>24</v>
      </c>
      <c r="AC34" s="1">
        <v>6</v>
      </c>
      <c r="AD34" s="1">
        <v>108</v>
      </c>
      <c r="AE34" s="1">
        <f>62.1/66.6</f>
        <v>0.93243243243243257</v>
      </c>
      <c r="AF34" s="1">
        <f>9.4/8.4</f>
        <v>1.1190476190476191</v>
      </c>
      <c r="AG34" s="1">
        <f>1/0.0044</f>
        <v>227.27272727272725</v>
      </c>
      <c r="AH34" s="1">
        <f>1/0.0062</f>
        <v>161.29032258064515</v>
      </c>
      <c r="AI34" s="1">
        <f t="shared" si="2"/>
        <v>1.4090909090909089</v>
      </c>
      <c r="AJ34" s="1" t="s">
        <v>102</v>
      </c>
      <c r="AK34" s="7" t="s">
        <v>172</v>
      </c>
      <c r="AL34" s="7">
        <v>4</v>
      </c>
      <c r="AM34" s="7" t="s">
        <v>9</v>
      </c>
      <c r="AN34" s="1">
        <v>6</v>
      </c>
      <c r="AO34" s="1" t="s">
        <v>41</v>
      </c>
    </row>
    <row r="35" spans="1:41" x14ac:dyDescent="0.3">
      <c r="A35" s="1" t="s">
        <v>13</v>
      </c>
      <c r="B35" s="1" t="s">
        <v>64</v>
      </c>
      <c r="C35" s="1" t="s">
        <v>129</v>
      </c>
      <c r="D35" s="1" t="s">
        <v>67</v>
      </c>
      <c r="E35" s="1" t="s">
        <v>25</v>
      </c>
      <c r="F35" s="15" t="s">
        <v>108</v>
      </c>
      <c r="G35" s="1" t="s">
        <v>123</v>
      </c>
      <c r="H35" s="1">
        <v>1</v>
      </c>
      <c r="I35" s="1">
        <v>70</v>
      </c>
      <c r="J35" s="1">
        <v>-71</v>
      </c>
      <c r="K35" s="1">
        <v>270</v>
      </c>
      <c r="L35" s="1">
        <v>21</v>
      </c>
      <c r="M35" s="1">
        <v>160</v>
      </c>
      <c r="N35" s="3">
        <v>30.2</v>
      </c>
      <c r="O35" s="1">
        <v>53.7</v>
      </c>
      <c r="P35" s="1">
        <v>26.3</v>
      </c>
      <c r="Q35" s="1">
        <v>0.66</v>
      </c>
      <c r="R35" s="1">
        <v>-35.5</v>
      </c>
      <c r="S35" s="1">
        <v>0.29708263299999998</v>
      </c>
      <c r="T35" s="1">
        <v>0.54013675500000002</v>
      </c>
      <c r="U35" s="1">
        <v>183.03843689999999</v>
      </c>
      <c r="V35" s="1">
        <v>-91.575088500000007</v>
      </c>
      <c r="W35" s="1">
        <f t="shared" si="0"/>
        <v>-1.9987797980670254</v>
      </c>
      <c r="X35" s="7">
        <f t="shared" si="1"/>
        <v>5.67</v>
      </c>
      <c r="Y35" s="1">
        <v>3.6</v>
      </c>
      <c r="Z35" s="1">
        <v>-20.7</v>
      </c>
      <c r="AA35" s="1">
        <v>0.73</v>
      </c>
      <c r="AB35" s="1">
        <v>2</v>
      </c>
      <c r="AC35" s="1">
        <v>9</v>
      </c>
      <c r="AD35" s="1">
        <v>102</v>
      </c>
      <c r="AE35" s="1">
        <f>51.6/60.7</f>
        <v>0.85008237232289952</v>
      </c>
      <c r="AF35" s="1">
        <f>9.6/7.9</f>
        <v>1.2151898734177213</v>
      </c>
      <c r="AG35" s="1">
        <f>1/0.0051</f>
        <v>196.07843137254901</v>
      </c>
      <c r="AH35" s="1">
        <f>1/0.0082</f>
        <v>121.95121951219511</v>
      </c>
      <c r="AI35" s="1">
        <f t="shared" si="2"/>
        <v>1.607843137254902</v>
      </c>
      <c r="AJ35" s="1" t="s">
        <v>102</v>
      </c>
      <c r="AK35" s="7" t="s">
        <v>172</v>
      </c>
      <c r="AL35" s="7">
        <v>4</v>
      </c>
      <c r="AM35" s="7" t="s">
        <v>9</v>
      </c>
      <c r="AN35" s="1">
        <v>9</v>
      </c>
      <c r="AO35" s="1" t="s">
        <v>130</v>
      </c>
    </row>
    <row r="36" spans="1:41" x14ac:dyDescent="0.3">
      <c r="A36" s="1" t="s">
        <v>14</v>
      </c>
      <c r="B36" s="1" t="s">
        <v>64</v>
      </c>
      <c r="C36" s="1" t="s">
        <v>131</v>
      </c>
      <c r="D36" s="1" t="s">
        <v>67</v>
      </c>
      <c r="E36" s="1" t="s">
        <v>25</v>
      </c>
      <c r="F36" s="15" t="s">
        <v>108</v>
      </c>
      <c r="G36" s="1" t="s">
        <v>123</v>
      </c>
      <c r="H36" s="1">
        <v>3</v>
      </c>
      <c r="I36" s="1">
        <v>71</v>
      </c>
      <c r="J36" s="1">
        <v>-63</v>
      </c>
      <c r="K36" s="1">
        <v>270</v>
      </c>
      <c r="L36" s="1">
        <v>21</v>
      </c>
      <c r="M36" s="1">
        <v>160</v>
      </c>
      <c r="N36" s="3">
        <v>43.3</v>
      </c>
      <c r="O36" s="1">
        <v>67.2</v>
      </c>
      <c r="P36" s="1">
        <v>38.6</v>
      </c>
      <c r="Q36" s="1">
        <v>0.91</v>
      </c>
      <c r="R36" s="1">
        <v>-34</v>
      </c>
      <c r="S36" s="1">
        <v>0.39038503200000002</v>
      </c>
      <c r="T36" s="1">
        <v>0.74374127400000001</v>
      </c>
      <c r="U36" s="1">
        <v>190.4761963</v>
      </c>
      <c r="V36" s="1">
        <v>-82.062232969999997</v>
      </c>
      <c r="W36" s="1">
        <f t="shared" si="0"/>
        <v>-2.3211188558521623</v>
      </c>
      <c r="X36" s="7">
        <f t="shared" si="1"/>
        <v>5.67</v>
      </c>
      <c r="Y36" s="1">
        <v>3.6</v>
      </c>
      <c r="Z36" s="1">
        <v>-17.5</v>
      </c>
      <c r="AA36" s="1">
        <v>0.64</v>
      </c>
      <c r="AB36" s="1">
        <v>2</v>
      </c>
      <c r="AC36" s="1">
        <v>4</v>
      </c>
      <c r="AD36" s="1">
        <v>84</v>
      </c>
      <c r="AE36" s="1">
        <f>56.9/68.4</f>
        <v>0.83187134502923965</v>
      </c>
      <c r="AF36" s="1">
        <f>12.2/8.8</f>
        <v>1.3863636363636362</v>
      </c>
      <c r="AG36" s="1">
        <f>1/0.0054</f>
        <v>185.18518518518516</v>
      </c>
      <c r="AH36" s="1">
        <f>1/0.00885</f>
        <v>112.99435028248587</v>
      </c>
      <c r="AI36" s="1">
        <f t="shared" si="2"/>
        <v>1.6388888888888888</v>
      </c>
      <c r="AJ36" s="1" t="s">
        <v>71</v>
      </c>
      <c r="AK36" s="7" t="s">
        <v>172</v>
      </c>
      <c r="AL36" s="7">
        <v>4</v>
      </c>
      <c r="AM36" s="7" t="s">
        <v>9</v>
      </c>
      <c r="AN36" s="1">
        <v>4</v>
      </c>
      <c r="AO36" s="1" t="s">
        <v>83</v>
      </c>
    </row>
    <row r="37" spans="1:41" x14ac:dyDescent="0.3">
      <c r="A37" s="1" t="s">
        <v>14</v>
      </c>
      <c r="B37" s="1" t="s">
        <v>64</v>
      </c>
      <c r="C37" s="1" t="s">
        <v>132</v>
      </c>
      <c r="D37" s="1" t="s">
        <v>67</v>
      </c>
      <c r="E37" s="1" t="s">
        <v>25</v>
      </c>
      <c r="F37" s="15" t="s">
        <v>108</v>
      </c>
      <c r="G37" s="1" t="s">
        <v>123</v>
      </c>
      <c r="H37" s="1">
        <v>3</v>
      </c>
      <c r="I37" s="1">
        <v>71</v>
      </c>
      <c r="J37" s="1">
        <v>-64</v>
      </c>
      <c r="K37" s="1">
        <v>400</v>
      </c>
      <c r="L37" s="1">
        <v>19</v>
      </c>
      <c r="M37" s="1">
        <v>120</v>
      </c>
      <c r="N37" s="3">
        <v>27.8</v>
      </c>
      <c r="O37" s="1">
        <v>52.9</v>
      </c>
      <c r="P37" s="1">
        <v>43.5</v>
      </c>
      <c r="Q37" s="1">
        <v>1.3</v>
      </c>
      <c r="R37" s="1">
        <v>-38.1</v>
      </c>
      <c r="S37" s="1">
        <v>0.52387463999999995</v>
      </c>
      <c r="T37" s="1">
        <v>1.1192737820000001</v>
      </c>
      <c r="U37" s="1">
        <v>111.65345000000001</v>
      </c>
      <c r="V37" s="1">
        <v>-47.284931180000001</v>
      </c>
      <c r="W37" s="1">
        <f t="shared" si="0"/>
        <v>-2.3612903141376638</v>
      </c>
      <c r="X37" s="7">
        <f t="shared" si="1"/>
        <v>7.6</v>
      </c>
      <c r="Y37" s="1">
        <v>5.2</v>
      </c>
      <c r="Z37" s="1">
        <v>-15.5</v>
      </c>
      <c r="AA37" s="1">
        <v>0.18</v>
      </c>
      <c r="AB37" s="1">
        <v>28</v>
      </c>
      <c r="AC37" s="1">
        <v>6</v>
      </c>
      <c r="AD37" s="1">
        <v>66</v>
      </c>
      <c r="AE37" s="1">
        <f>41.6/48.5</f>
        <v>0.85773195876288666</v>
      </c>
      <c r="AF37" s="1">
        <f>16.2/11.8</f>
        <v>1.3728813559322033</v>
      </c>
      <c r="AG37" s="1">
        <f>1/0.0088</f>
        <v>113.63636363636363</v>
      </c>
      <c r="AH37" s="1">
        <f>1/0.0152</f>
        <v>65.78947368421052</v>
      </c>
      <c r="AI37" s="1">
        <f t="shared" si="2"/>
        <v>1.7272727272727273</v>
      </c>
      <c r="AJ37" s="1" t="s">
        <v>76</v>
      </c>
      <c r="AK37" s="7" t="s">
        <v>172</v>
      </c>
      <c r="AL37" s="7">
        <v>4</v>
      </c>
      <c r="AM37" s="7" t="s">
        <v>9</v>
      </c>
      <c r="AN37" s="1">
        <v>6</v>
      </c>
      <c r="AO37" s="1" t="s">
        <v>42</v>
      </c>
    </row>
    <row r="38" spans="1:41" x14ac:dyDescent="0.3">
      <c r="A38" s="1" t="s">
        <v>48</v>
      </c>
      <c r="B38" s="1" t="s">
        <v>64</v>
      </c>
      <c r="C38" s="1" t="s">
        <v>133</v>
      </c>
      <c r="D38" s="1" t="s">
        <v>67</v>
      </c>
      <c r="E38" s="1" t="s">
        <v>25</v>
      </c>
      <c r="F38" s="15" t="s">
        <v>108</v>
      </c>
      <c r="G38" s="1" t="s">
        <v>80</v>
      </c>
      <c r="H38" s="1">
        <v>11</v>
      </c>
      <c r="I38" s="1">
        <v>70</v>
      </c>
      <c r="J38" s="1">
        <v>-75</v>
      </c>
      <c r="K38" s="1">
        <v>300</v>
      </c>
      <c r="L38" s="1">
        <v>26</v>
      </c>
      <c r="M38" s="1">
        <v>160</v>
      </c>
      <c r="N38" s="3">
        <v>21</v>
      </c>
      <c r="O38" s="1">
        <v>51.2</v>
      </c>
      <c r="P38" s="1">
        <v>22.9</v>
      </c>
      <c r="Q38" s="1">
        <v>0.87</v>
      </c>
      <c r="R38" s="1">
        <v>-40.9</v>
      </c>
      <c r="S38" s="1">
        <v>0.35940802100000002</v>
      </c>
      <c r="T38" s="1">
        <v>0.74163609699999999</v>
      </c>
      <c r="U38" s="1">
        <v>156.8986511</v>
      </c>
      <c r="V38" s="1">
        <v>-66.80902863</v>
      </c>
      <c r="W38" s="1">
        <f t="shared" si="0"/>
        <v>-2.348464785634468</v>
      </c>
      <c r="X38" s="7">
        <f t="shared" si="1"/>
        <v>7.8</v>
      </c>
      <c r="Y38" s="1">
        <v>3.4</v>
      </c>
      <c r="Z38" s="1">
        <v>-15.2</v>
      </c>
      <c r="AA38" s="1">
        <v>0.31</v>
      </c>
      <c r="AB38" s="1">
        <v>42</v>
      </c>
      <c r="AC38" s="1">
        <v>3</v>
      </c>
      <c r="AD38" s="1">
        <v>92</v>
      </c>
      <c r="AE38" s="1">
        <f>35.3/52.1</f>
        <v>0.6775431861804222</v>
      </c>
      <c r="AF38" s="1">
        <f>10.9/7.7</f>
        <v>1.4155844155844155</v>
      </c>
      <c r="AG38" s="1">
        <f>1/0.0071</f>
        <v>140.8450704225352</v>
      </c>
      <c r="AH38" s="1">
        <f>1/0.0114</f>
        <v>87.719298245614027</v>
      </c>
      <c r="AI38" s="1">
        <f t="shared" si="2"/>
        <v>1.6056338028169015</v>
      </c>
      <c r="AJ38" s="1" t="s">
        <v>76</v>
      </c>
      <c r="AK38" s="7" t="s">
        <v>172</v>
      </c>
      <c r="AL38" s="7">
        <v>4</v>
      </c>
      <c r="AM38" s="7" t="s">
        <v>9</v>
      </c>
      <c r="AN38" s="1">
        <v>3</v>
      </c>
      <c r="AO38" s="1" t="s">
        <v>39</v>
      </c>
    </row>
    <row r="39" spans="1:41" ht="13.8" customHeight="1" x14ac:dyDescent="0.3">
      <c r="A39" s="1" t="s">
        <v>48</v>
      </c>
      <c r="B39" s="1" t="s">
        <v>64</v>
      </c>
      <c r="C39" s="1" t="s">
        <v>134</v>
      </c>
      <c r="D39" s="1" t="s">
        <v>67</v>
      </c>
      <c r="E39" s="1" t="s">
        <v>25</v>
      </c>
      <c r="F39" s="15" t="s">
        <v>108</v>
      </c>
      <c r="G39" s="1" t="s">
        <v>80</v>
      </c>
      <c r="H39" s="1">
        <v>11</v>
      </c>
      <c r="I39" s="1">
        <v>70</v>
      </c>
      <c r="J39" s="1">
        <v>-72</v>
      </c>
      <c r="K39" s="1">
        <v>200</v>
      </c>
      <c r="L39" s="1">
        <v>37</v>
      </c>
      <c r="M39" s="1">
        <v>240</v>
      </c>
      <c r="N39" s="3">
        <v>101.6</v>
      </c>
      <c r="O39" s="1">
        <v>65.2</v>
      </c>
      <c r="P39" s="1">
        <v>38.5</v>
      </c>
      <c r="Q39" s="1">
        <v>0.72</v>
      </c>
      <c r="R39" s="1">
        <v>-42.1</v>
      </c>
      <c r="S39" s="1">
        <v>0.454414278</v>
      </c>
      <c r="T39" s="1">
        <v>0.58949977200000003</v>
      </c>
      <c r="U39" s="1">
        <v>178.4624786</v>
      </c>
      <c r="V39" s="1">
        <v>-104.94203950000001</v>
      </c>
      <c r="W39" s="1">
        <f t="shared" si="0"/>
        <v>-1.7005813823543994</v>
      </c>
      <c r="X39" s="7">
        <f t="shared" si="1"/>
        <v>7.4</v>
      </c>
      <c r="Y39" s="1">
        <v>2.9</v>
      </c>
      <c r="Z39" s="1">
        <v>-13.9</v>
      </c>
      <c r="AA39" s="1">
        <v>0.15</v>
      </c>
      <c r="AB39" s="1">
        <v>40</v>
      </c>
      <c r="AC39" s="1">
        <v>4</v>
      </c>
      <c r="AD39" s="1">
        <v>120</v>
      </c>
      <c r="AE39" s="1">
        <f>47.2/65.9</f>
        <v>0.71623672230652502</v>
      </c>
      <c r="AF39" s="1">
        <f>8.5/7.2</f>
        <v>1.1805555555555556</v>
      </c>
      <c r="AG39" s="1">
        <f>1/0.0065</f>
        <v>153.84615384615384</v>
      </c>
      <c r="AH39" s="1">
        <f>1/0.00895</f>
        <v>111.73184357541899</v>
      </c>
      <c r="AI39" s="1">
        <f t="shared" si="2"/>
        <v>1.3769230769230769</v>
      </c>
      <c r="AJ39" s="1" t="s">
        <v>71</v>
      </c>
      <c r="AK39" s="7" t="s">
        <v>172</v>
      </c>
      <c r="AL39" s="7">
        <v>4</v>
      </c>
      <c r="AM39" s="7" t="s">
        <v>9</v>
      </c>
      <c r="AN39" s="1">
        <v>4</v>
      </c>
      <c r="AO39" s="1" t="s">
        <v>42</v>
      </c>
    </row>
    <row r="40" spans="1:41" ht="13.8" customHeight="1" x14ac:dyDescent="0.3">
      <c r="A40" s="1" t="s">
        <v>48</v>
      </c>
      <c r="B40" s="1" t="s">
        <v>64</v>
      </c>
      <c r="C40" s="1" t="s">
        <v>135</v>
      </c>
      <c r="D40" s="1" t="s">
        <v>67</v>
      </c>
      <c r="E40" s="1" t="s">
        <v>25</v>
      </c>
      <c r="F40" s="15" t="s">
        <v>108</v>
      </c>
      <c r="G40" s="1" t="s">
        <v>80</v>
      </c>
      <c r="H40" s="1">
        <v>11</v>
      </c>
      <c r="I40" s="1">
        <v>70</v>
      </c>
      <c r="J40" s="1">
        <v>-65</v>
      </c>
      <c r="K40" s="1">
        <v>200</v>
      </c>
      <c r="L40" s="1">
        <v>33</v>
      </c>
      <c r="M40" s="1">
        <v>160</v>
      </c>
      <c r="N40" s="3">
        <v>210</v>
      </c>
      <c r="O40" s="1">
        <v>55.6</v>
      </c>
      <c r="P40" s="1">
        <v>32.799999999999997</v>
      </c>
      <c r="Q40" s="1">
        <v>0.88</v>
      </c>
      <c r="R40" s="1">
        <v>-37.1</v>
      </c>
      <c r="S40" s="1">
        <v>0.38380387399999999</v>
      </c>
      <c r="T40" s="1">
        <v>0.72114497399999999</v>
      </c>
      <c r="U40" s="1">
        <v>156.28816219999999</v>
      </c>
      <c r="V40" s="1">
        <v>-74.786323550000006</v>
      </c>
      <c r="W40" s="1">
        <f t="shared" si="0"/>
        <v>-2.0897960319644562</v>
      </c>
      <c r="X40" s="7">
        <f t="shared" si="1"/>
        <v>6.6</v>
      </c>
      <c r="Y40" s="1">
        <v>3.6</v>
      </c>
      <c r="Z40" s="1">
        <v>-17.2</v>
      </c>
      <c r="AA40" s="1">
        <v>0.92</v>
      </c>
      <c r="AB40" s="1">
        <v>8</v>
      </c>
      <c r="AC40" s="1">
        <v>8</v>
      </c>
      <c r="AD40" s="1">
        <v>58</v>
      </c>
      <c r="AE40" s="1">
        <f>45.6/57.3</f>
        <v>0.79581151832460739</v>
      </c>
      <c r="AF40" s="1">
        <f>17.9/13.9</f>
        <v>1.2877697841726616</v>
      </c>
      <c r="AG40" s="1">
        <f>1/0.0074</f>
        <v>135.13513513513513</v>
      </c>
      <c r="AH40" s="1">
        <f>1/0.01453</f>
        <v>68.82312456985548</v>
      </c>
      <c r="AI40" s="1">
        <f t="shared" si="2"/>
        <v>1.9635135135135131</v>
      </c>
      <c r="AJ40" s="1" t="s">
        <v>71</v>
      </c>
      <c r="AK40" s="7" t="s">
        <v>172</v>
      </c>
      <c r="AL40" s="7">
        <v>4</v>
      </c>
      <c r="AM40" s="7" t="s">
        <v>9</v>
      </c>
      <c r="AN40" s="1">
        <v>8</v>
      </c>
      <c r="AO40" s="1" t="s">
        <v>103</v>
      </c>
    </row>
    <row r="41" spans="1:41" x14ac:dyDescent="0.3">
      <c r="A41" s="1" t="s">
        <v>136</v>
      </c>
      <c r="B41" s="1" t="s">
        <v>64</v>
      </c>
      <c r="C41" s="1" t="s">
        <v>137</v>
      </c>
      <c r="D41" s="1" t="s">
        <v>67</v>
      </c>
      <c r="E41" s="1" t="s">
        <v>25</v>
      </c>
      <c r="F41" s="15" t="s">
        <v>108</v>
      </c>
      <c r="G41" s="1" t="s">
        <v>80</v>
      </c>
      <c r="H41" s="1">
        <v>7</v>
      </c>
      <c r="I41" s="1">
        <v>71</v>
      </c>
      <c r="J41" s="1">
        <v>-71</v>
      </c>
      <c r="K41" s="1">
        <v>200</v>
      </c>
      <c r="L41" s="1">
        <v>26</v>
      </c>
      <c r="M41" s="1">
        <v>280</v>
      </c>
      <c r="N41" s="3">
        <v>324.5</v>
      </c>
      <c r="O41" s="1">
        <v>59.5</v>
      </c>
      <c r="P41" s="1">
        <v>33.4</v>
      </c>
      <c r="Q41" s="1">
        <v>0.63</v>
      </c>
      <c r="R41" s="1">
        <v>-28.4</v>
      </c>
      <c r="S41" s="1">
        <v>0.338517815</v>
      </c>
      <c r="T41" s="1">
        <v>0.573724389</v>
      </c>
      <c r="U41" s="1">
        <v>197.3764496</v>
      </c>
      <c r="V41" s="1">
        <v>-108.6691055</v>
      </c>
      <c r="W41" s="1">
        <f t="shared" si="0"/>
        <v>-1.8163069318721869</v>
      </c>
      <c r="X41" s="7">
        <f t="shared" si="1"/>
        <v>5.2</v>
      </c>
      <c r="Y41" s="1">
        <v>2.5</v>
      </c>
      <c r="Z41" s="1">
        <v>-10.1</v>
      </c>
      <c r="AA41" s="1">
        <v>0.15</v>
      </c>
      <c r="AB41" s="1">
        <v>2</v>
      </c>
      <c r="AC41" s="1" t="s">
        <v>138</v>
      </c>
      <c r="AD41" s="1">
        <v>148</v>
      </c>
      <c r="AE41" s="1">
        <f>48.9/64.2</f>
        <v>0.76168224299065412</v>
      </c>
      <c r="AF41" s="1">
        <f>7.2/5.1</f>
        <v>1.411764705882353</v>
      </c>
      <c r="AG41" s="1">
        <f>1/0.0051</f>
        <v>196.07843137254901</v>
      </c>
      <c r="AH41" s="1">
        <f>1/0.0072</f>
        <v>138.88888888888889</v>
      </c>
      <c r="AI41" s="1">
        <f t="shared" si="2"/>
        <v>1.4117647058823528</v>
      </c>
      <c r="AJ41" s="1" t="s">
        <v>71</v>
      </c>
      <c r="AK41" s="7" t="s">
        <v>172</v>
      </c>
      <c r="AL41" s="7">
        <v>4</v>
      </c>
      <c r="AM41" s="7" t="s">
        <v>9</v>
      </c>
      <c r="AN41" s="1" t="s">
        <v>138</v>
      </c>
      <c r="AO41" s="1" t="s">
        <v>139</v>
      </c>
    </row>
    <row r="42" spans="1:41" x14ac:dyDescent="0.3">
      <c r="A42" s="1" t="s">
        <v>136</v>
      </c>
      <c r="B42" s="1" t="s">
        <v>64</v>
      </c>
      <c r="C42" s="1" t="s">
        <v>140</v>
      </c>
      <c r="D42" s="1" t="s">
        <v>67</v>
      </c>
      <c r="E42" s="1" t="s">
        <v>25</v>
      </c>
      <c r="F42" s="15" t="s">
        <v>108</v>
      </c>
      <c r="G42" s="1" t="s">
        <v>80</v>
      </c>
      <c r="H42" s="1">
        <v>7</v>
      </c>
      <c r="I42" s="1">
        <v>71</v>
      </c>
      <c r="J42" s="1">
        <v>-73</v>
      </c>
      <c r="K42" s="1">
        <v>280</v>
      </c>
      <c r="L42" s="1">
        <v>26</v>
      </c>
      <c r="M42" s="1">
        <v>200</v>
      </c>
      <c r="N42" s="3">
        <v>231.7</v>
      </c>
      <c r="O42" s="1">
        <v>52</v>
      </c>
      <c r="P42" s="1">
        <v>9.2200000000000006</v>
      </c>
      <c r="Q42" s="1">
        <v>0.66</v>
      </c>
      <c r="R42" s="1">
        <v>-32.6</v>
      </c>
      <c r="S42" s="1">
        <v>0.281445801</v>
      </c>
      <c r="T42" s="1">
        <v>0.55206060400000001</v>
      </c>
      <c r="U42" s="1">
        <v>193.71568300000001</v>
      </c>
      <c r="V42" s="1">
        <v>-88.522590640000004</v>
      </c>
      <c r="W42" s="1">
        <f t="shared" si="0"/>
        <v>-2.1883191804428197</v>
      </c>
      <c r="X42" s="7">
        <f t="shared" si="1"/>
        <v>7.28</v>
      </c>
      <c r="Y42" s="1">
        <v>2.7</v>
      </c>
      <c r="Z42" s="1">
        <v>-17.3</v>
      </c>
      <c r="AA42" s="1">
        <v>0.31</v>
      </c>
      <c r="AB42" s="1">
        <v>20</v>
      </c>
      <c r="AC42" s="1" t="s">
        <v>141</v>
      </c>
      <c r="AD42" s="1">
        <v>106</v>
      </c>
      <c r="AE42" s="1">
        <f>36.3/53</f>
        <v>0.68490566037735845</v>
      </c>
      <c r="AF42" s="1">
        <f>10/7.4</f>
        <v>1.3513513513513513</v>
      </c>
      <c r="AG42" s="1">
        <f>1/0.0069</f>
        <v>144.92753623188406</v>
      </c>
      <c r="AH42" s="1">
        <f>1/0.0104</f>
        <v>96.15384615384616</v>
      </c>
      <c r="AI42" s="1">
        <f t="shared" si="2"/>
        <v>1.5072463768115942</v>
      </c>
      <c r="AJ42" s="1" t="s">
        <v>76</v>
      </c>
      <c r="AK42" s="7" t="s">
        <v>172</v>
      </c>
      <c r="AL42" s="7">
        <v>4</v>
      </c>
      <c r="AM42" s="7" t="s">
        <v>9</v>
      </c>
      <c r="AN42" s="1" t="s">
        <v>141</v>
      </c>
      <c r="AO42" s="1" t="s">
        <v>142</v>
      </c>
    </row>
    <row r="43" spans="1:41" x14ac:dyDescent="0.3">
      <c r="A43" s="1" t="s">
        <v>136</v>
      </c>
      <c r="B43" s="1" t="s">
        <v>64</v>
      </c>
      <c r="C43" s="1" t="s">
        <v>143</v>
      </c>
      <c r="D43" s="1" t="s">
        <v>67</v>
      </c>
      <c r="E43" s="1" t="s">
        <v>25</v>
      </c>
      <c r="F43" s="15" t="s">
        <v>108</v>
      </c>
      <c r="G43" s="1" t="s">
        <v>80</v>
      </c>
      <c r="H43" s="1">
        <v>7</v>
      </c>
      <c r="I43" s="1">
        <v>71</v>
      </c>
      <c r="J43" s="1">
        <v>-66</v>
      </c>
      <c r="K43" s="1">
        <v>320</v>
      </c>
      <c r="L43" s="1">
        <v>22</v>
      </c>
      <c r="M43" s="1">
        <v>200</v>
      </c>
      <c r="N43" s="3">
        <v>42.5</v>
      </c>
      <c r="O43" s="1">
        <v>48.7</v>
      </c>
      <c r="P43" s="1">
        <v>3.87</v>
      </c>
      <c r="Q43" s="1">
        <v>0.65</v>
      </c>
      <c r="R43" s="1">
        <v>-16.5</v>
      </c>
      <c r="S43" s="1">
        <v>0.316752374</v>
      </c>
      <c r="T43" s="1">
        <v>0.50185018800000003</v>
      </c>
      <c r="U43" s="1">
        <v>161.477417</v>
      </c>
      <c r="V43" s="1">
        <v>-90.298965449999997</v>
      </c>
      <c r="W43" s="1">
        <f t="shared" si="0"/>
        <v>-1.7882532340795496</v>
      </c>
      <c r="X43" s="7">
        <f t="shared" si="1"/>
        <v>7.04</v>
      </c>
      <c r="Y43" s="1">
        <v>3</v>
      </c>
      <c r="Z43" s="1">
        <v>-22.6</v>
      </c>
      <c r="AA43" s="1">
        <v>0.76</v>
      </c>
      <c r="AB43" s="1">
        <v>28</v>
      </c>
      <c r="AC43" s="1">
        <v>10</v>
      </c>
      <c r="AD43" s="1">
        <v>124</v>
      </c>
      <c r="AE43" s="1">
        <f>36.9/55.6</f>
        <v>0.66366906474820142</v>
      </c>
      <c r="AF43" s="1">
        <f>8.8/6.4</f>
        <v>1.375</v>
      </c>
      <c r="AG43" s="1">
        <f>1/0.006</f>
        <v>166.66666666666666</v>
      </c>
      <c r="AH43" s="1">
        <f>1/0.008</f>
        <v>125</v>
      </c>
      <c r="AI43" s="1">
        <f t="shared" si="2"/>
        <v>1.3333333333333333</v>
      </c>
      <c r="AJ43" s="1" t="s">
        <v>76</v>
      </c>
      <c r="AK43" s="7" t="s">
        <v>172</v>
      </c>
      <c r="AL43" s="7">
        <v>4</v>
      </c>
      <c r="AM43" s="7" t="s">
        <v>9</v>
      </c>
      <c r="AN43" s="1">
        <v>10</v>
      </c>
      <c r="AO43" s="1" t="s">
        <v>81</v>
      </c>
    </row>
    <row r="44" spans="1:41" x14ac:dyDescent="0.3">
      <c r="A44" s="1" t="s">
        <v>136</v>
      </c>
      <c r="B44" s="1" t="s">
        <v>64</v>
      </c>
      <c r="C44" s="1" t="s">
        <v>144</v>
      </c>
      <c r="D44" s="1" t="s">
        <v>67</v>
      </c>
      <c r="E44" s="1" t="s">
        <v>25</v>
      </c>
      <c r="F44" s="15" t="s">
        <v>108</v>
      </c>
      <c r="G44" s="1" t="s">
        <v>80</v>
      </c>
      <c r="H44" s="1">
        <v>7</v>
      </c>
      <c r="I44" s="1">
        <v>71</v>
      </c>
      <c r="J44" s="1">
        <v>-79</v>
      </c>
      <c r="K44" s="1">
        <v>230</v>
      </c>
      <c r="L44" s="1">
        <v>36</v>
      </c>
      <c r="M44" s="1">
        <v>240</v>
      </c>
      <c r="N44" s="3">
        <v>18.7</v>
      </c>
      <c r="O44" s="1">
        <v>69.400000000000006</v>
      </c>
      <c r="P44" s="1">
        <v>35.799999999999997</v>
      </c>
      <c r="Q44" s="1">
        <v>0.61</v>
      </c>
      <c r="R44" s="1">
        <v>-40.700000000000003</v>
      </c>
      <c r="S44" s="1">
        <v>0.289634734</v>
      </c>
      <c r="T44" s="1">
        <v>0.56331378200000004</v>
      </c>
      <c r="U44" s="1">
        <v>261.90475459999999</v>
      </c>
      <c r="V44" s="1">
        <v>-120.87911990000001</v>
      </c>
      <c r="W44" s="1">
        <f t="shared" si="0"/>
        <v>-2.1666666237863632</v>
      </c>
      <c r="X44" s="7">
        <f t="shared" si="1"/>
        <v>8.2799999999999994</v>
      </c>
      <c r="Y44" s="1">
        <v>2.4</v>
      </c>
      <c r="Z44" s="1">
        <v>-11.8</v>
      </c>
      <c r="AA44" s="1">
        <v>0.1</v>
      </c>
      <c r="AB44" s="1">
        <v>28</v>
      </c>
      <c r="AC44" s="1">
        <v>13</v>
      </c>
      <c r="AD44" s="1">
        <v>138</v>
      </c>
      <c r="AE44" s="1">
        <f>59.6/70.4</f>
        <v>0.84659090909090906</v>
      </c>
      <c r="AF44" s="1">
        <f>7.6/5.4</f>
        <v>1.4074074074074072</v>
      </c>
      <c r="AG44" s="1">
        <f>1/0.0049</f>
        <v>204.08163265306123</v>
      </c>
      <c r="AH44" s="1">
        <f>1/0.0074</f>
        <v>135.13513513513513</v>
      </c>
      <c r="AI44" s="1">
        <f t="shared" si="2"/>
        <v>1.5102040816326532</v>
      </c>
      <c r="AJ44" s="1" t="s">
        <v>102</v>
      </c>
      <c r="AK44" s="7" t="s">
        <v>172</v>
      </c>
      <c r="AL44" s="7">
        <v>4</v>
      </c>
      <c r="AM44" s="7" t="s">
        <v>9</v>
      </c>
      <c r="AN44" s="1">
        <v>13</v>
      </c>
      <c r="AO44" s="1" t="s">
        <v>41</v>
      </c>
    </row>
    <row r="45" spans="1:41" s="11" customFormat="1" x14ac:dyDescent="0.3">
      <c r="A45" s="11" t="s">
        <v>19</v>
      </c>
      <c r="B45" s="11" t="s">
        <v>86</v>
      </c>
      <c r="C45" s="11" t="s">
        <v>145</v>
      </c>
      <c r="D45" s="11" t="s">
        <v>67</v>
      </c>
      <c r="E45" s="11" t="s">
        <v>25</v>
      </c>
      <c r="F45" s="16" t="s">
        <v>108</v>
      </c>
      <c r="G45" s="11" t="s">
        <v>70</v>
      </c>
      <c r="H45" s="11">
        <v>3</v>
      </c>
      <c r="I45" s="11">
        <v>68</v>
      </c>
      <c r="J45" s="11">
        <v>-60</v>
      </c>
      <c r="K45" s="11">
        <v>380</v>
      </c>
      <c r="L45" s="11">
        <v>21</v>
      </c>
      <c r="M45" s="11">
        <v>80</v>
      </c>
      <c r="N45" s="13">
        <v>60.3</v>
      </c>
      <c r="O45" s="11">
        <v>60</v>
      </c>
      <c r="P45" s="11">
        <v>58.3</v>
      </c>
      <c r="Q45" s="11">
        <v>1.3</v>
      </c>
      <c r="R45" s="11">
        <v>-39.6</v>
      </c>
      <c r="S45" s="11">
        <v>0.63139665099999998</v>
      </c>
      <c r="T45" s="11">
        <v>1.0285832880000001</v>
      </c>
      <c r="U45" s="11">
        <v>103.47985079999999</v>
      </c>
      <c r="V45" s="11">
        <v>-53.691276549999998</v>
      </c>
      <c r="W45" s="11">
        <f t="shared" si="0"/>
        <v>-1.9273121715337573</v>
      </c>
      <c r="X45" s="11">
        <f t="shared" si="1"/>
        <v>7.98</v>
      </c>
      <c r="Y45" s="11">
        <v>4.7</v>
      </c>
      <c r="Z45" s="11">
        <v>-16.899999999999999</v>
      </c>
      <c r="AA45" s="11">
        <v>2.17</v>
      </c>
      <c r="AB45" s="11">
        <v>16</v>
      </c>
      <c r="AC45" s="11">
        <v>3</v>
      </c>
      <c r="AD45" s="11">
        <v>54</v>
      </c>
      <c r="AE45" s="11">
        <f>38/59</f>
        <v>0.64406779661016944</v>
      </c>
      <c r="AF45" s="11">
        <f>197/167</f>
        <v>1.1796407185628743</v>
      </c>
      <c r="AG45" s="11">
        <f>1/0.0131</f>
        <v>76.33587786259541</v>
      </c>
      <c r="AH45" s="11">
        <f>1/0.0171</f>
        <v>58.479532163742689</v>
      </c>
      <c r="AI45" s="11">
        <f t="shared" si="2"/>
        <v>1.3053435114503815</v>
      </c>
      <c r="AJ45" s="11" t="s">
        <v>76</v>
      </c>
      <c r="AK45" s="11" t="s">
        <v>172</v>
      </c>
      <c r="AL45" s="11">
        <v>4</v>
      </c>
      <c r="AM45" s="11" t="s">
        <v>9</v>
      </c>
      <c r="AN45" s="11">
        <v>3</v>
      </c>
      <c r="AO45" s="11" t="s">
        <v>146</v>
      </c>
    </row>
    <row r="46" spans="1:41" s="11" customFormat="1" x14ac:dyDescent="0.3">
      <c r="A46" s="11" t="s">
        <v>21</v>
      </c>
      <c r="B46" s="11" t="s">
        <v>86</v>
      </c>
      <c r="C46" s="11" t="s">
        <v>147</v>
      </c>
      <c r="D46" s="11" t="s">
        <v>67</v>
      </c>
      <c r="E46" s="11" t="s">
        <v>25</v>
      </c>
      <c r="F46" s="16" t="s">
        <v>108</v>
      </c>
      <c r="G46" s="11" t="s">
        <v>97</v>
      </c>
      <c r="H46" s="11">
        <v>10</v>
      </c>
      <c r="I46" s="11">
        <v>75</v>
      </c>
      <c r="J46" s="11">
        <v>-67</v>
      </c>
      <c r="K46" s="11">
        <v>240</v>
      </c>
      <c r="L46" s="11">
        <v>26</v>
      </c>
      <c r="M46" s="11">
        <v>160</v>
      </c>
      <c r="N46" s="13">
        <v>34.1</v>
      </c>
      <c r="O46" s="11">
        <v>55.6</v>
      </c>
      <c r="P46" s="11">
        <v>39.4</v>
      </c>
      <c r="Q46" s="11">
        <v>0.92</v>
      </c>
      <c r="R46" s="11">
        <v>-40.9</v>
      </c>
      <c r="S46" s="11">
        <v>0.36316606400000001</v>
      </c>
      <c r="T46" s="11">
        <v>0.84026616799999998</v>
      </c>
      <c r="U46" s="11">
        <v>154.7619019</v>
      </c>
      <c r="V46" s="11">
        <v>-62.88156128</v>
      </c>
      <c r="W46" s="11">
        <f t="shared" si="0"/>
        <v>-2.4611650657157473</v>
      </c>
      <c r="X46" s="11">
        <f t="shared" si="1"/>
        <v>6.24</v>
      </c>
      <c r="Y46" s="11">
        <v>3.6</v>
      </c>
      <c r="Z46" s="11">
        <v>-11.9</v>
      </c>
      <c r="AA46" s="11">
        <v>0.32</v>
      </c>
      <c r="AB46" s="11">
        <v>24</v>
      </c>
      <c r="AC46" s="11">
        <v>2</v>
      </c>
      <c r="AD46" s="11">
        <v>90</v>
      </c>
      <c r="AK46" s="11" t="s">
        <v>172</v>
      </c>
      <c r="AL46" s="11">
        <v>4</v>
      </c>
      <c r="AM46" s="11" t="s">
        <v>9</v>
      </c>
      <c r="AN46" s="11">
        <v>2</v>
      </c>
      <c r="AO46" s="11" t="s">
        <v>117</v>
      </c>
    </row>
    <row r="47" spans="1:41" s="11" customFormat="1" x14ac:dyDescent="0.3">
      <c r="A47" s="11" t="s">
        <v>21</v>
      </c>
      <c r="B47" s="11" t="s">
        <v>86</v>
      </c>
      <c r="C47" s="11" t="s">
        <v>148</v>
      </c>
      <c r="D47" s="11" t="s">
        <v>67</v>
      </c>
      <c r="E47" s="11" t="s">
        <v>25</v>
      </c>
      <c r="F47" s="16" t="s">
        <v>108</v>
      </c>
      <c r="G47" s="11" t="s">
        <v>97</v>
      </c>
      <c r="H47" s="11">
        <v>10</v>
      </c>
      <c r="I47" s="11">
        <v>75</v>
      </c>
      <c r="J47" s="11">
        <v>-63</v>
      </c>
      <c r="K47" s="11">
        <v>170</v>
      </c>
      <c r="L47" s="11">
        <v>34</v>
      </c>
      <c r="M47" s="11">
        <v>200</v>
      </c>
      <c r="N47" s="13">
        <v>61.8</v>
      </c>
      <c r="O47" s="11">
        <v>61.4</v>
      </c>
      <c r="P47" s="11">
        <v>41.4</v>
      </c>
      <c r="Q47" s="11">
        <v>0.79</v>
      </c>
      <c r="R47" s="11">
        <v>-37</v>
      </c>
      <c r="S47" s="11">
        <v>0.31927552799999998</v>
      </c>
      <c r="T47" s="11">
        <v>0.73764991800000002</v>
      </c>
      <c r="U47" s="11">
        <v>211.84370419999999</v>
      </c>
      <c r="V47" s="11">
        <v>-81.14704132</v>
      </c>
      <c r="W47" s="11">
        <f t="shared" si="0"/>
        <v>-2.6106152578576847</v>
      </c>
      <c r="X47" s="11">
        <f t="shared" si="1"/>
        <v>5.78</v>
      </c>
      <c r="Y47" s="11">
        <v>3.1</v>
      </c>
      <c r="Z47" s="11">
        <v>-11.8</v>
      </c>
      <c r="AA47" s="11">
        <v>0.64</v>
      </c>
      <c r="AB47" s="11">
        <v>14</v>
      </c>
      <c r="AC47" s="11">
        <v>3</v>
      </c>
      <c r="AD47" s="11">
        <v>94</v>
      </c>
      <c r="AE47" s="11">
        <f>49.7/62.2</f>
        <v>0.79903536977491962</v>
      </c>
      <c r="AF47" s="11">
        <f>10.5/7.6</f>
        <v>1.381578947368421</v>
      </c>
      <c r="AG47" s="11">
        <f>1/0.0057</f>
        <v>175.43859649122805</v>
      </c>
      <c r="AH47" s="11">
        <f>1/0.0089</f>
        <v>112.35955056179776</v>
      </c>
      <c r="AI47" s="11">
        <f t="shared" ref="AI47:AI62" si="3">AG47/AH47</f>
        <v>1.5614035087719296</v>
      </c>
      <c r="AJ47" s="11" t="s">
        <v>71</v>
      </c>
      <c r="AK47" s="11" t="s">
        <v>172</v>
      </c>
      <c r="AL47" s="11">
        <v>4</v>
      </c>
      <c r="AM47" s="11" t="s">
        <v>9</v>
      </c>
      <c r="AN47" s="11">
        <v>3</v>
      </c>
      <c r="AO47" s="11" t="s">
        <v>142</v>
      </c>
    </row>
    <row r="48" spans="1:41" s="11" customFormat="1" x14ac:dyDescent="0.3">
      <c r="A48" s="11" t="s">
        <v>21</v>
      </c>
      <c r="B48" s="11" t="s">
        <v>86</v>
      </c>
      <c r="C48" s="11" t="s">
        <v>149</v>
      </c>
      <c r="D48" s="11" t="s">
        <v>67</v>
      </c>
      <c r="E48" s="11" t="s">
        <v>25</v>
      </c>
      <c r="F48" s="16" t="s">
        <v>108</v>
      </c>
      <c r="G48" s="11" t="s">
        <v>97</v>
      </c>
      <c r="H48" s="11">
        <v>10</v>
      </c>
      <c r="I48" s="11">
        <v>75</v>
      </c>
      <c r="J48" s="11">
        <v>-62</v>
      </c>
      <c r="K48" s="11">
        <v>170</v>
      </c>
      <c r="L48" s="11">
        <v>39</v>
      </c>
      <c r="M48" s="11">
        <v>160</v>
      </c>
      <c r="N48" s="13">
        <v>38.4</v>
      </c>
      <c r="O48" s="11">
        <v>78.599999999999994</v>
      </c>
      <c r="P48" s="11">
        <v>58.4</v>
      </c>
      <c r="Q48" s="11">
        <v>0.73</v>
      </c>
      <c r="R48" s="11">
        <v>-46</v>
      </c>
      <c r="S48" s="11">
        <v>0.34496563699999999</v>
      </c>
      <c r="T48" s="11">
        <v>0.72293710700000002</v>
      </c>
      <c r="U48" s="11">
        <v>237.4847412</v>
      </c>
      <c r="V48" s="11">
        <v>-110.4331894</v>
      </c>
      <c r="W48" s="11">
        <f t="shared" si="0"/>
        <v>-2.1504834053085857</v>
      </c>
      <c r="X48" s="11">
        <f t="shared" si="1"/>
        <v>6.63</v>
      </c>
      <c r="Y48" s="11">
        <v>2.7</v>
      </c>
      <c r="Z48" s="11">
        <v>-4.9000000000000004</v>
      </c>
      <c r="AA48" s="11">
        <v>0.46</v>
      </c>
      <c r="AB48" s="11">
        <v>10</v>
      </c>
      <c r="AC48" s="11">
        <v>6</v>
      </c>
      <c r="AD48" s="11">
        <v>66</v>
      </c>
      <c r="AE48" s="11">
        <f>62.9/66.4</f>
        <v>0.94728915662650592</v>
      </c>
      <c r="AF48" s="11">
        <f>15.4/13.4</f>
        <v>1.1492537313432836</v>
      </c>
      <c r="AG48" s="11">
        <f>1/0.0065</f>
        <v>153.84615384615384</v>
      </c>
      <c r="AH48" s="11">
        <f>1/0.0081</f>
        <v>123.4567901234568</v>
      </c>
      <c r="AI48" s="11">
        <f t="shared" si="3"/>
        <v>1.2461538461538459</v>
      </c>
      <c r="AJ48" s="11" t="s">
        <v>71</v>
      </c>
      <c r="AK48" s="11" t="s">
        <v>172</v>
      </c>
      <c r="AL48" s="11">
        <v>4</v>
      </c>
      <c r="AM48" s="11" t="s">
        <v>9</v>
      </c>
      <c r="AN48" s="11">
        <v>6</v>
      </c>
      <c r="AO48" s="11" t="s">
        <v>100</v>
      </c>
    </row>
    <row r="49" spans="1:41" s="11" customFormat="1" x14ac:dyDescent="0.3">
      <c r="A49" s="11" t="s">
        <v>12</v>
      </c>
      <c r="B49" s="11" t="s">
        <v>86</v>
      </c>
      <c r="C49" s="11" t="s">
        <v>150</v>
      </c>
      <c r="D49" s="11" t="s">
        <v>67</v>
      </c>
      <c r="E49" s="11" t="s">
        <v>25</v>
      </c>
      <c r="F49" s="12" t="s">
        <v>108</v>
      </c>
      <c r="G49" s="11" t="s">
        <v>123</v>
      </c>
      <c r="H49" s="11">
        <v>2</v>
      </c>
      <c r="I49" s="11">
        <v>66</v>
      </c>
      <c r="J49" s="11">
        <v>-60</v>
      </c>
      <c r="K49" s="11">
        <v>170</v>
      </c>
      <c r="L49" s="11">
        <v>28</v>
      </c>
      <c r="M49" s="11">
        <v>160</v>
      </c>
      <c r="N49" s="13">
        <v>34.4</v>
      </c>
      <c r="O49" s="11">
        <v>64.900000000000006</v>
      </c>
      <c r="P49" s="11">
        <v>63.5</v>
      </c>
      <c r="Q49" s="11">
        <v>0.78</v>
      </c>
      <c r="R49" s="11">
        <v>-56.8</v>
      </c>
      <c r="S49" s="11">
        <v>0.37407064400000001</v>
      </c>
      <c r="T49" s="11">
        <v>1.0871980189999999</v>
      </c>
      <c r="U49" s="11">
        <v>196.7663269</v>
      </c>
      <c r="V49" s="11">
        <v>-86.028068540000007</v>
      </c>
      <c r="W49" s="11">
        <f t="shared" si="0"/>
        <v>-2.2872340416257355</v>
      </c>
      <c r="X49" s="11">
        <f t="shared" si="1"/>
        <v>4.76</v>
      </c>
      <c r="Y49" s="11">
        <v>3.3</v>
      </c>
      <c r="Z49" s="11">
        <v>-7.4</v>
      </c>
      <c r="AA49" s="11">
        <v>0.12</v>
      </c>
      <c r="AB49" s="11">
        <v>16</v>
      </c>
      <c r="AC49" s="11">
        <v>2</v>
      </c>
      <c r="AD49" s="11">
        <v>108</v>
      </c>
      <c r="AE49" s="11">
        <f>48.1/58.2</f>
        <v>0.82646048109965631</v>
      </c>
      <c r="AF49" s="11">
        <f>8.9/8.1</f>
        <v>1.0987654320987654</v>
      </c>
      <c r="AK49" s="11" t="s">
        <v>172</v>
      </c>
      <c r="AL49" s="11">
        <v>4</v>
      </c>
      <c r="AM49" s="11" t="s">
        <v>9</v>
      </c>
      <c r="AN49" s="11">
        <v>2</v>
      </c>
      <c r="AO49" s="11" t="s">
        <v>151</v>
      </c>
    </row>
    <row r="50" spans="1:41" s="11" customFormat="1" x14ac:dyDescent="0.3">
      <c r="A50" s="11" t="s">
        <v>12</v>
      </c>
      <c r="B50" s="11" t="s">
        <v>86</v>
      </c>
      <c r="C50" s="11" t="s">
        <v>152</v>
      </c>
      <c r="D50" s="11" t="s">
        <v>67</v>
      </c>
      <c r="E50" s="11" t="s">
        <v>25</v>
      </c>
      <c r="F50" s="12" t="s">
        <v>108</v>
      </c>
      <c r="G50" s="11" t="s">
        <v>123</v>
      </c>
      <c r="H50" s="11">
        <v>2</v>
      </c>
      <c r="I50" s="11">
        <v>66</v>
      </c>
      <c r="J50" s="11">
        <v>-64</v>
      </c>
      <c r="K50" s="11">
        <v>220</v>
      </c>
      <c r="L50" s="11">
        <v>18</v>
      </c>
      <c r="M50" s="11">
        <v>200</v>
      </c>
      <c r="N50" s="13">
        <v>89.5</v>
      </c>
      <c r="O50" s="11">
        <v>54.3</v>
      </c>
      <c r="P50" s="11">
        <v>23.9</v>
      </c>
      <c r="Q50" s="11">
        <v>0.53</v>
      </c>
      <c r="R50" s="11">
        <v>-44.3</v>
      </c>
      <c r="S50" s="11">
        <v>0.262653619</v>
      </c>
      <c r="T50" s="11">
        <v>0.480882853</v>
      </c>
      <c r="U50" s="11">
        <v>207.13850400000001</v>
      </c>
      <c r="V50" s="11">
        <v>-113.1787643</v>
      </c>
      <c r="W50" s="11">
        <f t="shared" si="0"/>
        <v>-1.8301887750863173</v>
      </c>
      <c r="X50" s="11">
        <f t="shared" si="1"/>
        <v>3.96</v>
      </c>
      <c r="Y50" s="11">
        <v>2.1</v>
      </c>
      <c r="Z50" s="11">
        <v>-11.1</v>
      </c>
      <c r="AA50" s="11">
        <v>1.1000000000000001</v>
      </c>
      <c r="AB50" s="11">
        <v>24</v>
      </c>
      <c r="AC50" s="11" t="s">
        <v>153</v>
      </c>
      <c r="AD50" s="11">
        <v>132</v>
      </c>
      <c r="AE50" s="11">
        <f>47.7/54</f>
        <v>0.88333333333333341</v>
      </c>
      <c r="AF50" s="11">
        <f>7.5/6.1</f>
        <v>1.2295081967213115</v>
      </c>
      <c r="AG50" s="11">
        <f>1/0.0044</f>
        <v>227.27272727272725</v>
      </c>
      <c r="AH50" s="11">
        <f>1/0.0059</f>
        <v>169.49152542372883</v>
      </c>
      <c r="AI50" s="11">
        <f t="shared" si="3"/>
        <v>1.3409090909090906</v>
      </c>
      <c r="AJ50" s="11" t="s">
        <v>102</v>
      </c>
      <c r="AK50" s="11" t="s">
        <v>172</v>
      </c>
      <c r="AL50" s="11">
        <v>4</v>
      </c>
      <c r="AM50" s="11" t="s">
        <v>9</v>
      </c>
      <c r="AN50" s="11" t="s">
        <v>153</v>
      </c>
      <c r="AO50" s="11" t="s">
        <v>83</v>
      </c>
    </row>
    <row r="51" spans="1:41" s="11" customFormat="1" x14ac:dyDescent="0.3">
      <c r="A51" s="11" t="s">
        <v>12</v>
      </c>
      <c r="B51" s="11" t="s">
        <v>86</v>
      </c>
      <c r="C51" s="11" t="s">
        <v>154</v>
      </c>
      <c r="D51" s="11" t="s">
        <v>67</v>
      </c>
      <c r="E51" s="11" t="s">
        <v>25</v>
      </c>
      <c r="F51" s="12" t="s">
        <v>108</v>
      </c>
      <c r="G51" s="11" t="s">
        <v>123</v>
      </c>
      <c r="H51" s="11">
        <v>2</v>
      </c>
      <c r="I51" s="11">
        <v>66</v>
      </c>
      <c r="J51" s="11">
        <v>-60</v>
      </c>
      <c r="K51" s="11">
        <v>390</v>
      </c>
      <c r="L51" s="11">
        <v>30</v>
      </c>
      <c r="M51" s="11">
        <v>120</v>
      </c>
      <c r="N51" s="13">
        <v>53.7</v>
      </c>
      <c r="O51" s="11">
        <v>61.7</v>
      </c>
      <c r="P51" s="11">
        <v>35.6</v>
      </c>
      <c r="Q51" s="11">
        <v>0.79</v>
      </c>
      <c r="R51" s="11">
        <v>-28.4</v>
      </c>
      <c r="S51" s="11">
        <v>0.32728439599999998</v>
      </c>
      <c r="T51" s="11">
        <v>0.68052184599999999</v>
      </c>
      <c r="U51" s="11">
        <v>199.9389496</v>
      </c>
      <c r="V51" s="11">
        <v>-83.587554929999996</v>
      </c>
      <c r="W51" s="11">
        <f t="shared" si="0"/>
        <v>-2.3919703090661995</v>
      </c>
      <c r="X51" s="11">
        <f t="shared" si="1"/>
        <v>11.7</v>
      </c>
      <c r="Y51" s="11">
        <v>3</v>
      </c>
      <c r="Z51" s="11">
        <v>-16</v>
      </c>
      <c r="AA51" s="11">
        <v>1.1000000000000001</v>
      </c>
      <c r="AB51" s="11">
        <v>18</v>
      </c>
      <c r="AC51" s="11">
        <v>5</v>
      </c>
      <c r="AD51" s="11">
        <v>94</v>
      </c>
      <c r="AE51" s="11">
        <f>55.3/61.7</f>
        <v>0.89627228525121549</v>
      </c>
      <c r="AF51" s="11">
        <f>10.8/8.7</f>
        <v>1.2413793103448278</v>
      </c>
      <c r="AG51" s="11">
        <f>1/0.005</f>
        <v>200</v>
      </c>
      <c r="AH51" s="11">
        <f>1/0.00895</f>
        <v>111.73184357541899</v>
      </c>
      <c r="AI51" s="11">
        <f t="shared" si="3"/>
        <v>1.79</v>
      </c>
      <c r="AJ51" s="11" t="s">
        <v>102</v>
      </c>
      <c r="AK51" s="11" t="s">
        <v>172</v>
      </c>
      <c r="AL51" s="11">
        <v>4</v>
      </c>
      <c r="AM51" s="11" t="s">
        <v>9</v>
      </c>
      <c r="AN51" s="11">
        <v>5</v>
      </c>
      <c r="AO51" s="11" t="s">
        <v>103</v>
      </c>
    </row>
    <row r="52" spans="1:41" s="11" customFormat="1" x14ac:dyDescent="0.3">
      <c r="A52" s="11" t="s">
        <v>13</v>
      </c>
      <c r="B52" s="11" t="s">
        <v>86</v>
      </c>
      <c r="C52" s="11" t="s">
        <v>155</v>
      </c>
      <c r="D52" s="11" t="s">
        <v>67</v>
      </c>
      <c r="E52" s="11" t="s">
        <v>25</v>
      </c>
      <c r="F52" s="12" t="s">
        <v>108</v>
      </c>
      <c r="G52" s="11" t="s">
        <v>123</v>
      </c>
      <c r="H52" s="11">
        <v>1</v>
      </c>
      <c r="I52" s="11">
        <v>70</v>
      </c>
      <c r="J52" s="11">
        <v>-68</v>
      </c>
      <c r="K52" s="11">
        <v>240</v>
      </c>
      <c r="L52" s="11">
        <v>25</v>
      </c>
      <c r="M52" s="11">
        <v>160</v>
      </c>
      <c r="N52" s="13">
        <v>57.7</v>
      </c>
      <c r="O52" s="11">
        <v>53.9</v>
      </c>
      <c r="P52" s="11">
        <v>27.5</v>
      </c>
      <c r="Q52" s="11">
        <v>0.81</v>
      </c>
      <c r="R52" s="11">
        <v>-33.200000000000003</v>
      </c>
      <c r="S52" s="11">
        <v>0.33453512200000002</v>
      </c>
      <c r="T52" s="11">
        <v>0.69626980999999999</v>
      </c>
      <c r="U52" s="11">
        <v>172.46641539999999</v>
      </c>
      <c r="V52" s="11">
        <v>-73.565322879999997</v>
      </c>
      <c r="W52" s="11">
        <f t="shared" si="0"/>
        <v>-2.344398266032595</v>
      </c>
      <c r="X52" s="11">
        <f t="shared" si="1"/>
        <v>6</v>
      </c>
      <c r="Y52" s="11">
        <v>3.4</v>
      </c>
      <c r="Z52" s="11">
        <v>-13.2</v>
      </c>
      <c r="AA52" s="11">
        <v>0.76</v>
      </c>
      <c r="AB52" s="11">
        <v>22</v>
      </c>
      <c r="AC52" s="11">
        <v>2</v>
      </c>
      <c r="AD52" s="11">
        <v>98</v>
      </c>
      <c r="AE52" s="11">
        <f>45.6/54.3</f>
        <v>0.83977900552486195</v>
      </c>
      <c r="AF52" s="11">
        <f>9.8/7.8</f>
        <v>1.2564102564102566</v>
      </c>
      <c r="AG52" s="11">
        <f>1/0.0057</f>
        <v>175.43859649122805</v>
      </c>
      <c r="AH52" s="11">
        <f>1/0.009375</f>
        <v>106.66666666666667</v>
      </c>
      <c r="AI52" s="11">
        <f t="shared" si="3"/>
        <v>1.6447368421052628</v>
      </c>
      <c r="AJ52" s="11" t="s">
        <v>71</v>
      </c>
      <c r="AK52" s="11" t="s">
        <v>172</v>
      </c>
      <c r="AL52" s="11">
        <v>4</v>
      </c>
      <c r="AM52" s="11" t="s">
        <v>9</v>
      </c>
      <c r="AN52" s="11">
        <v>2</v>
      </c>
      <c r="AO52" s="11" t="s">
        <v>156</v>
      </c>
    </row>
    <row r="53" spans="1:41" s="11" customFormat="1" x14ac:dyDescent="0.3">
      <c r="A53" s="11" t="s">
        <v>13</v>
      </c>
      <c r="B53" s="11" t="s">
        <v>86</v>
      </c>
      <c r="C53" s="11" t="s">
        <v>157</v>
      </c>
      <c r="D53" s="11" t="s">
        <v>67</v>
      </c>
      <c r="E53" s="11" t="s">
        <v>25</v>
      </c>
      <c r="F53" s="12" t="s">
        <v>108</v>
      </c>
      <c r="G53" s="11" t="s">
        <v>123</v>
      </c>
      <c r="H53" s="11">
        <v>1</v>
      </c>
      <c r="I53" s="11">
        <v>70</v>
      </c>
      <c r="J53" s="11">
        <v>-66</v>
      </c>
      <c r="K53" s="11">
        <v>220</v>
      </c>
      <c r="L53" s="11">
        <v>33</v>
      </c>
      <c r="M53" s="11">
        <v>200</v>
      </c>
      <c r="N53" s="13">
        <v>28.8</v>
      </c>
      <c r="O53" s="11">
        <v>55.9</v>
      </c>
      <c r="P53" s="11">
        <v>31.1</v>
      </c>
      <c r="Q53" s="11">
        <v>0.83</v>
      </c>
      <c r="R53" s="11">
        <v>-37.9</v>
      </c>
      <c r="S53" s="11">
        <v>0.327630013</v>
      </c>
      <c r="T53" s="11">
        <v>0.764471173</v>
      </c>
      <c r="U53" s="11">
        <v>179.98779300000001</v>
      </c>
      <c r="V53" s="11">
        <v>-70.164733889999994</v>
      </c>
      <c r="W53" s="11">
        <f t="shared" si="0"/>
        <v>-2.5652173538087371</v>
      </c>
      <c r="X53" s="11">
        <f t="shared" si="1"/>
        <v>7.26</v>
      </c>
      <c r="Y53" s="11">
        <v>3.7</v>
      </c>
      <c r="Z53" s="11">
        <v>-13.1</v>
      </c>
      <c r="AA53" s="11">
        <v>0.79</v>
      </c>
      <c r="AB53" s="11">
        <v>32</v>
      </c>
      <c r="AC53" s="11">
        <v>3</v>
      </c>
      <c r="AD53" s="11">
        <v>94</v>
      </c>
      <c r="AE53" s="11">
        <f>40/57.5</f>
        <v>0.69565217391304346</v>
      </c>
      <c r="AF53" s="11">
        <f>10.5/7.2</f>
        <v>1.4583333333333333</v>
      </c>
      <c r="AG53" s="11">
        <f>1/0.0062</f>
        <v>161.29032258064515</v>
      </c>
      <c r="AH53" s="11">
        <f>1/0.01045</f>
        <v>95.693779904306226</v>
      </c>
      <c r="AI53" s="11">
        <f t="shared" si="3"/>
        <v>1.6854838709677418</v>
      </c>
      <c r="AJ53" s="11" t="s">
        <v>71</v>
      </c>
      <c r="AK53" s="11" t="s">
        <v>172</v>
      </c>
      <c r="AL53" s="11">
        <v>4</v>
      </c>
      <c r="AM53" s="11" t="s">
        <v>9</v>
      </c>
      <c r="AN53" s="11">
        <v>3</v>
      </c>
      <c r="AO53" s="11" t="s">
        <v>156</v>
      </c>
    </row>
    <row r="54" spans="1:41" s="11" customFormat="1" x14ac:dyDescent="0.3">
      <c r="A54" s="11" t="s">
        <v>13</v>
      </c>
      <c r="B54" s="11" t="s">
        <v>86</v>
      </c>
      <c r="C54" s="11" t="s">
        <v>158</v>
      </c>
      <c r="D54" s="11" t="s">
        <v>67</v>
      </c>
      <c r="E54" s="11" t="s">
        <v>25</v>
      </c>
      <c r="F54" s="12" t="s">
        <v>108</v>
      </c>
      <c r="G54" s="11" t="s">
        <v>123</v>
      </c>
      <c r="H54" s="11">
        <v>1</v>
      </c>
      <c r="I54" s="11">
        <v>70</v>
      </c>
      <c r="J54" s="11">
        <v>-60</v>
      </c>
      <c r="K54" s="11">
        <v>220</v>
      </c>
      <c r="L54" s="11">
        <v>21</v>
      </c>
      <c r="M54" s="11">
        <v>120</v>
      </c>
      <c r="N54" s="13">
        <v>53.5</v>
      </c>
      <c r="O54" s="11">
        <v>44.2</v>
      </c>
      <c r="P54" s="11">
        <v>27.6</v>
      </c>
      <c r="Q54" s="11">
        <v>0.82</v>
      </c>
      <c r="R54" s="11">
        <v>-42.7</v>
      </c>
      <c r="S54" s="11">
        <v>0.351124465</v>
      </c>
      <c r="T54" s="11">
        <v>0.73961377100000003</v>
      </c>
      <c r="U54" s="11">
        <v>138.27838130000001</v>
      </c>
      <c r="V54" s="11">
        <v>-60.402683260000003</v>
      </c>
      <c r="W54" s="11">
        <f t="shared" si="0"/>
        <v>-2.2892754731571836</v>
      </c>
      <c r="X54" s="11">
        <f t="shared" si="1"/>
        <v>4.62</v>
      </c>
      <c r="Y54" s="11">
        <v>3.1</v>
      </c>
      <c r="Z54" s="11">
        <v>-13.3</v>
      </c>
      <c r="AA54" s="11">
        <v>0.27</v>
      </c>
      <c r="AB54" s="11">
        <v>22</v>
      </c>
      <c r="AC54" s="11">
        <v>5</v>
      </c>
      <c r="AD54" s="11">
        <v>82</v>
      </c>
      <c r="AE54" s="11">
        <f>41.3/45.9</f>
        <v>0.89978213507625271</v>
      </c>
      <c r="AF54" s="11">
        <f>12/8</f>
        <v>1.5</v>
      </c>
      <c r="AG54" s="11">
        <f>1/0.0046</f>
        <v>217.39130434782609</v>
      </c>
      <c r="AH54" s="11">
        <f>1/0.0084</f>
        <v>119.04761904761905</v>
      </c>
      <c r="AI54" s="11">
        <f t="shared" si="3"/>
        <v>1.826086956521739</v>
      </c>
      <c r="AJ54" s="11" t="s">
        <v>71</v>
      </c>
      <c r="AK54" s="11" t="s">
        <v>172</v>
      </c>
      <c r="AL54" s="11">
        <v>4</v>
      </c>
      <c r="AM54" s="11" t="s">
        <v>9</v>
      </c>
      <c r="AN54" s="11">
        <v>5</v>
      </c>
      <c r="AO54" s="11" t="s">
        <v>142</v>
      </c>
    </row>
    <row r="55" spans="1:41" s="11" customFormat="1" x14ac:dyDescent="0.3">
      <c r="A55" s="11" t="s">
        <v>13</v>
      </c>
      <c r="B55" s="11" t="s">
        <v>86</v>
      </c>
      <c r="C55" s="11" t="s">
        <v>159</v>
      </c>
      <c r="D55" s="11" t="s">
        <v>67</v>
      </c>
      <c r="E55" s="11" t="s">
        <v>25</v>
      </c>
      <c r="F55" s="12" t="s">
        <v>108</v>
      </c>
      <c r="G55" s="11" t="s">
        <v>123</v>
      </c>
      <c r="H55" s="11">
        <v>1</v>
      </c>
      <c r="I55" s="11">
        <v>70</v>
      </c>
      <c r="J55" s="11">
        <v>-73</v>
      </c>
      <c r="K55" s="11">
        <v>370</v>
      </c>
      <c r="L55" s="11">
        <v>25</v>
      </c>
      <c r="M55" s="11">
        <v>160</v>
      </c>
      <c r="N55" s="13">
        <v>39.6</v>
      </c>
      <c r="O55" s="11">
        <v>62.5</v>
      </c>
      <c r="P55" s="11">
        <v>38.299999999999997</v>
      </c>
      <c r="Q55" s="11">
        <v>0.79</v>
      </c>
      <c r="R55" s="11">
        <v>-38.1</v>
      </c>
      <c r="S55" s="11">
        <v>0.35280704499999999</v>
      </c>
      <c r="T55" s="11">
        <v>0.72037476300000003</v>
      </c>
      <c r="U55" s="11">
        <v>201.34228519999999</v>
      </c>
      <c r="V55" s="11">
        <v>-83.638580320000003</v>
      </c>
      <c r="W55" s="11">
        <f t="shared" si="0"/>
        <v>-2.4072896076148989</v>
      </c>
      <c r="X55" s="11">
        <f t="shared" si="1"/>
        <v>9.25</v>
      </c>
      <c r="Y55" s="11">
        <v>3.4</v>
      </c>
      <c r="Z55" s="11">
        <v>-11.2</v>
      </c>
      <c r="AA55" s="11">
        <v>0.92</v>
      </c>
      <c r="AB55" s="11">
        <v>36</v>
      </c>
      <c r="AC55" s="11">
        <v>10</v>
      </c>
      <c r="AD55" s="11">
        <v>116</v>
      </c>
      <c r="AE55" s="11">
        <f>45.9/62.1</f>
        <v>0.73913043478260865</v>
      </c>
      <c r="AF55" s="11">
        <f>9.3/6.6</f>
        <v>1.4090909090909092</v>
      </c>
      <c r="AG55" s="11">
        <f>1/0.0057</f>
        <v>175.43859649122805</v>
      </c>
      <c r="AH55" s="11">
        <f>1/0.0088</f>
        <v>113.63636363636363</v>
      </c>
      <c r="AI55" s="11">
        <f t="shared" si="3"/>
        <v>1.5438596491228069</v>
      </c>
      <c r="AK55" s="11" t="s">
        <v>172</v>
      </c>
      <c r="AL55" s="11">
        <v>4</v>
      </c>
      <c r="AM55" s="11" t="s">
        <v>9</v>
      </c>
      <c r="AN55" s="11">
        <v>10</v>
      </c>
      <c r="AO55" s="11" t="s">
        <v>42</v>
      </c>
    </row>
    <row r="56" spans="1:41" s="11" customFormat="1" x14ac:dyDescent="0.3">
      <c r="A56" s="11" t="s">
        <v>14</v>
      </c>
      <c r="B56" s="11" t="s">
        <v>86</v>
      </c>
      <c r="C56" s="11" t="s">
        <v>160</v>
      </c>
      <c r="D56" s="11" t="s">
        <v>67</v>
      </c>
      <c r="E56" s="11" t="s">
        <v>25</v>
      </c>
      <c r="F56" s="12" t="s">
        <v>108</v>
      </c>
      <c r="G56" s="11" t="s">
        <v>123</v>
      </c>
      <c r="H56" s="11">
        <v>3</v>
      </c>
      <c r="I56" s="11">
        <v>71</v>
      </c>
      <c r="J56" s="11">
        <v>-78</v>
      </c>
      <c r="K56" s="11">
        <v>290</v>
      </c>
      <c r="L56" s="11">
        <v>31</v>
      </c>
      <c r="M56" s="11">
        <v>80</v>
      </c>
      <c r="N56" s="13">
        <v>53</v>
      </c>
      <c r="O56" s="11">
        <v>76.5</v>
      </c>
      <c r="P56" s="11">
        <v>78.599999999999994</v>
      </c>
      <c r="Q56" s="11">
        <v>1.03</v>
      </c>
      <c r="R56" s="11">
        <v>-54.8</v>
      </c>
      <c r="S56" s="11">
        <v>0.42509096899999999</v>
      </c>
      <c r="T56" s="11">
        <v>1.0059881209999999</v>
      </c>
      <c r="U56" s="11">
        <v>194.6308746</v>
      </c>
      <c r="V56" s="11">
        <v>-76.007324220000001</v>
      </c>
      <c r="W56" s="11">
        <f t="shared" si="0"/>
        <v>-2.5606857838680011</v>
      </c>
      <c r="X56" s="11">
        <f t="shared" si="1"/>
        <v>8.99</v>
      </c>
      <c r="Y56" s="11">
        <v>3.4</v>
      </c>
      <c r="Z56" s="11">
        <v>-6.2</v>
      </c>
      <c r="AA56" s="11">
        <v>0.55000000000000004</v>
      </c>
      <c r="AB56" s="11">
        <v>14</v>
      </c>
      <c r="AC56" s="11">
        <v>3</v>
      </c>
      <c r="AD56" s="11">
        <v>34</v>
      </c>
      <c r="AE56" s="11">
        <f>67.4/72.7</f>
        <v>0.92709766162310869</v>
      </c>
      <c r="AF56" s="11">
        <f>31.1/28.7</f>
        <v>1.0836236933797909</v>
      </c>
      <c r="AG56" s="11">
        <f>1/0.0065</f>
        <v>153.84615384615384</v>
      </c>
      <c r="AH56" s="11">
        <f>1/0.009862</f>
        <v>101.39931048468871</v>
      </c>
      <c r="AI56" s="11">
        <f t="shared" si="3"/>
        <v>1.5172307692307689</v>
      </c>
      <c r="AJ56" s="11" t="s">
        <v>71</v>
      </c>
      <c r="AK56" s="11" t="s">
        <v>172</v>
      </c>
      <c r="AL56" s="11">
        <v>4</v>
      </c>
      <c r="AM56" s="11" t="s">
        <v>9</v>
      </c>
      <c r="AN56" s="11">
        <v>3</v>
      </c>
      <c r="AO56" s="11" t="s">
        <v>161</v>
      </c>
    </row>
    <row r="57" spans="1:41" s="11" customFormat="1" x14ac:dyDescent="0.3">
      <c r="A57" s="11" t="s">
        <v>48</v>
      </c>
      <c r="B57" s="11" t="s">
        <v>86</v>
      </c>
      <c r="C57" s="11" t="s">
        <v>162</v>
      </c>
      <c r="D57" s="11" t="s">
        <v>67</v>
      </c>
      <c r="E57" s="11" t="s">
        <v>25</v>
      </c>
      <c r="F57" s="12" t="s">
        <v>108</v>
      </c>
      <c r="G57" s="11" t="s">
        <v>80</v>
      </c>
      <c r="H57" s="11">
        <v>11</v>
      </c>
      <c r="I57" s="11">
        <v>70</v>
      </c>
      <c r="J57" s="11">
        <v>-76</v>
      </c>
      <c r="K57" s="11">
        <v>260</v>
      </c>
      <c r="L57" s="11">
        <v>40</v>
      </c>
      <c r="M57" s="11">
        <v>120</v>
      </c>
      <c r="N57" s="13">
        <v>123.3</v>
      </c>
      <c r="O57" s="11">
        <v>70.599999999999994</v>
      </c>
      <c r="P57" s="11">
        <v>35.4</v>
      </c>
      <c r="Q57" s="11">
        <v>0.63</v>
      </c>
      <c r="R57" s="11">
        <v>-47.5</v>
      </c>
      <c r="S57" s="11">
        <v>0.32674843100000001</v>
      </c>
      <c r="T57" s="11">
        <v>0.54245132200000001</v>
      </c>
      <c r="U57" s="11">
        <v>244.50549319999999</v>
      </c>
      <c r="V57" s="11">
        <v>-123.0158768</v>
      </c>
      <c r="W57" s="11">
        <f t="shared" si="0"/>
        <v>-1.9875929803558494</v>
      </c>
      <c r="X57" s="11">
        <f t="shared" si="1"/>
        <v>10.4</v>
      </c>
      <c r="Y57" s="11">
        <v>2.5</v>
      </c>
      <c r="Z57" s="11">
        <v>-13.6</v>
      </c>
      <c r="AA57" s="11">
        <v>0.27</v>
      </c>
      <c r="AB57" s="11">
        <v>12</v>
      </c>
      <c r="AC57" s="11">
        <v>1</v>
      </c>
      <c r="AD57" s="11">
        <v>96</v>
      </c>
      <c r="AE57" s="11">
        <f>63.1/76.4</f>
        <v>0.82591623036649209</v>
      </c>
      <c r="AF57" s="11">
        <f>10.5/11.3</f>
        <v>0.92920353982300874</v>
      </c>
      <c r="AG57" s="11">
        <f>1/0.0051</f>
        <v>196.07843137254901</v>
      </c>
      <c r="AH57" s="11">
        <f>1/0.0074</f>
        <v>135.13513513513513</v>
      </c>
      <c r="AI57" s="11">
        <f t="shared" si="3"/>
        <v>1.4509803921568627</v>
      </c>
      <c r="AJ57" s="11" t="s">
        <v>102</v>
      </c>
      <c r="AK57" s="11" t="s">
        <v>172</v>
      </c>
      <c r="AL57" s="11">
        <v>4</v>
      </c>
      <c r="AM57" s="11" t="s">
        <v>9</v>
      </c>
      <c r="AN57" s="11">
        <v>1</v>
      </c>
      <c r="AO57" s="11" t="s">
        <v>39</v>
      </c>
    </row>
    <row r="58" spans="1:41" s="11" customFormat="1" ht="13.8" customHeight="1" x14ac:dyDescent="0.3">
      <c r="A58" s="11" t="s">
        <v>48</v>
      </c>
      <c r="B58" s="11" t="s">
        <v>86</v>
      </c>
      <c r="C58" s="11" t="s">
        <v>163</v>
      </c>
      <c r="D58" s="11" t="s">
        <v>67</v>
      </c>
      <c r="E58" s="11" t="s">
        <v>25</v>
      </c>
      <c r="F58" s="12" t="s">
        <v>108</v>
      </c>
      <c r="G58" s="11" t="s">
        <v>80</v>
      </c>
      <c r="H58" s="11">
        <v>11</v>
      </c>
      <c r="I58" s="11">
        <v>70</v>
      </c>
      <c r="J58" s="11">
        <v>-70</v>
      </c>
      <c r="K58" s="11">
        <v>450</v>
      </c>
      <c r="L58" s="11">
        <v>30</v>
      </c>
      <c r="M58" s="11">
        <v>80</v>
      </c>
      <c r="N58" s="13">
        <v>128.19999999999999</v>
      </c>
      <c r="O58" s="11">
        <v>63.9</v>
      </c>
      <c r="P58" s="11">
        <v>27.8</v>
      </c>
      <c r="Q58" s="11">
        <v>0.84</v>
      </c>
      <c r="R58" s="11">
        <v>-45.7</v>
      </c>
      <c r="S58" s="11">
        <v>0.350396186</v>
      </c>
      <c r="T58" s="11">
        <v>0.79783290600000001</v>
      </c>
      <c r="U58" s="11">
        <v>185.89743039999999</v>
      </c>
      <c r="V58" s="11">
        <v>-77.533576969999999</v>
      </c>
      <c r="W58" s="11">
        <f t="shared" si="0"/>
        <v>-2.3976377417996479</v>
      </c>
      <c r="X58" s="11">
        <f t="shared" si="1"/>
        <v>13.5</v>
      </c>
      <c r="Y58" s="11">
        <v>4.0999999999999996</v>
      </c>
      <c r="Z58" s="11">
        <v>-15.9</v>
      </c>
      <c r="AA58" s="11">
        <v>0.55000000000000004</v>
      </c>
      <c r="AB58" s="11">
        <v>8</v>
      </c>
      <c r="AC58" s="11">
        <v>7</v>
      </c>
      <c r="AD58" s="11">
        <v>46</v>
      </c>
      <c r="AE58" s="11">
        <f>61.7/65.4</f>
        <v>0.94342507645259932</v>
      </c>
      <c r="AF58" s="11">
        <f>23.3/17.7</f>
        <v>1.3163841807909606</v>
      </c>
      <c r="AG58" s="11">
        <f>1/0.007</f>
        <v>142.85714285714286</v>
      </c>
      <c r="AH58" s="11">
        <f>1/0.011</f>
        <v>90.909090909090921</v>
      </c>
      <c r="AI58" s="11">
        <f t="shared" si="3"/>
        <v>1.5714285714285712</v>
      </c>
      <c r="AJ58" s="11" t="s">
        <v>76</v>
      </c>
      <c r="AK58" s="11" t="s">
        <v>172</v>
      </c>
      <c r="AL58" s="11">
        <v>4</v>
      </c>
      <c r="AM58" s="11" t="s">
        <v>9</v>
      </c>
      <c r="AN58" s="11">
        <v>7</v>
      </c>
      <c r="AO58" s="11" t="s">
        <v>41</v>
      </c>
    </row>
    <row r="59" spans="1:41" s="11" customFormat="1" x14ac:dyDescent="0.3">
      <c r="A59" s="11" t="s">
        <v>136</v>
      </c>
      <c r="B59" s="11" t="s">
        <v>86</v>
      </c>
      <c r="C59" s="11" t="s">
        <v>164</v>
      </c>
      <c r="D59" s="11" t="s">
        <v>67</v>
      </c>
      <c r="E59" s="11" t="s">
        <v>25</v>
      </c>
      <c r="F59" s="12" t="s">
        <v>108</v>
      </c>
      <c r="G59" s="11" t="s">
        <v>80</v>
      </c>
      <c r="H59" s="11">
        <v>7</v>
      </c>
      <c r="I59" s="11">
        <v>71</v>
      </c>
      <c r="J59" s="11">
        <v>-64</v>
      </c>
      <c r="K59" s="11">
        <v>200</v>
      </c>
      <c r="L59" s="11">
        <v>40</v>
      </c>
      <c r="M59" s="11">
        <v>280</v>
      </c>
      <c r="N59" s="13">
        <v>40</v>
      </c>
      <c r="O59" s="11">
        <v>57.3</v>
      </c>
      <c r="P59" s="11">
        <v>28.2</v>
      </c>
      <c r="Q59" s="11">
        <v>0.82</v>
      </c>
      <c r="R59" s="11">
        <v>-23.9</v>
      </c>
      <c r="S59" s="11">
        <v>0.36207690799999998</v>
      </c>
      <c r="T59" s="11">
        <v>0.69108748399999997</v>
      </c>
      <c r="U59" s="11">
        <v>164.12446589999999</v>
      </c>
      <c r="V59" s="11">
        <v>-76.007324220000001</v>
      </c>
      <c r="W59" s="11">
        <f t="shared" si="0"/>
        <v>-2.15932434912389</v>
      </c>
      <c r="X59" s="11">
        <f t="shared" si="1"/>
        <v>8</v>
      </c>
      <c r="Y59" s="11">
        <v>3.5</v>
      </c>
      <c r="Z59" s="11">
        <v>-16</v>
      </c>
      <c r="AA59" s="11">
        <v>0.64</v>
      </c>
      <c r="AB59" s="11">
        <v>34</v>
      </c>
      <c r="AC59" s="11">
        <v>5</v>
      </c>
      <c r="AD59" s="11">
        <v>104</v>
      </c>
      <c r="AE59" s="11">
        <f>31.6/56.9</f>
        <v>0.55536028119507908</v>
      </c>
      <c r="AF59" s="11">
        <f>10.6/7.4</f>
        <v>1.4324324324324322</v>
      </c>
      <c r="AG59" s="11">
        <f>1/0.0073</f>
        <v>136.98630136986301</v>
      </c>
      <c r="AH59" s="11">
        <f>1/0.0106</f>
        <v>94.339622641509436</v>
      </c>
      <c r="AI59" s="11">
        <f t="shared" si="3"/>
        <v>1.452054794520548</v>
      </c>
      <c r="AJ59" s="11" t="s">
        <v>71</v>
      </c>
      <c r="AK59" s="11" t="s">
        <v>172</v>
      </c>
      <c r="AL59" s="11">
        <v>4</v>
      </c>
      <c r="AM59" s="11" t="s">
        <v>9</v>
      </c>
      <c r="AN59" s="11">
        <v>5</v>
      </c>
      <c r="AO59" s="11" t="s">
        <v>81</v>
      </c>
    </row>
    <row r="60" spans="1:41" s="11" customFormat="1" x14ac:dyDescent="0.3">
      <c r="A60" s="11" t="s">
        <v>136</v>
      </c>
      <c r="B60" s="11" t="s">
        <v>86</v>
      </c>
      <c r="C60" s="11" t="s">
        <v>165</v>
      </c>
      <c r="D60" s="11" t="s">
        <v>67</v>
      </c>
      <c r="E60" s="11" t="s">
        <v>25</v>
      </c>
      <c r="F60" s="12" t="s">
        <v>108</v>
      </c>
      <c r="G60" s="11" t="s">
        <v>80</v>
      </c>
      <c r="H60" s="11">
        <v>7</v>
      </c>
      <c r="I60" s="11">
        <v>71</v>
      </c>
      <c r="J60" s="11">
        <v>-78</v>
      </c>
      <c r="K60" s="11">
        <v>280</v>
      </c>
      <c r="L60" s="11">
        <v>30</v>
      </c>
      <c r="M60" s="11">
        <v>160</v>
      </c>
      <c r="N60" s="13">
        <v>30.8</v>
      </c>
      <c r="O60" s="11">
        <v>54.8</v>
      </c>
      <c r="P60" s="11">
        <v>27.8</v>
      </c>
      <c r="Q60" s="11">
        <v>0.62</v>
      </c>
      <c r="R60" s="11">
        <v>-45.3</v>
      </c>
      <c r="S60" s="11">
        <v>0.311602771</v>
      </c>
      <c r="T60" s="11">
        <v>0.56000363799999997</v>
      </c>
      <c r="U60" s="11">
        <v>192.91819760000001</v>
      </c>
      <c r="V60" s="11">
        <v>-98.290596010000002</v>
      </c>
      <c r="W60" s="11">
        <f t="shared" si="0"/>
        <v>-1.9627330124274827</v>
      </c>
      <c r="X60" s="11">
        <f t="shared" si="1"/>
        <v>8.4</v>
      </c>
      <c r="Y60" s="11">
        <v>2.8</v>
      </c>
      <c r="Z60" s="11">
        <v>-11.6</v>
      </c>
      <c r="AA60" s="11">
        <v>0.31</v>
      </c>
      <c r="AB60" s="11">
        <v>40</v>
      </c>
      <c r="AC60" s="11">
        <v>11</v>
      </c>
      <c r="AD60" s="11">
        <v>96</v>
      </c>
      <c r="AE60" s="11">
        <f>47.7/54.6</f>
        <v>0.87362637362637363</v>
      </c>
      <c r="AF60" s="11">
        <f>11.4/9.5</f>
        <v>1.2</v>
      </c>
      <c r="AG60" s="11">
        <f>1/0.0044</f>
        <v>227.27272727272725</v>
      </c>
      <c r="AH60" s="11">
        <f>1/0.0068</f>
        <v>147.05882352941177</v>
      </c>
      <c r="AI60" s="11">
        <f t="shared" si="3"/>
        <v>1.5454545454545452</v>
      </c>
      <c r="AJ60" s="11" t="s">
        <v>71</v>
      </c>
      <c r="AK60" s="11" t="s">
        <v>172</v>
      </c>
      <c r="AL60" s="11">
        <v>4</v>
      </c>
      <c r="AM60" s="11" t="s">
        <v>9</v>
      </c>
      <c r="AN60" s="11">
        <v>11</v>
      </c>
      <c r="AO60" s="11" t="s">
        <v>43</v>
      </c>
    </row>
    <row r="61" spans="1:41" s="11" customFormat="1" x14ac:dyDescent="0.3">
      <c r="A61" s="11" t="s">
        <v>109</v>
      </c>
      <c r="B61" s="11" t="s">
        <v>86</v>
      </c>
      <c r="C61" s="11" t="s">
        <v>166</v>
      </c>
      <c r="D61" s="11" t="s">
        <v>67</v>
      </c>
      <c r="E61" s="11" t="s">
        <v>25</v>
      </c>
      <c r="F61" s="16" t="s">
        <v>108</v>
      </c>
      <c r="G61" s="11" t="s">
        <v>111</v>
      </c>
      <c r="H61" s="11">
        <v>1</v>
      </c>
      <c r="I61" s="11">
        <v>93</v>
      </c>
      <c r="J61" s="11">
        <v>-72</v>
      </c>
      <c r="K61" s="11">
        <v>270</v>
      </c>
      <c r="L61" s="11">
        <v>30</v>
      </c>
      <c r="M61" s="11">
        <v>80</v>
      </c>
      <c r="N61" s="13">
        <v>67.3</v>
      </c>
      <c r="O61" s="11">
        <v>67.7</v>
      </c>
      <c r="P61" s="11">
        <v>36.6</v>
      </c>
      <c r="Q61" s="11">
        <v>0.69</v>
      </c>
      <c r="R61" s="11">
        <v>-59.9</v>
      </c>
      <c r="S61" s="11">
        <v>0.32904773999999998</v>
      </c>
      <c r="T61" s="11">
        <v>0.59841936799999995</v>
      </c>
      <c r="U61" s="11">
        <v>213.98046880000001</v>
      </c>
      <c r="V61" s="11">
        <v>-107.4481049</v>
      </c>
      <c r="W61" s="11">
        <f t="shared" si="0"/>
        <v>-1.9914773648092514</v>
      </c>
      <c r="X61" s="11">
        <f t="shared" si="1"/>
        <v>8.1</v>
      </c>
      <c r="Y61" s="11">
        <v>2.7</v>
      </c>
      <c r="Z61" s="11">
        <v>-15.7</v>
      </c>
      <c r="AA61" s="11">
        <v>0.27</v>
      </c>
      <c r="AB61" s="11">
        <v>14</v>
      </c>
      <c r="AC61" s="11">
        <v>3</v>
      </c>
      <c r="AD61" s="11">
        <v>72</v>
      </c>
      <c r="AE61" s="11">
        <f>60.8/66.1</f>
        <v>0.91981845688350983</v>
      </c>
      <c r="AF61" s="11">
        <f>13.7/12.6</f>
        <v>1.0873015873015872</v>
      </c>
      <c r="AG61" s="11">
        <f>1/0.005</f>
        <v>200</v>
      </c>
      <c r="AH61" s="11">
        <f>1/0.0076</f>
        <v>131.57894736842104</v>
      </c>
      <c r="AI61" s="11">
        <f t="shared" si="3"/>
        <v>1.5200000000000002</v>
      </c>
      <c r="AJ61" s="11" t="s">
        <v>71</v>
      </c>
      <c r="AK61" s="11" t="s">
        <v>172</v>
      </c>
      <c r="AL61" s="11">
        <v>4</v>
      </c>
      <c r="AM61" s="11" t="s">
        <v>9</v>
      </c>
      <c r="AN61" s="11">
        <v>3</v>
      </c>
      <c r="AO61" s="11" t="s">
        <v>40</v>
      </c>
    </row>
    <row r="62" spans="1:41" s="11" customFormat="1" x14ac:dyDescent="0.3">
      <c r="A62" s="11" t="s">
        <v>109</v>
      </c>
      <c r="B62" s="11" t="s">
        <v>86</v>
      </c>
      <c r="C62" s="11" t="s">
        <v>167</v>
      </c>
      <c r="D62" s="11" t="s">
        <v>67</v>
      </c>
      <c r="E62" s="11" t="s">
        <v>25</v>
      </c>
      <c r="F62" s="16" t="s">
        <v>108</v>
      </c>
      <c r="G62" s="11" t="s">
        <v>111</v>
      </c>
      <c r="H62" s="11">
        <v>1</v>
      </c>
      <c r="I62" s="11">
        <v>93</v>
      </c>
      <c r="J62" s="11">
        <v>-62</v>
      </c>
      <c r="K62" s="11">
        <v>120</v>
      </c>
      <c r="L62" s="11">
        <v>26</v>
      </c>
      <c r="M62" s="11">
        <v>80</v>
      </c>
      <c r="N62" s="13">
        <v>25.7</v>
      </c>
      <c r="O62" s="11">
        <v>70.3</v>
      </c>
      <c r="P62" s="11">
        <v>51.5</v>
      </c>
      <c r="Q62" s="11">
        <v>0.79</v>
      </c>
      <c r="R62" s="11">
        <v>-57</v>
      </c>
      <c r="S62" s="11">
        <v>0.391629159</v>
      </c>
      <c r="T62" s="11">
        <v>0.70782041500000004</v>
      </c>
      <c r="U62" s="11">
        <v>207.5702057</v>
      </c>
      <c r="V62" s="11">
        <v>-99.755950929999997</v>
      </c>
      <c r="W62" s="11">
        <f t="shared" si="0"/>
        <v>-2.0807801816821399</v>
      </c>
      <c r="X62" s="11">
        <f t="shared" si="1"/>
        <v>3.12</v>
      </c>
      <c r="Y62" s="11">
        <v>3</v>
      </c>
      <c r="Z62" s="11">
        <v>-11.4</v>
      </c>
      <c r="AA62" s="11">
        <v>0.2</v>
      </c>
      <c r="AB62" s="11">
        <v>18</v>
      </c>
      <c r="AC62" s="11">
        <v>11</v>
      </c>
      <c r="AD62" s="11">
        <v>86</v>
      </c>
      <c r="AE62" s="11">
        <f>58.4/70.8</f>
        <v>0.82485875706214695</v>
      </c>
      <c r="AF62" s="11">
        <f>13.1/9.2</f>
        <v>1.423913043478261</v>
      </c>
      <c r="AG62" s="11">
        <f>1/0.0054</f>
        <v>185.18518518518516</v>
      </c>
      <c r="AH62" s="11">
        <f>1/0.0083</f>
        <v>120.48192771084337</v>
      </c>
      <c r="AI62" s="11">
        <f t="shared" si="3"/>
        <v>1.537037037037037</v>
      </c>
      <c r="AJ62" s="11" t="s">
        <v>76</v>
      </c>
      <c r="AK62" s="11" t="s">
        <v>172</v>
      </c>
      <c r="AL62" s="11">
        <v>4</v>
      </c>
      <c r="AM62" s="11" t="s">
        <v>9</v>
      </c>
      <c r="AN62" s="11">
        <v>11</v>
      </c>
      <c r="AO62" s="11" t="s">
        <v>168</v>
      </c>
    </row>
    <row r="63" spans="1:41" x14ac:dyDescent="0.3">
      <c r="N63" s="3"/>
    </row>
    <row r="64" spans="1:41" s="7" customFormat="1" x14ac:dyDescent="0.3">
      <c r="N64" s="8"/>
    </row>
    <row r="65" spans="8:37" s="7" customFormat="1" x14ac:dyDescent="0.3">
      <c r="H65" s="9"/>
      <c r="I65" s="7" t="s">
        <v>173</v>
      </c>
      <c r="J65" s="7">
        <f>AVERAGE(J2,J3:J4,J5:J6,J7:J8,J9:J10)</f>
        <v>-66.777777777777771</v>
      </c>
      <c r="K65" s="7">
        <f>AVERAGE(K2,K3:K4,K5:K6,K7:K8,K9:K10)</f>
        <v>281.11111111111109</v>
      </c>
      <c r="L65" s="7">
        <f>AVERAGE(L2,L3:L4,L5:L6,L7:L8,L9:L10)</f>
        <v>26.777777777777779</v>
      </c>
      <c r="M65" s="7">
        <f>AVERAGE(M2,M3:M4,M5:M6,M7:M8,M9:M10)</f>
        <v>142.22222222222223</v>
      </c>
      <c r="N65" s="7">
        <f>AVERAGE(N2,N3:N4,N5:N6,N7:N8,N9:N10)</f>
        <v>45.722222222222221</v>
      </c>
      <c r="O65" s="7">
        <f>AVERAGE(O2,O3:O4,O5:O6,O7:O8,O9:O10)</f>
        <v>63.388888888888886</v>
      </c>
      <c r="P65" s="7">
        <f>AVERAGE(P2,P3:P4,P5:P6,P7:P8,P9:P10)</f>
        <v>51.533333333333331</v>
      </c>
      <c r="Q65" s="7">
        <f>AVERAGE(Q2,Q3:Q4,Q5:Q6,Q7:Q8,Q9:Q10)</f>
        <v>1.0499999999999998</v>
      </c>
      <c r="R65" s="7">
        <f>AVERAGE(R2,R3:R4,R5:R6,R7:R8,R9:R10)</f>
        <v>-42.977777777777774</v>
      </c>
      <c r="S65" s="7">
        <f>AVERAGE(S2,S3:S4,S5:S6,S7:S8,S9:S10)</f>
        <v>0.45069320688888886</v>
      </c>
      <c r="T65" s="7">
        <f>AVERAGE(T2,T3:T4,T5:T6,T7:T8,T9:T10)</f>
        <v>0.93407118311111104</v>
      </c>
      <c r="U65" s="7">
        <f>AVERAGE(U2,U3:U4,U5:U6,U7:U8,U9:U10)</f>
        <v>161.36101107777779</v>
      </c>
      <c r="V65" s="7">
        <f>AVERAGE(V2,V3:V4,V5:V6,V7:V8,V9:V10)</f>
        <v>-68.980216981111113</v>
      </c>
      <c r="W65" s="7">
        <f>AVERAGE(X2:X10)</f>
        <v>7.333333333333333</v>
      </c>
      <c r="X65" s="7">
        <f>AVERAGE(W2,W3:W4,W5:W6,W7:W8,W9:W10)</f>
        <v>-2.410489556678002</v>
      </c>
      <c r="Y65" s="7">
        <f>AVERAGE(Y2,Y3:Y4,Y5:Y6,Y7:Y8,Y9:Y10)</f>
        <v>4.1333333333333337</v>
      </c>
      <c r="Z65" s="7">
        <f>AVERAGE(Z2,Z3:Z4,Z5:Z6,Z7:Z8,Z9:Z10)</f>
        <v>-15.077777777777779</v>
      </c>
      <c r="AA65" s="7">
        <f>AVERAGE(AA2,AA3:AA4,AA5:AA6,AA7:AA8,AA9:AA10)</f>
        <v>0.93222222222222229</v>
      </c>
      <c r="AB65" s="7">
        <f>AVERAGE(AB2,AB3:AB4,AB5:AB6,AB7:AB8,AB9:AB10)</f>
        <v>26.222222222222221</v>
      </c>
      <c r="AC65" s="7">
        <f>AVERAGE(AC2,AC3:AC4,AC5:AC6,AC7:AC8,AC9:AC10)</f>
        <v>4.8888888888888893</v>
      </c>
      <c r="AD65" s="7">
        <f>AVERAGE(AD2,AD3:AD4,AD5:AD6,AD7:AD8,AD9:AD10)</f>
        <v>76.666666666666671</v>
      </c>
      <c r="AE65" s="7">
        <f>AVERAGE(AE2,AE3:AE4,AE5:AE6,AE7:AE8,AE9:AE10)</f>
        <v>0.78774096026369</v>
      </c>
      <c r="AF65" s="7">
        <f>AVERAGE(AF2,AF3:AF4,AF5:AF6,AF7:AF8,AF9:AF10)</f>
        <v>1.322833519730052</v>
      </c>
      <c r="AG65" s="7">
        <f>AVERAGE(AG2,AG3:AG4,AG5:AG6,AG7:AG8,AG9:AG10)</f>
        <v>142.99234883474014</v>
      </c>
      <c r="AH65" s="7">
        <f>AVERAGE(AH2,AH3:AH4,AH5:AH6,AH7:AH8,AH9:AH10)</f>
        <v>91.161032319178602</v>
      </c>
      <c r="AI65" s="7">
        <f>AVERAGE(AI2,AI3:AI4,AI5:AI6,AI7:AI8,AI9:AI10)</f>
        <v>1.5980430137495356</v>
      </c>
      <c r="AJ65" s="7" t="e">
        <f>AVERAGE(AJ2,AJ3:AJ4,AJ5:AJ6,AJ7:AJ8,AJ9:AJ10)</f>
        <v>#DIV/0!</v>
      </c>
    </row>
    <row r="66" spans="8:37" s="7" customFormat="1" x14ac:dyDescent="0.3">
      <c r="H66" s="9"/>
      <c r="I66" s="7" t="s">
        <v>15</v>
      </c>
      <c r="J66" s="7">
        <f>STDEV(J2,J3:J4,J5:J6,J7:J8,J9:J10)</f>
        <v>2.8625940062196111</v>
      </c>
      <c r="K66" s="7">
        <f>STDEV(K2,K3:K4,K5:K6,K7:K8,K9:K10)</f>
        <v>109.36686477681944</v>
      </c>
      <c r="L66" s="7">
        <f>STDEV(L2,L3:L4,L5:L6,L7:L8,L9:L10)</f>
        <v>6.1599062041921107</v>
      </c>
      <c r="M66" s="7">
        <f>STDEV(M2,M3:M4,M5:M6,M7:M8,M9:M10)</f>
        <v>49.441323247304425</v>
      </c>
      <c r="N66" s="7">
        <f>STDEV(N2,N3:N4,N5:N6,N7:N8,N9:N10)</f>
        <v>35.000313490659543</v>
      </c>
      <c r="O66" s="7">
        <f>STDEV(O2,O3:O4,O5:O6,O7:O8,O9:O10)</f>
        <v>7.6312588156287369</v>
      </c>
      <c r="P66" s="7">
        <f>STDEV(P2,P3:P4,P5:P6,P7:P8,P9:P10)</f>
        <v>25.37794317906792</v>
      </c>
      <c r="Q66" s="7">
        <f>STDEV(Q2,Q3:Q4,Q5:Q6,Q7:Q8,Q9:Q10)</f>
        <v>0.29899832775452206</v>
      </c>
      <c r="R66" s="7">
        <f>STDEV(R2,R3:R4,R5:R6,R7:R8,R9:R10)</f>
        <v>8.0494996393841252</v>
      </c>
      <c r="S66" s="7">
        <f>STDEV(S2,S3:S4,S5:S6,S7:S8,S9:S10)</f>
        <v>0.10251882193309747</v>
      </c>
      <c r="T66" s="7">
        <f>STDEV(T2,T3:T4,T5:T6,T7:T8,T9:T10)</f>
        <v>0.29635214420388117</v>
      </c>
      <c r="U66" s="7">
        <f>STDEV(U2,U3:U4,U5:U6,U7:U8,U9:U10)</f>
        <v>27.771323945003115</v>
      </c>
      <c r="V66" s="7">
        <f>STDEV(V2,V3:V4,V5:V6,V7:V8,V9:V10)</f>
        <v>18.503459642244987</v>
      </c>
      <c r="W66" s="7">
        <f>STDEV(X2:X10)</f>
        <v>3.0274246481126501</v>
      </c>
      <c r="X66" s="7">
        <f>STDEV(W2,W3:W4,W5:W6,W7:W8,W9:W10)</f>
        <v>0.37164426640250564</v>
      </c>
      <c r="Y66" s="7">
        <f>STDEV(Y2,Y3:Y4,Y5:Y6,Y7:Y8,Y9:Y10)</f>
        <v>1.0499999999999978</v>
      </c>
      <c r="Z66" s="7">
        <f>STDEV(Z2,Z3:Z4,Z5:Z6,Z7:Z8,Z9:Z10)</f>
        <v>3.3165410361465981</v>
      </c>
      <c r="AA66" s="7">
        <f>STDEV(AA2,AA3:AA4,AA5:AA6,AA7:AA8,AA9:AA10)</f>
        <v>0.42281135798893144</v>
      </c>
      <c r="AB66" s="7">
        <f>STDEV(AB2,AB3:AB4,AB5:AB6,AB7:AB8,AB9:AB10)</f>
        <v>23.883978823563808</v>
      </c>
      <c r="AC66" s="7">
        <f>STDEV(AC2,AC3:AC4,AC5:AC6,AC7:AC8,AC9:AC10)</f>
        <v>4.2262407777019888</v>
      </c>
      <c r="AD66" s="7">
        <f>STDEV(AD2,AD3:AD4,AD5:AD6,AD7:AD8,AD9:AD10)</f>
        <v>27.239676943752471</v>
      </c>
      <c r="AE66" s="7">
        <f>STDEV(AE2,AE3:AE4,AE5:AE6,AE7:AE8,AE9:AE10)</f>
        <v>7.843090951159061E-2</v>
      </c>
      <c r="AF66" s="7">
        <f>STDEV(AF2,AF3:AF4,AF5:AF6,AF7:AF8,AF9:AF10)</f>
        <v>0.20519456894320423</v>
      </c>
      <c r="AG66" s="7">
        <f>STDEV(AG2,AG3:AG4,AG5:AG6,AG7:AG8,AG9:AG10)</f>
        <v>28.198203808590854</v>
      </c>
      <c r="AH66" s="7">
        <f>STDEV(AH2,AH3:AH4,AH5:AH6,AH7:AH8,AH9:AH10)</f>
        <v>24.849332746194069</v>
      </c>
      <c r="AI66" s="7">
        <f>STDEV(AI2,AI3:AI4,AI5:AI6,AI7:AI8,AI9:AI10)</f>
        <v>0.17243032456500387</v>
      </c>
      <c r="AJ66" s="7" t="e">
        <f>STDEV(AJ2,AJ3:AJ4,AJ5:AJ6,AJ7:AJ8,AJ9:AJ10)</f>
        <v>#DIV/0!</v>
      </c>
    </row>
    <row r="67" spans="8:37" s="7" customFormat="1" x14ac:dyDescent="0.3">
      <c r="H67" s="9"/>
      <c r="I67" s="7" t="s">
        <v>16</v>
      </c>
      <c r="J67" s="7">
        <f>J66/SQRT(9)</f>
        <v>0.95419800207320371</v>
      </c>
      <c r="K67" s="7">
        <f t="shared" ref="K67:AJ67" si="4">K66/SQRT(9)</f>
        <v>36.455621592273147</v>
      </c>
      <c r="L67" s="7">
        <f t="shared" si="4"/>
        <v>2.053302068064037</v>
      </c>
      <c r="M67" s="7">
        <f t="shared" si="4"/>
        <v>16.480441082434808</v>
      </c>
      <c r="N67" s="7">
        <f t="shared" si="4"/>
        <v>11.666771163553181</v>
      </c>
      <c r="O67" s="7">
        <f t="shared" si="4"/>
        <v>2.5437529385429123</v>
      </c>
      <c r="P67" s="7">
        <f t="shared" si="4"/>
        <v>8.4593143930226393</v>
      </c>
      <c r="Q67" s="7">
        <f t="shared" si="4"/>
        <v>9.9666109251507359E-2</v>
      </c>
      <c r="R67" s="7">
        <f t="shared" si="4"/>
        <v>2.6831665464613752</v>
      </c>
      <c r="S67" s="7">
        <f t="shared" si="4"/>
        <v>3.4172940644365823E-2</v>
      </c>
      <c r="T67" s="7">
        <f t="shared" si="4"/>
        <v>9.8784048067960387E-2</v>
      </c>
      <c r="U67" s="7">
        <f t="shared" si="4"/>
        <v>9.2571079816677049</v>
      </c>
      <c r="V67" s="7">
        <f t="shared" si="4"/>
        <v>6.1678198807483291</v>
      </c>
      <c r="W67" s="7">
        <f>W66/SQRT(9)</f>
        <v>1.0091415493708833</v>
      </c>
      <c r="X67" s="7">
        <f t="shared" si="4"/>
        <v>0.12388142213416854</v>
      </c>
      <c r="Y67" s="7">
        <f t="shared" si="4"/>
        <v>0.34999999999999926</v>
      </c>
      <c r="Z67" s="7">
        <f t="shared" si="4"/>
        <v>1.1055136787155326</v>
      </c>
      <c r="AA67" s="7">
        <f t="shared" si="4"/>
        <v>0.14093711932964381</v>
      </c>
      <c r="AB67" s="7">
        <f t="shared" si="4"/>
        <v>7.9613262745212694</v>
      </c>
      <c r="AC67" s="7">
        <f t="shared" si="4"/>
        <v>1.4087469259006629</v>
      </c>
      <c r="AD67" s="7">
        <f t="shared" si="4"/>
        <v>9.079892314584157</v>
      </c>
      <c r="AE67" s="7">
        <f t="shared" si="4"/>
        <v>2.6143636503863536E-2</v>
      </c>
      <c r="AF67" s="7">
        <f t="shared" si="4"/>
        <v>6.8398189647734739E-2</v>
      </c>
      <c r="AG67" s="7">
        <f t="shared" si="4"/>
        <v>9.3994012695302853</v>
      </c>
      <c r="AH67" s="7">
        <f t="shared" si="4"/>
        <v>8.2831109153980229</v>
      </c>
      <c r="AI67" s="7">
        <f t="shared" si="4"/>
        <v>5.7476774855001293E-2</v>
      </c>
      <c r="AJ67" s="7" t="e">
        <f t="shared" si="4"/>
        <v>#DIV/0!</v>
      </c>
    </row>
    <row r="68" spans="8:37" s="7" customFormat="1" x14ac:dyDescent="0.3">
      <c r="H68" s="9"/>
    </row>
    <row r="69" spans="8:37" s="7" customFormat="1" x14ac:dyDescent="0.3">
      <c r="H69" s="9"/>
      <c r="I69" s="7" t="s">
        <v>174</v>
      </c>
      <c r="J69" s="7">
        <f>AVERAGE(J11:J13,J14:J14,J15,J16:J17,J18,J19:J20,J21)</f>
        <v>-71.090909090909093</v>
      </c>
      <c r="K69" s="7">
        <f>AVERAGE(K11:K13,K14:K14,K15,K16:K17,K18,K19:K20,K21)</f>
        <v>357.27272727272725</v>
      </c>
      <c r="L69" s="7">
        <f>AVERAGE(L11:L13,L14:L14,L15,L16:L17,L18,L19:L20,L21)</f>
        <v>27.181818181818183</v>
      </c>
      <c r="M69" s="7">
        <f>AVERAGE(M11:M13,M14:M14,M15,M16:M17,M18,M19:M20,M21)</f>
        <v>123.63636363636364</v>
      </c>
      <c r="N69" s="7">
        <f>AVERAGE(N11:N13,N14:N14,N15,N16:N17,N18,N19:N20,N21)</f>
        <v>54.872727272727275</v>
      </c>
      <c r="O69" s="7">
        <f>AVERAGE(O11:O13,O14:O14,O15,O16:O17,O18,O19:O20,O21)</f>
        <v>64.109090909090909</v>
      </c>
      <c r="P69" s="7">
        <f>AVERAGE(P11:P13,P14:P14,P15,P16:P17,P18,P19:P20,P21)</f>
        <v>43.127272727272725</v>
      </c>
      <c r="Q69" s="7">
        <f>AVERAGE(Q11:Q13,Q14:Q14,Q15,Q16:Q17,Q18,Q19:Q20,Q21)</f>
        <v>0.89727272727272722</v>
      </c>
      <c r="R69" s="7">
        <f>AVERAGE(R11:R13,R14:R14,R15,R16:R17,R18,R19:R20,R21)</f>
        <v>-42.509090909090908</v>
      </c>
      <c r="S69" s="7">
        <f>AVERAGE(S11:S13,S14:S14,S15,S16:S17,S18,S19:S20,S21)</f>
        <v>0.3837936520909091</v>
      </c>
      <c r="T69" s="7">
        <f>AVERAGE(T11:T13,T14:T14,T15,T16:T17,T18,T19:T20,T21)</f>
        <v>0.79105451427272733</v>
      </c>
      <c r="U69" s="7">
        <f>AVERAGE(U11:U13,U14:U14,U15,U16:U17,U18,U19:U20,U21)</f>
        <v>186.16474220909092</v>
      </c>
      <c r="V69" s="7">
        <f>AVERAGE(V11:V13,V14:V14,V15,V16:V17,V18,V19:V20,V21)</f>
        <v>-81.0739329909091</v>
      </c>
      <c r="W69" s="7">
        <f>AVERAGE(X11:X21)</f>
        <v>9.3454545454545457</v>
      </c>
      <c r="X69" s="7">
        <f>AVERAGE(W11:W13,W14:W14,W15,W16:W17,W18,W19:W20,W21)</f>
        <v>-2.3714916984927172</v>
      </c>
      <c r="Y69" s="7">
        <f>AVERAGE(Y11:Y13,Y14:Y14,Y15,Y16:Y17,Y18,Y19:Y20,Y21)</f>
        <v>3.663636363636364</v>
      </c>
      <c r="Z69" s="7">
        <f>AVERAGE(Z11:Z13,Z14:Z14,Z15,Z16:Z17,Z18,Z19:Z20,Z21)</f>
        <v>-14.418181818181818</v>
      </c>
      <c r="AA69" s="7">
        <f>AVERAGE(AA11:AA13,AA14:AA14,AA15,AA16:AA17,AA18,AA19:AA20,AA21)</f>
        <v>0.68000000000000016</v>
      </c>
      <c r="AB69" s="7">
        <f>AVERAGE(AB11:AB13,AB14:AB14,AB15,AB16:AB17,AB18,AB19:AB20,AB21)</f>
        <v>27.818181818181817</v>
      </c>
      <c r="AC69" s="7">
        <f>AVERAGE(AC11:AC13,AC14:AC14,AC15,AC16:AC17,AC18,AC19:AC20,AC21)</f>
        <v>8.6999999999999993</v>
      </c>
      <c r="AD69" s="7">
        <f>AVERAGE(AD11:AD13,AD14:AD14,AD15,AD16:AD17,AD18,AD19:AD20,AD21)</f>
        <v>80.909090909090907</v>
      </c>
      <c r="AE69" s="7">
        <f>AVERAGE(AE11:AE13,AE14:AE14,AE15,AE16:AE17,AE18,AE19:AE20,AE21)</f>
        <v>0.82005950396818372</v>
      </c>
      <c r="AF69" s="7">
        <f>AVERAGE(AF11:AF13,AF14:AF14,AF15,AF16:AF17,AF18,AF19:AF20,AF21)</f>
        <v>1.3399222284212664</v>
      </c>
      <c r="AG69" s="7">
        <f>AVERAGE(AG11:AG13,AG14:AG14,AG15,AG16:AG17,AG18,AG19:AG20,AG21)</f>
        <v>160.34955735991161</v>
      </c>
      <c r="AH69" s="7">
        <f>AVERAGE(AH11:AH13,AH14:AH14,AH15,AH16:AH17,AH18,AH19:AH20,AH21)</f>
        <v>98.807826425876769</v>
      </c>
      <c r="AI69" s="7">
        <f>AVERAGE(AI11:AI13,AI14:AI14,AI15,AI16:AI17,AI18,AI19:AI20,AI21)</f>
        <v>1.6777039087867214</v>
      </c>
      <c r="AJ69" s="7" t="e">
        <f>AVERAGE(AJ11:AJ13,AJ14:AJ14,AJ15,AJ16:AJ17,AJ18,AJ19:AJ20,AJ21)</f>
        <v>#DIV/0!</v>
      </c>
    </row>
    <row r="70" spans="8:37" s="7" customFormat="1" x14ac:dyDescent="0.3">
      <c r="H70" s="9"/>
      <c r="I70" s="7" t="s">
        <v>15</v>
      </c>
      <c r="J70" s="7">
        <f>STDEV(J11:J13,J14:J14,J15,J16:J17,J18,J19:J20,J21)</f>
        <v>6.7000678422616797</v>
      </c>
      <c r="K70" s="7">
        <f>STDEV(K11:K13,K14:K14,K15,K16:K17,K18,K19:K20,K21)</f>
        <v>209.00195736360507</v>
      </c>
      <c r="L70" s="7">
        <f>STDEV(L11:L13,L14:L14,L15,L16:L17,L18,L19:L20,L21)</f>
        <v>4.5126085985421334</v>
      </c>
      <c r="M70" s="7">
        <f>STDEV(M11:M13,M14:M14,M15,M16:M17,M18,M19:M20,M21)</f>
        <v>33.248376583745319</v>
      </c>
      <c r="N70" s="7">
        <f>STDEV(N11:N13,N14:N14,N15,N16:N17,N18,N19:N20,N21)</f>
        <v>45.019064648415132</v>
      </c>
      <c r="O70" s="7">
        <f>STDEV(O11:O13,O14:O14,O15,O16:O17,O18,O19:O20,O21)</f>
        <v>7.4785633039313968</v>
      </c>
      <c r="P70" s="7">
        <f>STDEV(P11:P13,P14:P14,P15,P16:P17,P18,P19:P20,P21)</f>
        <v>10.465762362015562</v>
      </c>
      <c r="Q70" s="7">
        <f>STDEV(Q11:Q13,Q14:Q14,Q15,Q16:Q17,Q18,Q19:Q20,Q21)</f>
        <v>0.18921368391799293</v>
      </c>
      <c r="R70" s="7">
        <f>STDEV(R11:R13,R14:R14,R15,R16:R17,R18,R19:R20,R21)</f>
        <v>5.3268104050086897</v>
      </c>
      <c r="S70" s="7">
        <f>STDEV(S11:S13,S14:S14,S15,S16:S17,S18,S19:S20,S21)</f>
        <v>6.1451252395948314E-2</v>
      </c>
      <c r="T70" s="7">
        <f>STDEV(T11:T13,T14:T14,T15,T16:T17,T18,T19:T20,T21)</f>
        <v>0.17748792533501068</v>
      </c>
      <c r="U70" s="7">
        <f>STDEV(U11:U13,U14:U14,U15,U16:U17,U18,U19:U20,U21)</f>
        <v>27.336148363682213</v>
      </c>
      <c r="V70" s="7">
        <f>STDEV(V11:V13,V14:V14,V15,V16:V17,V18,V19:V20,V21)</f>
        <v>21.674310773857073</v>
      </c>
      <c r="W70" s="7">
        <f>STDEV(X11:X21)</f>
        <v>5.1864137197804885</v>
      </c>
      <c r="X70" s="7">
        <f>STDEV(W11:W13,W14:W14,W15,W16:W17,W18,W19:W20,W21)</f>
        <v>0.33065271712811289</v>
      </c>
      <c r="Y70" s="7">
        <f>STDEV(Y11:Y13,Y14:Y14,Y15,Y16:Y17,Y18,Y19:Y20,Y21)</f>
        <v>0.93088423262264508</v>
      </c>
      <c r="Z70" s="7">
        <f>STDEV(Z11:Z13,Z14:Z14,Z15,Z16:Z17,Z18,Z19:Z20,Z21)</f>
        <v>3.2801884646520474</v>
      </c>
      <c r="AA70" s="7">
        <f>STDEV(AA11:AA13,AA14:AA14,AA15,AA16:AA17,AA18,AA19:AA20,AA21)</f>
        <v>0.42398113165564311</v>
      </c>
      <c r="AB70" s="7">
        <f>STDEV(AB11:AB13,AB14:AB14,AB15,AB16:AB17,AB18,AB19:AB20,AB21)</f>
        <v>11.914849405831212</v>
      </c>
      <c r="AC70" s="7">
        <f>STDEV(AC11:AC13,AC14:AC14,AC15,AC16:AC17,AC18,AC19:AC20,AC21)</f>
        <v>6.6340870593557266</v>
      </c>
      <c r="AD70" s="7">
        <f>STDEV(AD11:AD13,AD14:AD14,AD15,AD16:AD17,AD18,AD19:AD20,AD21)</f>
        <v>25.256502313085811</v>
      </c>
      <c r="AE70" s="7">
        <f>STDEV(AE11:AE13,AE14:AE14,AE15,AE16:AE17,AE18,AE19:AE20,AE21)</f>
        <v>6.2880638341461847E-2</v>
      </c>
      <c r="AF70" s="7">
        <f>STDEV(AF11:AF13,AF14:AF14,AF15,AF16:AF17,AF18,AF19:AF20,AF21)</f>
        <v>0.21490366455821538</v>
      </c>
      <c r="AG70" s="7">
        <f>STDEV(AG11:AG13,AG14:AG14,AG15,AG16:AG17,AG18,AG19:AG20,AG21)</f>
        <v>41.932923605635359</v>
      </c>
      <c r="AH70" s="7">
        <f>STDEV(AH11:AH13,AH14:AH14,AH15,AH16:AH17,AH18,AH19:AH20,AH21)</f>
        <v>36.1882926053703</v>
      </c>
      <c r="AI70" s="7">
        <f>STDEV(AI11:AI13,AI14:AI14,AI15,AI16:AI17,AI18,AI19:AI20,AI21)</f>
        <v>0.18810845478249277</v>
      </c>
      <c r="AJ70" s="7" t="e">
        <f>STDEV(AJ11:AJ13,AJ14:AJ14,AJ15,AJ16:AJ17,AJ18,AJ19:AJ20,AJ21)</f>
        <v>#DIV/0!</v>
      </c>
    </row>
    <row r="71" spans="8:37" s="7" customFormat="1" x14ac:dyDescent="0.3">
      <c r="I71" s="7" t="s">
        <v>16</v>
      </c>
      <c r="J71" s="7">
        <f>J70/SQRT(11)</f>
        <v>2.0201464638825546</v>
      </c>
      <c r="K71" s="7">
        <f t="shared" ref="K71:AK71" si="5">K70/SQRT(11)</f>
        <v>63.016461184084989</v>
      </c>
      <c r="L71" s="7">
        <f t="shared" si="5"/>
        <v>1.3606026860996161</v>
      </c>
      <c r="M71" s="7">
        <f t="shared" si="5"/>
        <v>10.024762728792883</v>
      </c>
      <c r="N71" s="7">
        <f t="shared" si="5"/>
        <v>13.573758713776911</v>
      </c>
      <c r="O71" s="7">
        <f t="shared" si="5"/>
        <v>2.254871677278278</v>
      </c>
      <c r="P71" s="7">
        <f t="shared" si="5"/>
        <v>3.1555460818026635</v>
      </c>
      <c r="Q71" s="7">
        <f t="shared" si="5"/>
        <v>5.705007225062602E-2</v>
      </c>
      <c r="R71" s="7">
        <f t="shared" si="5"/>
        <v>1.6060937675249918</v>
      </c>
      <c r="S71" s="7">
        <f t="shared" si="5"/>
        <v>1.8528249735889894E-2</v>
      </c>
      <c r="T71" s="7">
        <f t="shared" si="5"/>
        <v>5.3514623014076786E-2</v>
      </c>
      <c r="U71" s="7">
        <f t="shared" si="5"/>
        <v>8.2421588487110569</v>
      </c>
      <c r="V71" s="7">
        <f t="shared" si="5"/>
        <v>6.5350505842219544</v>
      </c>
      <c r="W71" s="7">
        <f>W70/SQRT(11)</f>
        <v>1.5637625741875756</v>
      </c>
      <c r="X71" s="7">
        <f t="shared" si="5"/>
        <v>9.9695545329588256E-2</v>
      </c>
      <c r="Y71" s="7">
        <f t="shared" si="5"/>
        <v>0.2806721566242934</v>
      </c>
      <c r="Z71" s="7">
        <f t="shared" si="5"/>
        <v>0.9890140344457089</v>
      </c>
      <c r="AA71" s="7">
        <f t="shared" si="5"/>
        <v>0.12783512108109477</v>
      </c>
      <c r="AB71" s="7">
        <f t="shared" si="5"/>
        <v>3.592462264793737</v>
      </c>
      <c r="AC71" s="7">
        <f t="shared" si="5"/>
        <v>2.0002525093122872</v>
      </c>
      <c r="AD71" s="7">
        <f t="shared" si="5"/>
        <v>7.6151219717499004</v>
      </c>
      <c r="AE71" s="7">
        <f t="shared" si="5"/>
        <v>1.8959225814242239E-2</v>
      </c>
      <c r="AF71" s="7">
        <f t="shared" si="5"/>
        <v>6.4795892855636208E-2</v>
      </c>
      <c r="AG71" s="7">
        <f t="shared" si="5"/>
        <v>12.64325217841176</v>
      </c>
      <c r="AH71" s="7">
        <f t="shared" si="5"/>
        <v>10.911180761418739</v>
      </c>
      <c r="AI71" s="7">
        <f t="shared" si="5"/>
        <v>5.6716833127914847E-2</v>
      </c>
      <c r="AJ71" s="7" t="e">
        <f t="shared" si="5"/>
        <v>#DIV/0!</v>
      </c>
      <c r="AK71" s="7">
        <f t="shared" si="5"/>
        <v>0</v>
      </c>
    </row>
    <row r="72" spans="8:37" s="7" customFormat="1" x14ac:dyDescent="0.3"/>
    <row r="73" spans="8:37" s="7" customFormat="1" x14ac:dyDescent="0.3"/>
    <row r="74" spans="8:37" s="7" customFormat="1" x14ac:dyDescent="0.3">
      <c r="H74" s="9"/>
      <c r="I74" s="7" t="s">
        <v>176</v>
      </c>
      <c r="J74" s="7">
        <f>AVERAGE(J23:J24,J22,J28,J25:J26,J27,J29,J30:J30,J31:J33,J34:J35,J36:J37,J38:J39,J40,J41:J43,J44)</f>
        <v>-68.913043478260875</v>
      </c>
      <c r="K74" s="7">
        <f>AVERAGE(K23:K24,K22,K28,K25:K26,K27,K29,K30:K30,K31:K33,K34:K35,K36:K37,K38:K39,K40,K41:K43,K44)</f>
        <v>274.13043478260869</v>
      </c>
      <c r="L74" s="7">
        <f>AVERAGE(L23:L24,L22,L28,L25:L26,L27,L29,L30:L30,L31:L33,L34:L35,L36:L37,L38:L39,L40,L41:L43,L44)</f>
        <v>28.826086956521738</v>
      </c>
      <c r="M74" s="7">
        <f>AVERAGE(M23:M24,M22,M28,M25:M26,M27,M29,M30:M30,M31:M33,M34:M35,M36:M37,M38:M39,M40,M41:M43,M44)</f>
        <v>166.95652173913044</v>
      </c>
      <c r="N74" s="7">
        <f>AVERAGE(N23:N24,N22,N28,N25:N26,N27,N29,N30:N30,N31:N33,N34:N35,N36:N37,N38:N39,N40,N41:N43,N44)</f>
        <v>89.960869565217394</v>
      </c>
      <c r="O74" s="7">
        <f>AVERAGE(O23:O24,O22,O28,O25:O26,O27,O29,O30:O30,O31:O33,O34:O35,O36:O37,O38:O39,O40,O41:O43,O44)</f>
        <v>60.77826086956523</v>
      </c>
      <c r="P74" s="7">
        <f>AVERAGE(P23:P24,P22,P28,P25:P26,P27,P29,P30:P30,P31:P33,P34:P35,P36:P37,P38:P39,P40,P41:P43,P44)</f>
        <v>34.612608695652177</v>
      </c>
      <c r="Q74" s="7">
        <f>AVERAGE(Q23:Q24,Q22,Q28,Q25:Q26,Q27,Q29,Q30:Q30,Q31:Q33,Q34:Q35,Q36:Q37,Q38:Q39,Q40,Q41:Q43,Q44)</f>
        <v>0.8178260869565217</v>
      </c>
      <c r="R74" s="7">
        <f>AVERAGE(R23:R24,R22,R28,R25:R26,R27,R29,R30:R30,R31:R33,R34:R35,R36:R37,R38:R39,R40,R41:R43,R44)</f>
        <v>-36.221739130434791</v>
      </c>
      <c r="S74" s="7">
        <f>AVERAGE(S23:S24,S22,S28,S25:S26,S27,S29,S30:S30,S31:S33,S34:S35,S36:S37,S38:S39,S40,S41:S43,S44)</f>
        <v>0.37183892721739126</v>
      </c>
      <c r="T74" s="7">
        <f>AVERAGE(T23:T24,T22,T28,T25:T26,T27,T29,T30:T30,T31:T33,T34:T35,T36:T37,T38:T39,T40,T41:T43,T44)</f>
        <v>0.69753779800000015</v>
      </c>
      <c r="U74" s="7">
        <f>AVERAGE(U23:U24,U22,U28,U25:U26,U27,U29,U30:U30,U31:U33,U34:U35,U36:U37,U38:U39,U40,U41:U43,U44)</f>
        <v>184.21757672608695</v>
      </c>
      <c r="V74" s="7">
        <f>AVERAGE(V23:V24,V22,V28,V25:V26,V27,V29,V30:V30,V31:V33,V34:V35,V36:V37,V38:V39,V40,V41:V43,V44)</f>
        <v>-87.573686184347821</v>
      </c>
      <c r="W74" s="7">
        <f>AVERAGE(X22:X44)</f>
        <v>7.7136956521739126</v>
      </c>
      <c r="X74" s="7">
        <f>AVERAGE(W23:W24,W22,W28,W25:W26,W27,W29,W30:W30,W31:W33,W34:W35,W36:W37,W38:W39,W40,W41:W43,W44)</f>
        <v>-2.1464955699029771</v>
      </c>
      <c r="Y74" s="7">
        <f>AVERAGE(Y23:Y24,Y22,Y28,Y25:Y26,Y27,Y29,Y30:Y30,Y31:Y33,Y34:Y35,Y36:Y37,Y38:Y39,Y40,Y41:Y43,Y44)</f>
        <v>3.3173913043478267</v>
      </c>
      <c r="Z74" s="7">
        <f>AVERAGE(Z23:Z24,Z22,Z28,Z25:Z26,Z27,Z29,Z30:Z30,Z31:Z33,Z34:Z35,Z36:Z37,Z38:Z39,Z40,Z41:Z43,Z44)</f>
        <v>-16.665217391304349</v>
      </c>
      <c r="AA74" s="7">
        <f>AVERAGE(AA23:AA24,AA22,AA28,AA25:AA26,AA27,AA29,AA30:AA30,AA31:AA33,AA34:AA35,AA36:AA37,AA38:AA39,AA40,AA41:AA43,AA44)</f>
        <v>0.56130434782608707</v>
      </c>
      <c r="AB74" s="7">
        <f>AVERAGE(AB23:AB24,AB22,AB28,AB25:AB26,AB27,AB29,AB30:AB30,AB31:AB33,AB34:AB35,AB36:AB37,AB38:AB39,AB40,AB41:AB43,AB44)</f>
        <v>22.608695652173914</v>
      </c>
      <c r="AC74" s="7">
        <f>AVERAGE(AC23:AC24,AC22,AC28,AC25:AC26,AC27,AC29,AC30:AC30,AC31:AC33,AC34:AC35,AC36:AC37,AC38:AC39,AC40,AC41:AC43,AC44)</f>
        <v>4.8095238095238093</v>
      </c>
      <c r="AD74" s="7">
        <f>AVERAGE(AD23:AD24,AD22,AD28,AD25:AD26,AD27,AD29,AD30:AD30,AD31:AD33,AD34:AD35,AD36:AD37,AD38:AD39,AD40,AD41:AD43,AD44)</f>
        <v>96.347826086956516</v>
      </c>
      <c r="AE74" s="7">
        <f>AVERAGE(AE23:AE24,AE22,AE28,AE25:AE26,AE27,AE29,AE30:AE30,AE31:AE33,AE34:AE35,AE36:AE37,AE38:AE39,AE40,AE41:AE43,AE44)</f>
        <v>0.76439395588084524</v>
      </c>
      <c r="AF74" s="7">
        <f>AVERAGE(AF23:AF24,AF22,AF28,AF25:AF26,AF27,AF29,AF30:AF30,AF31:AF33,AF34:AF35,AF36:AF37,AF38:AF39,AF40,AF41:AF43,AF44)</f>
        <v>1.2723378839704744</v>
      </c>
      <c r="AG74" s="7">
        <f>AVERAGE(AG23:AG24,AG22,AG28,AG25:AG26,AG27,AG29,AG30:AG30,AG31:AG33,AG34:AG35,AG36:AG37,AG38:AG39,AG40,AG41:AG43,AG44)</f>
        <v>157.79801350049854</v>
      </c>
      <c r="AH74" s="7">
        <f>AVERAGE(AH23:AH24,AH22,AH28,AH25:AH26,AH27,AH29,AH30:AH30,AH31:AH33,AH34:AH35,AH36:AH37,AH38:AH39,AH40,AH41:AH43,AH44)</f>
        <v>106.37812291621736</v>
      </c>
      <c r="AI74" s="7">
        <f>AVERAGE(AI23:AI24,AI22,AI28,AI25:AI26,AI27,AI29,AI30:AI30,AI31:AI33,AI34:AI35,AI36:AI37,AI38:AI39,AI40,AI41:AI43,AI44)</f>
        <v>1.5168393792905277</v>
      </c>
      <c r="AJ74" s="7" t="e">
        <f>AVERAGE(AJ23:AJ24,AJ22,AJ28,AJ25:AJ26,AJ27,AJ29,AJ30:AJ30,AJ31:AJ33,AJ34:AJ35,AJ36:AJ37,AJ38:AJ39,AJ40,AJ41:AJ43,AJ44)</f>
        <v>#DIV/0!</v>
      </c>
    </row>
    <row r="75" spans="8:37" s="7" customFormat="1" x14ac:dyDescent="0.3">
      <c r="H75" s="9"/>
      <c r="I75" s="7" t="s">
        <v>15</v>
      </c>
      <c r="J75" s="7">
        <f>STDEV(J23:J24,J22,J28,J25:J26,J27,J29,J30:J30,J31,J32:J33,J34:J35,J36:J37,J38:J39,J40,J41:J43,J44)</f>
        <v>5.8691260266078409</v>
      </c>
      <c r="K75" s="7">
        <f>STDEV(K23:K24,K22,K28,K25:K26,K27,K29,K30:K30,K31,K32:K33,K34:K35,K36:K37,K38:K39,K40,K41:K43,K44)</f>
        <v>79.123783545338895</v>
      </c>
      <c r="L75" s="7">
        <f>STDEV(L23:L24,L22,L28,L25:L26,L27,L29,L30:L30,L31,L32:L33,L34:L35,L36:L37,L38:L39,L40,L41:L43,L44)</f>
        <v>5.7497207356139874</v>
      </c>
      <c r="M75" s="7">
        <f>STDEV(M23:M24,M22,M28,M25:M26,M27,M29,M30:M30,M31,M32:M33,M34:M35,M36:M37,M38:M39,M40,M41:M43,M44)</f>
        <v>63.420299489609626</v>
      </c>
      <c r="N75" s="7">
        <f>STDEV(N23:N24,N22,N28,N25:N26,N27,N29,N30:N30,N31,N32:N33,N34:N35,N36:N37,N38:N39,N40,N41:N43,N44)</f>
        <v>102.70403081020741</v>
      </c>
      <c r="O75" s="7">
        <f>STDEV(O23:O24,O22,O28,O25:O26,O27,O29,O30:O30,O31,O32:O33,O34:O35,O36:O37,O38:O39,O40,O41:O43,O44)</f>
        <v>8.4170258470952923</v>
      </c>
      <c r="P75" s="7">
        <f>STDEV(P23:P24,P22,P28,P25:P26,P27,P29,P30:P30,P31,P32:P33,P34:P35,P36:P37,P38:P39,P40,P41:P43,P44)</f>
        <v>17.83611459355614</v>
      </c>
      <c r="Q75" s="7">
        <f>STDEV(Q23:Q24,Q22,Q28,Q25:Q26,Q27,Q29,Q30:Q30,Q31,Q32:Q33,Q34:Q35,Q36:Q37,Q38:Q39,Q40,Q41:Q43,Q44)</f>
        <v>0.19785110383451932</v>
      </c>
      <c r="R75" s="7">
        <f>STDEV(R23:R24,R22,R28,R25:R26,R27,R29,R30:R30,R31,R32:R33,R34:R35,R36:R37,R38:R39,R40,R41:R43,R44)</f>
        <v>8.0373535061859158</v>
      </c>
      <c r="S75" s="7">
        <f>STDEV(S23:S24,S22,S28,S25:S26,S27,S29,S30:S30,S31,S32:S33,S34:S35,S36:S37,S38:S39,S40,S41:S43,S44)</f>
        <v>6.8412904707894878E-2</v>
      </c>
      <c r="T75" s="7">
        <f>STDEV(T23:T24,T22,T28,T25:T26,T27,T29,T30:T30,T31,T32:T33,T34:T35,T36:T37,T38:T39,T40,T41:T43,T44)</f>
        <v>0.19966046548343652</v>
      </c>
      <c r="U75" s="7">
        <f>STDEV(U23:U24,U22,U28,U25:U26,U27,U29,U30:U30,U31,U32:U33,U34:U35,U36:U37,U38:U39,U40,U41:U43,U44)</f>
        <v>30.544548620734293</v>
      </c>
      <c r="V75" s="7">
        <f>STDEV(V23:V24,V22,V28,V25:V26,V27,V29,V30:V30,V31,V32:V33,V34:V35,V36:V37,V38:V39,V40,V41:V43,V44)</f>
        <v>19.162459699278351</v>
      </c>
      <c r="W75" s="7">
        <f>STDEV(X22:X44)</f>
        <v>2.1268853761221007</v>
      </c>
      <c r="X75" s="7">
        <f>STDEV(W23:W24,W22,W28,W25:W26,W27,W29,W30:W30,W31,W32:W33,W34:W35,W36:W37,W38:W39,W40,W41:W43,W44)</f>
        <v>0.3036581558437691</v>
      </c>
      <c r="Y75" s="7">
        <f>STDEV(Y23:Y24,Y22,Y28,Y25:Y26,Y27,Y29,Y30:Y30,Y31,Y32:Y33,Y34:Y35,Y36:Y37,Y38:Y39,Y40,Y41:Y43,Y44)</f>
        <v>0.72529127309656571</v>
      </c>
      <c r="Z75" s="7">
        <f>STDEV(Z23:Z24,Z22,Z28,Z25:Z26,Z27,Z29,Z30:Z30,Z31,Z32:Z33,Z34:Z35,Z36:Z37,Z38:Z39,Z40,Z41:Z43,Z44)</f>
        <v>3.3312035356680609</v>
      </c>
      <c r="AA75" s="7">
        <f>STDEV(AA23:AA24,AA22,AA28,AA25:AA26,AA27,AA29,AA30:AA30,AA31,AA32:AA33,AA34:AA35,AA36:AA37,AA38:AA39,AA40,AA41:AA43,AA44)</f>
        <v>0.37751946786437462</v>
      </c>
      <c r="AB75" s="7">
        <f>STDEV(AB23:AB24,AB22,AB28,AB25:AB26,AB27,AB29,AB30:AB30,AB31,AB32:AB33,AB34:AB35,AB36:AB37,AB38:AB39,AB40,AB41:AB43,AB44)</f>
        <v>17.750132215729813</v>
      </c>
      <c r="AC75" s="7">
        <f>STDEV(AC23:AC24,AC22,AC28,AC25:AC26,AC27,AC29,AC30:AC30,AC31,AC32:AC33,AC34:AC35,AC36:AC37,AC38:AC39,AC40,AC41:AC43,AC44)</f>
        <v>3.789710379686654</v>
      </c>
      <c r="AD75" s="7">
        <f>STDEV(AD23:AD24,AD22,AD28,AD25:AD26,AD27,AD29,AD30:AD30,AD31,AD32:AD33,AD34:AD35,AD36:AD37,AD38:AD39,AD40,AD41:AD43,AD44)</f>
        <v>29.441171999355806</v>
      </c>
      <c r="AE75" s="7">
        <f>STDEV(AE23:AE24,AE22,AE28,AE25:AE26,AE27,AE29,AE30:AE30,AE31,AE32:AE33,AE34:AE35,AE36:AE37,AE38:AE39,AE40,AE41:AE43,AE44)</f>
        <v>0.11117561887722223</v>
      </c>
      <c r="AF75" s="7">
        <f>STDEV(AF23:AF24,AF22,AF28,AF25:AF26,AF27,AF29,AF30:AF30,AF31,AF32:AF33,AF34:AF35,AF36:AF37,AF38:AF39,AF40,AF41:AF43,AF44)</f>
        <v>0.13663477218787637</v>
      </c>
      <c r="AG75" s="7">
        <f>STDEV(AG23:AG24,AG22,AG28,AG25:AG26,AG27,AG29,AG30:AG30,AG31,AG32:AG33,AG34:AG35,AG36:AG37,AG38:AG39,AG40,AG41:AG43,AG44)</f>
        <v>30.771611368858757</v>
      </c>
      <c r="AH75" s="7">
        <f>STDEV(AH23:AH24,AH22,AH28,AH25:AH26,AH27,AH29,AH30:AH30,AH31,AH32:AH33,AH34:AH35,AH36:AH37,AH38:AH39,AH40,AH41:AH43,AH44)</f>
        <v>25.875245001309132</v>
      </c>
      <c r="AI75" s="7">
        <f>STDEV(AI23:AI24,AI22,AI28,AI25:AI26,AI27,AI29,AI30:AI30,AI31,AI32:AI33,AI34:AI35,AI36:AI37,AI38:AI39,AI40,AI41:AI43,AI44)</f>
        <v>0.22011689445927787</v>
      </c>
      <c r="AJ75" s="7" t="e">
        <f>STDEV(AJ23:AJ24,AJ22,AJ28,AJ25:AJ26,AJ27,AJ29,AJ30:AJ30,AJ31,AJ32:AJ33,AJ34:AJ35,AJ36:AJ37,AJ38:AJ39,AJ40,AJ41:AJ43,AJ44)</f>
        <v>#DIV/0!</v>
      </c>
    </row>
    <row r="76" spans="8:37" s="7" customFormat="1" x14ac:dyDescent="0.3">
      <c r="H76" s="9"/>
      <c r="I76" s="7" t="s">
        <v>16</v>
      </c>
      <c r="J76" s="7">
        <f>J75/SQRT(23)</f>
        <v>1.2237973744652615</v>
      </c>
      <c r="K76" s="7">
        <f t="shared" ref="K76:AJ76" si="6">K75/SQRT(23)</f>
        <v>16.498449363935155</v>
      </c>
      <c r="L76" s="7">
        <f t="shared" si="6"/>
        <v>1.1988996501783635</v>
      </c>
      <c r="M76" s="7">
        <f t="shared" si="6"/>
        <v>13.224046587400149</v>
      </c>
      <c r="N76" s="7">
        <f t="shared" si="6"/>
        <v>21.415270805690152</v>
      </c>
      <c r="O76" s="7">
        <f t="shared" si="6"/>
        <v>1.7550712126103285</v>
      </c>
      <c r="P76" s="7">
        <f t="shared" si="6"/>
        <v>3.719086983530199</v>
      </c>
      <c r="Q76" s="7">
        <f t="shared" si="6"/>
        <v>4.1254806986600258E-2</v>
      </c>
      <c r="R76" s="7">
        <f t="shared" si="6"/>
        <v>1.6759040569119319</v>
      </c>
      <c r="S76" s="7">
        <f t="shared" si="6"/>
        <v>1.4265076739109194E-2</v>
      </c>
      <c r="T76" s="7">
        <f t="shared" si="6"/>
        <v>4.1632084970641574E-2</v>
      </c>
      <c r="U76" s="7">
        <f t="shared" si="6"/>
        <v>6.368978658290243</v>
      </c>
      <c r="V76" s="7">
        <f t="shared" si="6"/>
        <v>3.9956490560873346</v>
      </c>
      <c r="W76" s="7">
        <f>W75/SQRT(23)</f>
        <v>0.44348625796866092</v>
      </c>
      <c r="X76" s="7">
        <f t="shared" si="6"/>
        <v>6.3317102439415407E-2</v>
      </c>
      <c r="Y76" s="7">
        <f t="shared" si="6"/>
        <v>0.1512336848304402</v>
      </c>
      <c r="Z76" s="7">
        <f t="shared" si="6"/>
        <v>0.6946039533446815</v>
      </c>
      <c r="AA76" s="7">
        <f t="shared" si="6"/>
        <v>7.8718250636878748E-2</v>
      </c>
      <c r="AB76" s="7">
        <f t="shared" si="6"/>
        <v>3.7011584183985087</v>
      </c>
      <c r="AC76" s="7">
        <f t="shared" si="6"/>
        <v>0.79020923926637709</v>
      </c>
      <c r="AD76" s="7">
        <f t="shared" si="6"/>
        <v>6.1389087285992323</v>
      </c>
      <c r="AE76" s="7">
        <f t="shared" si="6"/>
        <v>2.3181719027616655E-2</v>
      </c>
      <c r="AF76" s="7">
        <f t="shared" si="6"/>
        <v>2.8490319462576939E-2</v>
      </c>
      <c r="AG76" s="7">
        <f t="shared" si="6"/>
        <v>6.4163245141696041</v>
      </c>
      <c r="AH76" s="7">
        <f t="shared" si="6"/>
        <v>5.3953615500312271</v>
      </c>
      <c r="AI76" s="7">
        <f t="shared" si="6"/>
        <v>4.5897545272239298E-2</v>
      </c>
      <c r="AJ76" s="7" t="e">
        <f t="shared" si="6"/>
        <v>#DIV/0!</v>
      </c>
    </row>
    <row r="77" spans="8:37" s="7" customFormat="1" x14ac:dyDescent="0.3">
      <c r="H77" s="9"/>
    </row>
    <row r="78" spans="8:37" s="7" customFormat="1" x14ac:dyDescent="0.3">
      <c r="H78" s="9"/>
      <c r="I78" s="7" t="s">
        <v>175</v>
      </c>
      <c r="J78" s="7">
        <f>AVERAGE(J61,J62,J45,J46,J47,J48,J49:J51,J52:J54,J55:J56,J57,J58,J59,J60)</f>
        <v>-66.833333333333329</v>
      </c>
      <c r="K78" s="7">
        <f>AVERAGE(K61,K62,K45,K46,K47,K48,K49:K51,K52:K54,K55:K56,K57,K58,K59,K60)</f>
        <v>258.88888888888891</v>
      </c>
      <c r="L78" s="7">
        <f>AVERAGE(L61,L62,L45,L46,L47,L48,L49:L51,L52:L54,L55:L56,L57,L58,L59,L60)</f>
        <v>29.277777777777779</v>
      </c>
      <c r="M78" s="7">
        <f>AVERAGE(M61,M62,M45,M46,M47,M48,M49:M51,M52:M54,M55:M56,M57,M58,M59,M60)</f>
        <v>144.44444444444446</v>
      </c>
      <c r="N78" s="7">
        <f>AVERAGE(N61,N62,N45,N46,N47,N48,N49:N51,N52:N54,N55:N56,N57,N58,N59,N60)</f>
        <v>56.672222222222217</v>
      </c>
      <c r="O78" s="7">
        <f>AVERAGE(O61,O62,O45,O46,O47,O48,O49:O51,O52:O54,O55:O56,O57,O58,O59,O60)</f>
        <v>61.894444444444439</v>
      </c>
      <c r="P78" s="7">
        <f>AVERAGE(P61,P62,P45,P46,P47,P48,P49:P51,P52:P54,P55:P56,P57,P58,P59,P60)</f>
        <v>40.605555555555554</v>
      </c>
      <c r="Q78" s="7">
        <f>AVERAGE(Q61,Q62,Q45,Q46,Q47,Q48,Q49:Q51,Q52:Q54,Q55:Q56,Q57,Q58,Q59,Q60)</f>
        <v>0.80611111111111111</v>
      </c>
      <c r="R78" s="7">
        <f>AVERAGE(R61,R62,R45,R46,R47,R48,R49:R51,R52:R54,R55:R56,R57,R58,R59,R60)</f>
        <v>-43.277777777777771</v>
      </c>
      <c r="S78" s="7">
        <f>AVERAGE(S61,S62,S45,S46,S47,S48,S49:S51,S52:S54,S55:S56,S57,S58,S59,S60)</f>
        <v>0.36030563044444441</v>
      </c>
      <c r="T78" s="7">
        <f>AVERAGE(T61,T62,T45,T46,T47,T48,T49:T51,T52:T54,T55:T56,T57,T58,T59,T60)</f>
        <v>0.74457622055555561</v>
      </c>
      <c r="U78" s="7">
        <f>AVERAGE(U61,U62,U45,U46,U47,U48,U49:U51,U52:U54,U55:U56,U57,U58,U59,U60)</f>
        <v>189.28422164999995</v>
      </c>
      <c r="V78" s="7">
        <f>AVERAGE(V61,V62,V45,V46,V47,V48,V49:V51,V52:V54,V55:V56,V57,V58,V59,V60)</f>
        <v>-85.376529484444461</v>
      </c>
      <c r="W78" s="7">
        <f>AVERAGE(X45:X62)</f>
        <v>7.4827777777777778</v>
      </c>
      <c r="X78" s="7">
        <f>AVERAGE(W61,W62,W45,W46,W47,W48,W49:W51,W52:W54,W55:W56,W57,W58,W59,W60)</f>
        <v>-2.2447433967152062</v>
      </c>
      <c r="Y78" s="7">
        <f>AVERAGE(Y61,Y62,Y45,Y46,Y47,Y48,Y49:Y51,Y52:Y54,Y55:Y56,Y57,Y58,Y59,Y60)</f>
        <v>3.2277777777777779</v>
      </c>
      <c r="Z78" s="7">
        <f>AVERAGE(Z61,Z62,Z45,Z46,Z47,Z48,Z49:Z51,Z52:Z54,Z55:Z56,Z57,Z58,Z59,Z60)</f>
        <v>-12.288888888888888</v>
      </c>
      <c r="AA78" s="7">
        <f>AVERAGE(AA61,AA62,AA45,AA46,AA47,AA48,AA49:AA51,AA52:AA54,AA55:AA56,AA57,AA58,AA59,AA60)</f>
        <v>0.63555555555555576</v>
      </c>
      <c r="AB78" s="7">
        <f>AVERAGE(AB61,AB62,AB45,AB46,AB47,AB48,AB49:AB51,AB52:AB54,AB55:AB56,AB57,AB58,AB59,AB60)</f>
        <v>20.777777777777779</v>
      </c>
      <c r="AC78" s="7">
        <f>AVERAGE(AC61,AC62,AC45,AC46,AC47,AC48,AC49:AC51,AC52:AC54,AC55:AC56,AC57,AC58,AC59,AC60)</f>
        <v>4.8235294117647056</v>
      </c>
      <c r="AD78" s="7">
        <f>AVERAGE(AD61,AD62,AD45,AD46,AD47,AD48,AD49:AD51,AD52:AD54,AD55:AD56,AD57,AD58,AD59,AD60)</f>
        <v>86.777777777777771</v>
      </c>
      <c r="AE78" s="7">
        <f>AVERAGE(AE61,AE62,AE45,AE46,AE47,AE48,AE49:AE51,AE52:AE54,AE55:AE56,AE57,AE58,AE59,AE60)</f>
        <v>0.8259355887765808</v>
      </c>
      <c r="AF78" s="7">
        <f>AVERAGE(AF61,AF62,AF45,AF46,AF47,AF48,AF49:AF51,AF52:AF54,AF55:AF56,AF57,AF58,AF59,AF60)</f>
        <v>1.2574599595576483</v>
      </c>
      <c r="AG78" s="7">
        <f>AVERAGE(AG61,AG62,AG45,AG46,AG47,AG48,AG49:AG51,AG52:AG54,AG55:AG56,AG57,AG58,AG59,AG60)</f>
        <v>175.29238233045334</v>
      </c>
      <c r="AH78" s="7">
        <f>AVERAGE(AH61,AH62,AH45,AH46,AH47,AH48,AH49:AH51,AH52:AH54,AH55:AH56,AH57,AH58,AH59,AH60)</f>
        <v>114.46665805513757</v>
      </c>
      <c r="AI78" s="7">
        <f>AVERAGE(AI61,AI62,AI45,AI46,AI47,AI48,AI49:AI51,AI52:AI54,AI55:AI56,AI57,AI58,AI59,AI60)</f>
        <v>1.5336352116144458</v>
      </c>
      <c r="AJ78" s="7" t="e">
        <f>AVERAGE(AJ61,AJ62,AJ45,AJ46,AJ47,AJ48,AJ49:AJ51,AJ52:AJ54,AJ55:AJ56,AJ57,AJ58,AJ59,AJ60)</f>
        <v>#DIV/0!</v>
      </c>
    </row>
    <row r="79" spans="8:37" s="7" customFormat="1" x14ac:dyDescent="0.3">
      <c r="H79" s="9"/>
      <c r="I79" s="7" t="s">
        <v>15</v>
      </c>
      <c r="J79" s="7">
        <f>STDEV(J61,J62,J45,J46,J47,J48,J49:J51,J52:J54,J55:J56,J57,J58,J59,J60)</f>
        <v>6.2989261456406442</v>
      </c>
      <c r="K79" s="7">
        <f>STDEV(K61,K62,K45,K46,K47,K48,K49:K51,K52:K54,K55:K56,K57,K58,K59,K60)</f>
        <v>88.775254162598628</v>
      </c>
      <c r="L79" s="7">
        <f>STDEV(L61,L62,L45,L46,L47,L48,L49:L51,L52:L54,L55:L56,L57,L58,L59,L60)</f>
        <v>6.3690940860631189</v>
      </c>
      <c r="M79" s="7">
        <f>STDEV(M61,M62,M45,M46,M47,M48,M49:M51,M52:M54,M55:M56,M57,M58,M59,M60)</f>
        <v>55.117225045642726</v>
      </c>
      <c r="N79" s="7">
        <f>STDEV(N61,N62,N45,N46,N47,N48,N49:N51,N52:N54,N55:N56,N57,N58,N59,N60)</f>
        <v>29.836176335124676</v>
      </c>
      <c r="O79" s="7">
        <f>STDEV(O61,O62,O45,O46,O47,O48,O49:O51,O52:O54,O55:O56,O57,O58,O59,O60)</f>
        <v>8.6483913650235635</v>
      </c>
      <c r="P79" s="7">
        <f>STDEV(P61,P62,P45,P46,P47,P48,P49:P51,P52:P54,P55:P56,P57,P58,P59,P60)</f>
        <v>15.308493306666771</v>
      </c>
      <c r="Q79" s="7">
        <f>STDEV(Q61,Q62,Q45,Q46,Q47,Q48,Q49:Q51,Q52:Q54,Q55:Q56,Q57,Q58,Q59,Q60)</f>
        <v>0.16663234940815427</v>
      </c>
      <c r="R79" s="7">
        <f>STDEV(R61,R62,R45,R46,R47,R48,R49:R51,R52:R54,R55:R56,R57,R58,R59,R60)</f>
        <v>9.7904849099134346</v>
      </c>
      <c r="S79" s="7">
        <f>STDEV(S61,S62,S45,S46,S47,S48,S49:S51,S52:S54,S55:S56,S57,S58,S59,S60)</f>
        <v>7.5871480594966179E-2</v>
      </c>
      <c r="T79" s="7">
        <f>STDEV(T61,T62,T45,T46,T47,T48,T49:T51,T52:T54,T55:T56,T57,T58,T59,T60)</f>
        <v>0.16384482270567596</v>
      </c>
      <c r="U79" s="7">
        <f>STDEV(U61,U62,U45,U46,U47,U48,U49:U51,U52:U54,U55:U56,U57,U58,U59,U60)</f>
        <v>34.016330965996417</v>
      </c>
      <c r="V79" s="7">
        <f>STDEV(V61,V62,V45,V46,V47,V48,V49:V51,V52:V54,V55:V56,V57,V58,V59,V60)</f>
        <v>19.47003928974566</v>
      </c>
      <c r="W79" s="7">
        <f>STDEV(X45:X62)</f>
        <v>2.7019182849043846</v>
      </c>
      <c r="X79" s="7">
        <f>STDEV(W61,W62,W45,W46,W47,W48,W49:W51,W52:W54,W55:W56,W57,W58,W59,W60)</f>
        <v>0.24179480418484645</v>
      </c>
      <c r="Y79" s="7">
        <f>STDEV(Y61,Y62,Y45,Y46,Y47,Y48,Y49:Y51,Y52:Y54,Y55:Y56,Y57,Y58,Y59,Y60)</f>
        <v>0.60078924126377387</v>
      </c>
      <c r="Z79" s="7">
        <f>STDEV(Z61,Z62,Z45,Z46,Z47,Z48,Z49:Z51,Z52:Z54,Z55:Z56,Z57,Z58,Z59,Z60)</f>
        <v>3.4087929360766021</v>
      </c>
      <c r="AA79" s="7">
        <f>STDEV(AA61,AA62,AA45,AA46,AA47,AA48,AA49:AA51,AA52:AA54,AA55:AA56,AA57,AA58,AA59,AA60)</f>
        <v>0.48589786172213556</v>
      </c>
      <c r="AB79" s="7">
        <f>STDEV(AB61,AB62,AB45,AB46,AB47,AB48,AB49:AB51,AB52:AB54,AB55:AB56,AB57,AB58,AB59,AB60)</f>
        <v>9.3340335871763376</v>
      </c>
      <c r="AC79" s="7">
        <f>STDEV(AC61,AC62,AC45,AC46,AC47,AC48,AC49:AC51,AC52:AC54,AC55:AC56,AC57,AC58,AC59,AC60)</f>
        <v>3.2061521742902168</v>
      </c>
      <c r="AD79" s="7">
        <f>STDEV(AD61,AD62,AD45,AD46,AD47,AD48,AD49:AD51,AD52:AD54,AD55:AD56,AD57,AD58,AD59,AD60)</f>
        <v>24.620784035768409</v>
      </c>
      <c r="AE79" s="7">
        <f>STDEV(AE61,AE62,AE45,AE46,AE47,AE48,AE49:AE51,AE52:AE54,AE55:AE56,AE57,AE58,AE59,AE60)</f>
        <v>0.1104706388123094</v>
      </c>
      <c r="AF79" s="7">
        <f>STDEV(AF61,AF62,AF45,AF46,AF47,AF48,AF49:AF51,AF52:AF54,AF55:AF56,AF57,AF58,AF59,AF60)</f>
        <v>0.16077614858029127</v>
      </c>
      <c r="AG79" s="7">
        <f>STDEV(AG61,AG62,AG45,AG46,AG47,AG48,AG49:AG51,AG52:AG54,AG55:AG56,AG57,AG58,AG59,AG60)</f>
        <v>38.60473675660446</v>
      </c>
      <c r="AH79" s="7">
        <f>STDEV(AH61,AH62,AH45,AH46,AH47,AH48,AH49:AH51,AH52:AH54,AH55:AH56,AH57,AH58,AH59,AH60)</f>
        <v>25.349861932688444</v>
      </c>
      <c r="AI79" s="7">
        <f>STDEV(AI61,AI62,AI45,AI46,AI47,AI48,AI49:AI51,AI52:AI54,AI55:AI56,AI57,AI58,AI59,AI60)</f>
        <v>0.15810459446074618</v>
      </c>
      <c r="AJ79" s="7" t="e">
        <f>STDEV(AJ61,AJ62,AJ45,AJ46,AJ47,AJ48,AJ49:AJ51,AJ52:AJ54,AJ55:AJ56,AJ57,AJ58,AJ59,AJ60)</f>
        <v>#DIV/0!</v>
      </c>
    </row>
    <row r="80" spans="8:37" s="7" customFormat="1" x14ac:dyDescent="0.3">
      <c r="H80" s="9"/>
      <c r="I80" s="7" t="s">
        <v>16</v>
      </c>
      <c r="J80" s="7">
        <f>J79/SQRT(18)</f>
        <v>1.4846711305919142</v>
      </c>
      <c r="K80" s="7">
        <f t="shared" ref="K80:AJ80" si="7">K79/SQRT(18)</f>
        <v>20.924528073310924</v>
      </c>
      <c r="L80" s="7">
        <f t="shared" si="7"/>
        <v>1.5012098727567893</v>
      </c>
      <c r="M80" s="7">
        <f t="shared" si="7"/>
        <v>12.99125452998633</v>
      </c>
      <c r="N80" s="7">
        <f t="shared" si="7"/>
        <v>7.0324542037480846</v>
      </c>
      <c r="O80" s="7">
        <f t="shared" si="7"/>
        <v>2.0384453935211146</v>
      </c>
      <c r="P80" s="7">
        <f t="shared" si="7"/>
        <v>3.6082464756309829</v>
      </c>
      <c r="Q80" s="7">
        <f t="shared" si="7"/>
        <v>3.927562141051736E-2</v>
      </c>
      <c r="R80" s="7">
        <f t="shared" si="7"/>
        <v>2.307639423634785</v>
      </c>
      <c r="S80" s="7">
        <f t="shared" si="7"/>
        <v>1.7883079475788047E-2</v>
      </c>
      <c r="T80" s="7">
        <f t="shared" si="7"/>
        <v>3.8618595065830368E-2</v>
      </c>
      <c r="U80" s="7">
        <f t="shared" si="7"/>
        <v>8.0177260990473371</v>
      </c>
      <c r="V80" s="7">
        <f t="shared" si="7"/>
        <v>4.5891322705825566</v>
      </c>
      <c r="W80" s="7">
        <f>W79/SQRT(18)</f>
        <v>0.63684824715593891</v>
      </c>
      <c r="X80" s="7">
        <f t="shared" si="7"/>
        <v>5.6991581898259445E-2</v>
      </c>
      <c r="Y80" s="7">
        <f t="shared" si="7"/>
        <v>0.14160738218717844</v>
      </c>
      <c r="Z80" s="7">
        <f t="shared" si="7"/>
        <v>0.80346020025352227</v>
      </c>
      <c r="AA80" s="7">
        <f t="shared" si="7"/>
        <v>0.11452722432925516</v>
      </c>
      <c r="AB80" s="7">
        <f t="shared" si="7"/>
        <v>2.2000528151051282</v>
      </c>
      <c r="AC80" s="7">
        <f t="shared" si="7"/>
        <v>0.75569731465220202</v>
      </c>
      <c r="AD80" s="7">
        <f t="shared" si="7"/>
        <v>5.8031744499404452</v>
      </c>
      <c r="AE80" s="7">
        <f t="shared" si="7"/>
        <v>2.6038179275397932E-2</v>
      </c>
      <c r="AF80" s="7">
        <f t="shared" si="7"/>
        <v>3.7895301638059958E-2</v>
      </c>
      <c r="AG80" s="7">
        <f t="shared" si="7"/>
        <v>9.0992237155055271</v>
      </c>
      <c r="AH80" s="7">
        <f t="shared" si="7"/>
        <v>5.9750197582489069</v>
      </c>
      <c r="AI80" s="7">
        <f t="shared" si="7"/>
        <v>3.7265610293314232E-2</v>
      </c>
      <c r="AJ80" s="7" t="e">
        <f t="shared" si="7"/>
        <v>#DIV/0!</v>
      </c>
    </row>
    <row r="81" spans="8:14" s="7" customFormat="1" x14ac:dyDescent="0.3">
      <c r="H81" s="9"/>
    </row>
    <row r="82" spans="8:14" s="7" customFormat="1" x14ac:dyDescent="0.3">
      <c r="H82" s="9"/>
    </row>
    <row r="83" spans="8:14" s="7" customFormat="1" x14ac:dyDescent="0.3"/>
    <row r="84" spans="8:14" s="7" customFormat="1" x14ac:dyDescent="0.3"/>
    <row r="85" spans="8:14" s="7" customFormat="1" x14ac:dyDescent="0.3"/>
    <row r="86" spans="8:14" s="7" customFormat="1" x14ac:dyDescent="0.3"/>
    <row r="87" spans="8:14" s="7" customFormat="1" x14ac:dyDescent="0.3"/>
    <row r="88" spans="8:14" s="7" customFormat="1" x14ac:dyDescent="0.3">
      <c r="J88" s="17"/>
    </row>
    <row r="89" spans="8:14" s="7" customFormat="1" x14ac:dyDescent="0.3">
      <c r="N89" s="8"/>
    </row>
    <row r="90" spans="8:14" s="7" customFormat="1" x14ac:dyDescent="0.3">
      <c r="N90" s="8"/>
    </row>
    <row r="91" spans="8:14" s="7" customFormat="1" x14ac:dyDescent="0.3">
      <c r="N91" s="8"/>
    </row>
    <row r="92" spans="8:14" s="7" customFormat="1" x14ac:dyDescent="0.3">
      <c r="N92" s="8"/>
    </row>
    <row r="93" spans="8:14" s="7" customFormat="1" x14ac:dyDescent="0.3">
      <c r="N93" s="8"/>
    </row>
    <row r="94" spans="8:14" x14ac:dyDescent="0.3">
      <c r="N94" s="3"/>
    </row>
    <row r="95" spans="8:14" x14ac:dyDescent="0.3">
      <c r="N95" s="2"/>
    </row>
    <row r="96" spans="8:14" x14ac:dyDescent="0.3">
      <c r="N96" s="2"/>
    </row>
    <row r="97" spans="6:14" x14ac:dyDescent="0.3">
      <c r="N97" s="2"/>
    </row>
    <row r="98" spans="6:14" x14ac:dyDescent="0.3">
      <c r="N98" s="2"/>
    </row>
    <row r="99" spans="6:14" x14ac:dyDescent="0.3">
      <c r="N99" s="2"/>
    </row>
    <row r="100" spans="6:14" x14ac:dyDescent="0.3">
      <c r="N100" s="2"/>
    </row>
    <row r="101" spans="6:14" x14ac:dyDescent="0.3">
      <c r="N101" s="2"/>
    </row>
    <row r="103" spans="6:14" x14ac:dyDescent="0.3">
      <c r="N103" s="2"/>
    </row>
    <row r="104" spans="6:14" x14ac:dyDescent="0.3">
      <c r="N104" s="3"/>
    </row>
    <row r="105" spans="6:14" x14ac:dyDescent="0.3">
      <c r="N105" s="3"/>
    </row>
    <row r="106" spans="6:14" x14ac:dyDescent="0.3">
      <c r="N106" s="3"/>
    </row>
    <row r="107" spans="6:14" x14ac:dyDescent="0.3">
      <c r="N107" s="3"/>
    </row>
    <row r="108" spans="6:14" x14ac:dyDescent="0.3">
      <c r="F108" s="14"/>
      <c r="N108" s="3"/>
    </row>
    <row r="109" spans="6:14" x14ac:dyDescent="0.3">
      <c r="F109" s="14"/>
      <c r="N109" s="3"/>
    </row>
    <row r="110" spans="6:14" x14ac:dyDescent="0.3">
      <c r="F110" s="14"/>
      <c r="N110" s="3"/>
    </row>
    <row r="111" spans="6:14" x14ac:dyDescent="0.3">
      <c r="F111" s="14"/>
    </row>
    <row r="112" spans="6:14" x14ac:dyDescent="0.3">
      <c r="F112" s="14"/>
      <c r="N112" s="3"/>
    </row>
    <row r="113" spans="4:41" x14ac:dyDescent="0.3">
      <c r="F113" s="14"/>
    </row>
    <row r="114" spans="4:41" x14ac:dyDescent="0.3">
      <c r="F114" s="14"/>
      <c r="N114" s="3"/>
    </row>
    <row r="115" spans="4:41" x14ac:dyDescent="0.3">
      <c r="F115" s="14"/>
      <c r="N115" s="3"/>
    </row>
    <row r="117" spans="4:41" x14ac:dyDescent="0.3">
      <c r="N117" s="3"/>
    </row>
    <row r="118" spans="4:41" x14ac:dyDescent="0.3">
      <c r="N118" s="3"/>
    </row>
    <row r="119" spans="4:41" x14ac:dyDescent="0.3">
      <c r="N119" s="3"/>
    </row>
    <row r="121" spans="4:41" x14ac:dyDescent="0.3">
      <c r="N121" s="3"/>
    </row>
    <row r="123" spans="4:41" x14ac:dyDescent="0.3">
      <c r="N123" s="3"/>
    </row>
    <row r="124" spans="4:41" x14ac:dyDescent="0.3">
      <c r="N124" s="3"/>
    </row>
    <row r="125" spans="4:41" x14ac:dyDescent="0.3">
      <c r="N125" s="3"/>
    </row>
    <row r="126" spans="4:41" x14ac:dyDescent="0.3">
      <c r="N126" s="3"/>
    </row>
    <row r="128" spans="4:41" x14ac:dyDescent="0.3">
      <c r="D128" s="4"/>
      <c r="F128" s="4"/>
      <c r="G128" s="4"/>
      <c r="H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</row>
    <row r="129" spans="4:41" x14ac:dyDescent="0.3">
      <c r="Y129" s="4"/>
      <c r="Z129" s="4"/>
      <c r="AA129" s="4"/>
      <c r="AB129" s="4"/>
      <c r="AD129" s="4"/>
      <c r="AE129" s="4"/>
      <c r="AF129" s="4"/>
      <c r="AG129" s="4"/>
      <c r="AH129" s="4"/>
      <c r="AI129" s="4"/>
    </row>
    <row r="130" spans="4:41" x14ac:dyDescent="0.3">
      <c r="D130" s="4"/>
      <c r="F130" s="4"/>
      <c r="G130" s="4"/>
      <c r="H130" s="4"/>
      <c r="J130" s="4"/>
      <c r="K130" s="4"/>
      <c r="L130" s="4"/>
      <c r="M130" s="4"/>
      <c r="N130" s="4"/>
      <c r="O130" s="4"/>
      <c r="P130" s="4"/>
      <c r="Q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</row>
    <row r="131" spans="4:41" x14ac:dyDescent="0.3">
      <c r="J131" s="5"/>
      <c r="K131" s="5"/>
      <c r="Q131" s="5"/>
      <c r="S131" s="5"/>
      <c r="T131" s="5"/>
      <c r="V131" s="5"/>
      <c r="Y131" s="5"/>
      <c r="Z131" s="5"/>
      <c r="AA131" s="5"/>
      <c r="AD131" s="5"/>
      <c r="AE131" s="5"/>
      <c r="AF131" s="6"/>
      <c r="AH131" s="5"/>
    </row>
    <row r="132" spans="4:41" x14ac:dyDescent="0.3">
      <c r="J132" s="6"/>
    </row>
    <row r="138" spans="4:41" x14ac:dyDescent="0.3">
      <c r="J138" s="3"/>
      <c r="L138" s="3"/>
    </row>
    <row r="139" spans="4:41" x14ac:dyDescent="0.3">
      <c r="J139" s="3"/>
      <c r="L139" s="3"/>
    </row>
    <row r="140" spans="4:41" x14ac:dyDescent="0.3">
      <c r="F140" s="18"/>
      <c r="J140" s="3"/>
      <c r="L140" s="3"/>
    </row>
    <row r="141" spans="4:41" x14ac:dyDescent="0.3">
      <c r="J141" s="3"/>
      <c r="L141" s="3"/>
    </row>
    <row r="142" spans="4:41" x14ac:dyDescent="0.3">
      <c r="J142" s="3"/>
      <c r="L142" s="3"/>
    </row>
    <row r="143" spans="4:41" x14ac:dyDescent="0.3">
      <c r="J143" s="3"/>
      <c r="L143" s="3"/>
    </row>
    <row r="144" spans="4:41" x14ac:dyDescent="0.3">
      <c r="J144" s="3"/>
      <c r="L144" s="3"/>
    </row>
    <row r="145" spans="5:12" x14ac:dyDescent="0.3">
      <c r="J145" s="3"/>
      <c r="L145" s="3"/>
    </row>
    <row r="146" spans="5:12" x14ac:dyDescent="0.3">
      <c r="E146" s="19"/>
      <c r="I146" s="19"/>
      <c r="J146" s="3"/>
      <c r="L146" s="3"/>
    </row>
    <row r="147" spans="5:12" x14ac:dyDescent="0.3">
      <c r="E147" s="19"/>
      <c r="I147" s="19"/>
      <c r="J147" s="3"/>
      <c r="L147" s="3"/>
    </row>
    <row r="148" spans="5:12" x14ac:dyDescent="0.3">
      <c r="E148" s="19"/>
      <c r="I148" s="19"/>
      <c r="J148" s="3"/>
      <c r="L148" s="3"/>
    </row>
    <row r="149" spans="5:12" x14ac:dyDescent="0.3">
      <c r="J149" s="3"/>
      <c r="L149" s="3"/>
    </row>
    <row r="150" spans="5:12" x14ac:dyDescent="0.3">
      <c r="J150" s="3"/>
      <c r="L150" s="3"/>
    </row>
    <row r="151" spans="5:12" x14ac:dyDescent="0.3">
      <c r="J151" s="3"/>
      <c r="L151" s="3"/>
    </row>
    <row r="152" spans="5:12" x14ac:dyDescent="0.3">
      <c r="J152" s="3"/>
      <c r="L152" s="3"/>
    </row>
    <row r="153" spans="5:12" x14ac:dyDescent="0.3">
      <c r="J153" s="3"/>
      <c r="L153" s="3"/>
    </row>
    <row r="154" spans="5:12" x14ac:dyDescent="0.3">
      <c r="J154" s="3"/>
      <c r="L154" s="3"/>
    </row>
    <row r="155" spans="5:12" x14ac:dyDescent="0.3">
      <c r="J155" s="3"/>
      <c r="L155" s="3"/>
    </row>
    <row r="156" spans="5:12" x14ac:dyDescent="0.3">
      <c r="J156" s="3"/>
      <c r="L156" s="3"/>
    </row>
    <row r="157" spans="5:12" x14ac:dyDescent="0.3">
      <c r="J157" s="3"/>
      <c r="L157" s="3"/>
    </row>
    <row r="158" spans="5:12" x14ac:dyDescent="0.3">
      <c r="J158" s="3"/>
      <c r="L158" s="3"/>
    </row>
    <row r="159" spans="5:12" x14ac:dyDescent="0.3">
      <c r="J159" s="3"/>
      <c r="L159" s="3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Memb props. No DTX VS DTX BC 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2025-07-12T14:14:04Z</dcterms:modified>
</cp:coreProperties>
</file>