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Volumes/mcnally/Elizabeth Junior Specialist/Sperm Paper/"/>
    </mc:Choice>
  </mc:AlternateContent>
  <xr:revisionPtr revIDLastSave="0" documentId="13_ncr:1_{2AD7FF77-3B05-114C-93C9-DBED7A14379B}" xr6:coauthVersionLast="47" xr6:coauthVersionMax="47" xr10:uidLastSave="{00000000-0000-0000-0000-000000000000}"/>
  <bookViews>
    <workbookView xWindow="3700" yWindow="1520" windowWidth="43900" windowHeight="22640" firstSheet="102" activeTab="29" xr2:uid="{00000000-000D-0000-FFFF-FFFF00000000}"/>
  </bookViews>
  <sheets>
    <sheet name="ctrl rnai N2 1_4" sheetId="79" r:id="rId1"/>
    <sheet name="ctrl rnai N2 1_7" sheetId="93" r:id="rId2"/>
    <sheet name="ctrl rnai N2 1_10" sheetId="98" r:id="rId3"/>
    <sheet name="ctrl rnai N2 1_15" sheetId="99" r:id="rId4"/>
    <sheet name="ctrl rnai N2 1_16" sheetId="95" r:id="rId5"/>
    <sheet name="ctrl rnai N2 4_2" sheetId="86" r:id="rId6"/>
    <sheet name="ctrl rnai N2 5_9" sheetId="88" r:id="rId7"/>
    <sheet name="ctrl rnai N2 4_8" sheetId="87" r:id="rId8"/>
    <sheet name="ctrl rnai N2 4_1" sheetId="85" r:id="rId9"/>
    <sheet name="ctrl rnai N2 1_5" sheetId="80" r:id="rId10"/>
    <sheet name="atx-2 rnai N2 1_7" sheetId="89" r:id="rId11"/>
    <sheet name="atx-2 rnai N2 1_17" sheetId="96" r:id="rId12"/>
    <sheet name="atx-2 rnai N2 1_18" sheetId="97" r:id="rId13"/>
    <sheet name="atx-2 rnai N2 1_22" sheetId="92" r:id="rId14"/>
    <sheet name="atx-2 rnai N2 1_20 " sheetId="91" r:id="rId15"/>
    <sheet name="atx-2 rnai N2 1_10" sheetId="90" r:id="rId16"/>
    <sheet name="atx-2 rnai N2 1_1" sheetId="81" r:id="rId17"/>
    <sheet name="atx-2 rnai N2 1_8" sheetId="83" r:id="rId18"/>
    <sheet name="atx-2 rnai N2 1_9" sheetId="84" r:id="rId19"/>
    <sheet name="atx-2 rnai N2 1_3" sheetId="82" r:id="rId20"/>
    <sheet name="ctrl rnai fm638 4_14" sheetId="71" r:id="rId21"/>
    <sheet name="ctrl rnai fm638 4_2" sheetId="69" r:id="rId22"/>
    <sheet name="ctrl rnai fm638 5_24" sheetId="64" r:id="rId23"/>
    <sheet name="ctrl rnai fm638 4_15" sheetId="73" r:id="rId24"/>
    <sheet name="ctrl rnai fm638 4_18" sheetId="76" r:id="rId25"/>
    <sheet name="ctrl rnai fm638 5_1" sheetId="78" r:id="rId26"/>
    <sheet name="ctrl rnai fm638 5_33" sheetId="65" r:id="rId27"/>
    <sheet name="ctrl rnai fm638 5_37" sheetId="66" r:id="rId28"/>
    <sheet name="ctrl rnai fm638 5_2" sheetId="67" r:id="rId29"/>
    <sheet name="atx-2 rnai fm638 1_1" sheetId="120" r:id="rId30"/>
    <sheet name="atx-2 rnai fm638 2_18" sheetId="74" r:id="rId31"/>
    <sheet name="atx-2 rnai fm638 2_21" sheetId="77" r:id="rId32"/>
    <sheet name="atx-2 rnai fm638 2_17" sheetId="75" r:id="rId33"/>
    <sheet name="atx-2 rnai fm638 2_15" sheetId="72" r:id="rId34"/>
    <sheet name="atx-2 rnai fm638 2_3" sheetId="70" r:id="rId35"/>
    <sheet name="atx-2 rnai in fm638 1_9" sheetId="61" r:id="rId36"/>
    <sheet name="atx-2 rnai fm638 1_7" sheetId="68" r:id="rId37"/>
    <sheet name="atx-2 rnai fm638 3_9" sheetId="63" r:id="rId38"/>
    <sheet name="atx-2 rnai fm638 2_11" sheetId="62" r:id="rId39"/>
    <sheet name="No aux young 956 5_11" sheetId="35" r:id="rId40"/>
    <sheet name="no aux yg fm956 4_6" sheetId="53" r:id="rId41"/>
    <sheet name="No aux young 956 5_12" sheetId="36" r:id="rId42"/>
    <sheet name="no aux yg fm956 4_9" sheetId="41" r:id="rId43"/>
    <sheet name="No aux yg fm956 5_2" sheetId="43" r:id="rId44"/>
    <sheet name="no aux yg fm956 5_8" sheetId="49" r:id="rId45"/>
    <sheet name="No aux young 956 2_1" sheetId="37" r:id="rId46"/>
    <sheet name="no aux yg fm956 4_3" sheetId="60" r:id="rId47"/>
    <sheet name="no aux yg fm956 4_4" sheetId="59" r:id="rId48"/>
    <sheet name="No aux young 956 3_1" sheetId="38" r:id="rId49"/>
    <sheet name="1hr aux yg fm956 1_7" sheetId="51" r:id="rId50"/>
    <sheet name="1hr aux yg fm956 2_12" sheetId="58" r:id="rId51"/>
    <sheet name="1hr aux yg fm956 2_13" sheetId="57" r:id="rId52"/>
    <sheet name="1hr aux yg fm956 2_4" sheetId="56" r:id="rId53"/>
    <sheet name="1hr aux yg fm956 2_1" sheetId="55" r:id="rId54"/>
    <sheet name="1hr aux yg fm956 1_15" sheetId="54" r:id="rId55"/>
    <sheet name="1hr aux yg fm956 1_11" sheetId="52" r:id="rId56"/>
    <sheet name="1hr auxin yg fm956 2_5" sheetId="39" r:id="rId57"/>
    <sheet name="1 hr auxin yg fm956 2_6" sheetId="40" r:id="rId58"/>
    <sheet name="1 hr aux yg fm956 2_8" sheetId="42" r:id="rId59"/>
    <sheet name="1 hr aux yg fm956 2_10" sheetId="45" r:id="rId60"/>
    <sheet name="1 hr aux yg fm956 3_1" sheetId="44" r:id="rId61"/>
    <sheet name="1 hr aux yg fm956 3_2" sheetId="46" r:id="rId62"/>
    <sheet name="1 hr aux yg fm956 3_6" sheetId="47" r:id="rId63"/>
    <sheet name="1hr aux yg fm956 3_7" sheetId="48" r:id="rId64"/>
    <sheet name="gfp rnai in fm956 1_5" sheetId="21" r:id="rId65"/>
    <sheet name="gfp rnai in fm956 1_2" sheetId="22" r:id="rId66"/>
    <sheet name="gfp rnai in fm956 1_8" sheetId="16" r:id="rId67"/>
    <sheet name="gfp rnai in fm956 2_5" sheetId="18" r:id="rId68"/>
    <sheet name="gfp rnai in fm956 4_5" sheetId="20" r:id="rId69"/>
    <sheet name="gfp rnai in fm956 4_11" sheetId="1" r:id="rId70"/>
    <sheet name="gfp rnai in fm956 4_12" sheetId="5" r:id="rId71"/>
    <sheet name="gfp rnai in fm956 4_14" sheetId="4" r:id="rId72"/>
    <sheet name="gfp rnai in fm956 5_6" sheetId="9" r:id="rId73"/>
    <sheet name="gfp rnai in fm956 1_12" sheetId="17" r:id="rId74"/>
    <sheet name="gfp rnai in fm638 1_4" sheetId="2" r:id="rId75"/>
    <sheet name="gfp rnai in fm638 2_11" sheetId="33" r:id="rId76"/>
    <sheet name="gfp rnai in fm638 3_1" sheetId="34" r:id="rId77"/>
    <sheet name="gfp rnai in fm638 2_1" sheetId="31" r:id="rId78"/>
    <sheet name="gfp rnai in fm638 1_14" sheetId="32" r:id="rId79"/>
    <sheet name="gfp rnai in fm638 2_4" sheetId="30" r:id="rId80"/>
    <sheet name="gfp rnai in fm638 1_9" sheetId="3" r:id="rId81"/>
    <sheet name="gfp rnai in fm638 2_5" sheetId="6" r:id="rId82"/>
    <sheet name="gfp rnai in fm638 2_10" sheetId="8" r:id="rId83"/>
    <sheet name="gfp rnai in fm638 1_1" sheetId="10" r:id="rId84"/>
    <sheet name="control rnai in fm956 5_5" sheetId="23" r:id="rId85"/>
    <sheet name="control rnai in fm956 4_14" sheetId="25" r:id="rId86"/>
    <sheet name="control rnai in fm956 4_10" sheetId="27" r:id="rId87"/>
    <sheet name="Control rnai in fm956 5_7" sheetId="24" r:id="rId88"/>
    <sheet name="Control rnai in fm956 4_24" sheetId="29" r:id="rId89"/>
    <sheet name="Control rnai in fm956 4_23" sheetId="28" r:id="rId90"/>
    <sheet name="Control rnai in fm956 4_27" sheetId="26" r:id="rId91"/>
    <sheet name="control rnai in fm956 5_8" sheetId="13" r:id="rId92"/>
    <sheet name="Control rnai in fm956 5_15" sheetId="14" r:id="rId93"/>
    <sheet name="Control rnai in fm956 4_6" sheetId="15" r:id="rId94"/>
    <sheet name="ctrl rnai old worms fm956 5_6" sheetId="108" r:id="rId95"/>
    <sheet name="ctrl rnai old worms fm956 4_19" sheetId="111" r:id="rId96"/>
    <sheet name="ctrl rnai old worms fm956 4_2" sheetId="116" r:id="rId97"/>
    <sheet name="ctrl rnai old worms fm956 4_6_ " sheetId="119" r:id="rId98"/>
    <sheet name="ctrl rnai old worms fm956 4_6" sheetId="115" r:id="rId99"/>
    <sheet name="ctrl rnai old worms fm956  4_5_" sheetId="114" r:id="rId100"/>
    <sheet name="ctrl rnai old worms fm956 4_8" sheetId="113" r:id="rId101"/>
    <sheet name="ctrl rnai old worms fm956 4_14" sheetId="112" r:id="rId102"/>
    <sheet name="ctrl rnai old worms fm956 4_20" sheetId="110" r:id="rId103"/>
    <sheet name="ctrl rnai old worms fm956 5_5" sheetId="109" r:id="rId104"/>
    <sheet name="klp-7 rnai fm956 2_23" sheetId="101" r:id="rId105"/>
    <sheet name="klp-7 rnai fm956 1_5" sheetId="118" r:id="rId106"/>
    <sheet name="klp-7 rnai fm956 1_3" sheetId="117" r:id="rId107"/>
    <sheet name="klp-7 rnai fm956 1_11" sheetId="107" r:id="rId108"/>
    <sheet name="klp-7 rnai fm956 2_11" sheetId="104" r:id="rId109"/>
    <sheet name="klp-7 rnai fm956 1_28" sheetId="105" r:id="rId110"/>
    <sheet name="klp-7 rnai fm956 1_20" sheetId="106" r:id="rId111"/>
    <sheet name="klp-7 rnai fm956 2_14" sheetId="103" r:id="rId112"/>
    <sheet name="klp-7 rnai fm956 2_18" sheetId="102" r:id="rId113"/>
    <sheet name="klp-7 rnai fm956 3_8" sheetId="100" r:id="rId1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0" l="1"/>
  <c r="D5" i="120"/>
  <c r="E5" i="120"/>
  <c r="F5" i="120"/>
  <c r="G5" i="120"/>
  <c r="H5" i="120"/>
  <c r="I5" i="120"/>
  <c r="C7" i="120"/>
  <c r="D7" i="120"/>
  <c r="E7" i="120"/>
  <c r="F7" i="120"/>
  <c r="G7" i="120"/>
  <c r="H7" i="120"/>
  <c r="I7" i="120"/>
  <c r="C11" i="120"/>
  <c r="D11" i="120"/>
  <c r="E11" i="120"/>
  <c r="F11" i="120"/>
  <c r="C13" i="120"/>
  <c r="D13" i="120"/>
  <c r="E13" i="120"/>
  <c r="F13" i="120"/>
  <c r="C17" i="120"/>
  <c r="D17" i="120"/>
  <c r="C19" i="120"/>
  <c r="D19" i="120"/>
  <c r="C23" i="120"/>
  <c r="D23" i="120"/>
  <c r="E23" i="120"/>
  <c r="C25" i="120"/>
  <c r="D25" i="120"/>
  <c r="E25" i="120"/>
  <c r="C29" i="120"/>
  <c r="D29" i="120"/>
  <c r="E29" i="120"/>
  <c r="F29" i="120"/>
  <c r="G29" i="120"/>
  <c r="H29" i="120"/>
  <c r="H32" i="120" s="1"/>
  <c r="I29" i="120"/>
  <c r="I32" i="120" s="1"/>
  <c r="J29" i="120"/>
  <c r="K29" i="120"/>
  <c r="L29" i="120"/>
  <c r="L32" i="120" s="1"/>
  <c r="M29" i="120"/>
  <c r="M32" i="120" s="1"/>
  <c r="N29" i="120"/>
  <c r="O29" i="120"/>
  <c r="P29" i="120"/>
  <c r="P32" i="120" s="1"/>
  <c r="Q29" i="120"/>
  <c r="Q32" i="120" s="1"/>
  <c r="R29" i="120"/>
  <c r="C31" i="120"/>
  <c r="D31" i="120"/>
  <c r="E31" i="120"/>
  <c r="F31" i="120"/>
  <c r="G31" i="120"/>
  <c r="H31" i="120"/>
  <c r="I31" i="120"/>
  <c r="J31" i="120"/>
  <c r="K31" i="120"/>
  <c r="L31" i="120"/>
  <c r="M31" i="120"/>
  <c r="N31" i="120"/>
  <c r="O31" i="120"/>
  <c r="P31" i="120"/>
  <c r="Q31" i="120"/>
  <c r="R31" i="120"/>
  <c r="J32" i="120"/>
  <c r="K32" i="120"/>
  <c r="N32" i="120"/>
  <c r="O32" i="120"/>
  <c r="R32" i="120"/>
  <c r="C36" i="120"/>
  <c r="D36" i="120"/>
  <c r="E36" i="120"/>
  <c r="F36" i="120"/>
  <c r="G36" i="120"/>
  <c r="H36" i="120"/>
  <c r="I36" i="120"/>
  <c r="J36" i="120"/>
  <c r="K36" i="120"/>
  <c r="L36" i="120"/>
  <c r="M36" i="120"/>
  <c r="N36" i="120"/>
  <c r="O36" i="120"/>
  <c r="P36" i="120"/>
  <c r="Q36" i="120"/>
  <c r="R36" i="120"/>
  <c r="S36" i="120"/>
  <c r="T36" i="120"/>
  <c r="U36" i="120"/>
  <c r="V36" i="120"/>
  <c r="C38" i="120"/>
  <c r="D38" i="120"/>
  <c r="E38" i="120"/>
  <c r="F38" i="120"/>
  <c r="G38" i="120"/>
  <c r="H38" i="120"/>
  <c r="I38" i="120"/>
  <c r="J38" i="120"/>
  <c r="K38" i="120"/>
  <c r="L38" i="120"/>
  <c r="M38" i="120"/>
  <c r="N38" i="120"/>
  <c r="O38" i="120"/>
  <c r="P38" i="120"/>
  <c r="Q38" i="120"/>
  <c r="R38" i="120"/>
  <c r="S38" i="120"/>
  <c r="T38" i="120"/>
  <c r="U38" i="120"/>
  <c r="V38" i="120"/>
  <c r="G39" i="120"/>
  <c r="H39" i="120"/>
  <c r="I39" i="120"/>
  <c r="J39" i="120"/>
  <c r="K39" i="120"/>
  <c r="L39" i="120"/>
  <c r="M39" i="120"/>
  <c r="N39" i="120"/>
  <c r="O39" i="120"/>
  <c r="P39" i="120"/>
  <c r="Q39" i="120"/>
  <c r="R39" i="120"/>
  <c r="S39" i="120"/>
  <c r="T39" i="120"/>
  <c r="U39" i="120"/>
  <c r="V39" i="120"/>
  <c r="C42" i="120"/>
  <c r="B67" i="120" s="1"/>
  <c r="D42" i="120"/>
  <c r="E42" i="120"/>
  <c r="F42" i="120"/>
  <c r="G42" i="120"/>
  <c r="H42" i="120"/>
  <c r="J42" i="120"/>
  <c r="K42" i="120"/>
  <c r="L42" i="120"/>
  <c r="M42" i="120"/>
  <c r="N42" i="120"/>
  <c r="O42" i="120"/>
  <c r="O44" i="120" s="1"/>
  <c r="P42" i="120"/>
  <c r="Q42" i="120"/>
  <c r="R42" i="120"/>
  <c r="S42" i="120"/>
  <c r="T42" i="120"/>
  <c r="U42" i="120"/>
  <c r="J44" i="120"/>
  <c r="K44" i="120"/>
  <c r="L44" i="120"/>
  <c r="M44" i="120"/>
  <c r="N44" i="120"/>
  <c r="P44" i="120"/>
  <c r="Q44" i="120"/>
  <c r="R44" i="120"/>
  <c r="S44" i="120"/>
  <c r="T44" i="120"/>
  <c r="U44" i="120"/>
  <c r="C48" i="120"/>
  <c r="D48" i="120"/>
  <c r="E48" i="120"/>
  <c r="F48" i="120"/>
  <c r="H48" i="120"/>
  <c r="I48" i="120"/>
  <c r="J48" i="120"/>
  <c r="K48" i="120"/>
  <c r="L48" i="120"/>
  <c r="M48" i="120"/>
  <c r="N48" i="120"/>
  <c r="O48" i="120"/>
  <c r="P48" i="120"/>
  <c r="Q48" i="120"/>
  <c r="R48" i="120"/>
  <c r="S48" i="120"/>
  <c r="T48" i="120"/>
  <c r="U48" i="120"/>
  <c r="V48" i="120"/>
  <c r="W48" i="120"/>
  <c r="C50" i="120"/>
  <c r="D50" i="120"/>
  <c r="E50" i="120"/>
  <c r="F50" i="120"/>
  <c r="H50" i="120"/>
  <c r="I50" i="120"/>
  <c r="J50" i="120"/>
  <c r="K50" i="120"/>
  <c r="L50" i="120"/>
  <c r="M50" i="120"/>
  <c r="N50" i="120"/>
  <c r="O50" i="120"/>
  <c r="P50" i="120"/>
  <c r="Q50" i="120"/>
  <c r="R50" i="120"/>
  <c r="S50" i="120"/>
  <c r="T50" i="120"/>
  <c r="U50" i="120"/>
  <c r="V50" i="120"/>
  <c r="W50" i="120"/>
  <c r="H51" i="120"/>
  <c r="I51" i="120"/>
  <c r="J51" i="120"/>
  <c r="K51" i="120"/>
  <c r="L51" i="120"/>
  <c r="M51" i="120"/>
  <c r="N51" i="120"/>
  <c r="O51" i="120"/>
  <c r="P51" i="120"/>
  <c r="Q51" i="120"/>
  <c r="R51" i="120"/>
  <c r="S51" i="120"/>
  <c r="T51" i="120"/>
  <c r="U51" i="120"/>
  <c r="V51" i="120"/>
  <c r="W51" i="120"/>
  <c r="C56" i="120"/>
  <c r="D56" i="120"/>
  <c r="E56" i="120"/>
  <c r="E59" i="120" s="1"/>
  <c r="F56" i="120"/>
  <c r="G56" i="120"/>
  <c r="H56" i="120"/>
  <c r="H59" i="120" s="1"/>
  <c r="I56" i="120"/>
  <c r="I59" i="120" s="1"/>
  <c r="J56" i="120"/>
  <c r="C58" i="120"/>
  <c r="D58" i="120"/>
  <c r="E58" i="120"/>
  <c r="F58" i="120"/>
  <c r="G58" i="120"/>
  <c r="H58" i="120"/>
  <c r="I58" i="120"/>
  <c r="J58" i="120"/>
  <c r="F59" i="120"/>
  <c r="G59" i="120"/>
  <c r="J59" i="120"/>
  <c r="C63" i="120"/>
  <c r="D63" i="120"/>
  <c r="E63" i="120"/>
  <c r="F63" i="120"/>
  <c r="G63" i="120"/>
  <c r="G66" i="120" s="1"/>
  <c r="H63" i="120"/>
  <c r="I63" i="120"/>
  <c r="J63" i="120"/>
  <c r="K63" i="120"/>
  <c r="K66" i="120" s="1"/>
  <c r="C65" i="120"/>
  <c r="D65" i="120"/>
  <c r="E65" i="120"/>
  <c r="F65" i="120"/>
  <c r="G65" i="120"/>
  <c r="H65" i="120"/>
  <c r="I65" i="120"/>
  <c r="J65" i="120"/>
  <c r="K65" i="120"/>
  <c r="D66" i="120"/>
  <c r="E66" i="120"/>
  <c r="F66" i="120"/>
  <c r="H66" i="120"/>
  <c r="I66" i="120"/>
  <c r="J66" i="120"/>
  <c r="C20" i="120" l="1"/>
  <c r="D20" i="120"/>
  <c r="E14" i="120"/>
  <c r="F14" i="120"/>
  <c r="C8" i="119"/>
  <c r="E4" i="119" s="1"/>
  <c r="D8" i="119"/>
  <c r="E8" i="119"/>
  <c r="F8" i="119"/>
  <c r="G8" i="119"/>
  <c r="H8" i="119"/>
  <c r="I8" i="119"/>
  <c r="J8" i="119"/>
  <c r="K8" i="119"/>
  <c r="L8" i="119"/>
  <c r="M8" i="119"/>
  <c r="N8" i="119"/>
  <c r="O8" i="119"/>
  <c r="P8" i="119"/>
  <c r="Q8" i="119"/>
  <c r="R8" i="119"/>
  <c r="S8" i="119"/>
  <c r="T8" i="119"/>
  <c r="U8" i="119"/>
  <c r="U10" i="119" s="1"/>
  <c r="V8" i="119"/>
  <c r="W8" i="119"/>
  <c r="X8" i="119"/>
  <c r="Y8" i="119"/>
  <c r="Z8" i="119"/>
  <c r="C14" i="119"/>
  <c r="D14" i="119"/>
  <c r="E14" i="119"/>
  <c r="E17" i="119" s="1"/>
  <c r="F14" i="119"/>
  <c r="G14" i="119"/>
  <c r="G17" i="119" s="1"/>
  <c r="H14" i="119"/>
  <c r="I14" i="119"/>
  <c r="I17" i="119" s="1"/>
  <c r="J14" i="119"/>
  <c r="K14" i="119"/>
  <c r="K17" i="119" s="1"/>
  <c r="C16" i="119"/>
  <c r="D16" i="119"/>
  <c r="E16" i="119"/>
  <c r="F16" i="119"/>
  <c r="G16" i="119"/>
  <c r="H16" i="119"/>
  <c r="I16" i="119"/>
  <c r="J16" i="119"/>
  <c r="K16" i="119"/>
  <c r="C21" i="119"/>
  <c r="D21" i="119"/>
  <c r="E21" i="119"/>
  <c r="F21" i="119"/>
  <c r="C23" i="119"/>
  <c r="D23" i="119"/>
  <c r="E23" i="119"/>
  <c r="F23" i="119"/>
  <c r="C28" i="119"/>
  <c r="D28" i="119"/>
  <c r="E28" i="119"/>
  <c r="F28" i="119"/>
  <c r="G28" i="119"/>
  <c r="G31" i="119" s="1"/>
  <c r="H28" i="119"/>
  <c r="I28" i="119"/>
  <c r="J28" i="119"/>
  <c r="K28" i="119"/>
  <c r="K31" i="119" s="1"/>
  <c r="L28" i="119"/>
  <c r="C30" i="119"/>
  <c r="D30" i="119"/>
  <c r="E30" i="119"/>
  <c r="F30" i="119"/>
  <c r="G30" i="119"/>
  <c r="H30" i="119"/>
  <c r="I30" i="119"/>
  <c r="J30" i="119"/>
  <c r="K30" i="119"/>
  <c r="L30" i="119"/>
  <c r="C35" i="119"/>
  <c r="C38" i="119" s="1"/>
  <c r="D35" i="119"/>
  <c r="E35" i="119"/>
  <c r="C37" i="119"/>
  <c r="D37" i="119"/>
  <c r="E37" i="119"/>
  <c r="C42" i="119"/>
  <c r="D42" i="119"/>
  <c r="C44" i="119"/>
  <c r="D44" i="119"/>
  <c r="C8" i="118"/>
  <c r="E4" i="118" s="1"/>
  <c r="D8" i="118"/>
  <c r="E8" i="118"/>
  <c r="F8" i="118"/>
  <c r="G8" i="118"/>
  <c r="H8" i="118"/>
  <c r="H10" i="118" s="1"/>
  <c r="I8" i="118"/>
  <c r="I10" i="118" s="1"/>
  <c r="J8" i="118"/>
  <c r="K8" i="118"/>
  <c r="L8" i="118"/>
  <c r="L10" i="118" s="1"/>
  <c r="M8" i="118"/>
  <c r="M10" i="118" s="1"/>
  <c r="N8" i="118"/>
  <c r="O8" i="118"/>
  <c r="C14" i="118"/>
  <c r="D14" i="118"/>
  <c r="E14" i="118"/>
  <c r="F14" i="118"/>
  <c r="G14" i="118"/>
  <c r="H14" i="118"/>
  <c r="C16" i="118"/>
  <c r="D16" i="118"/>
  <c r="E16" i="118"/>
  <c r="F16" i="118"/>
  <c r="G16" i="118"/>
  <c r="H16" i="118"/>
  <c r="C21" i="118"/>
  <c r="D21" i="118"/>
  <c r="C23" i="118"/>
  <c r="D23" i="118"/>
  <c r="C28" i="118"/>
  <c r="D28" i="118"/>
  <c r="E28" i="118"/>
  <c r="F28" i="118"/>
  <c r="F31" i="118" s="1"/>
  <c r="G28" i="118"/>
  <c r="H28" i="118"/>
  <c r="I28" i="118"/>
  <c r="J28" i="118"/>
  <c r="J31" i="118" s="1"/>
  <c r="K28" i="118"/>
  <c r="L28" i="118"/>
  <c r="M28" i="118"/>
  <c r="N28" i="118"/>
  <c r="N31" i="118" s="1"/>
  <c r="O28" i="118"/>
  <c r="C30" i="118"/>
  <c r="D30" i="118"/>
  <c r="E30" i="118"/>
  <c r="F30" i="118"/>
  <c r="G30" i="118"/>
  <c r="H30" i="118"/>
  <c r="I30" i="118"/>
  <c r="J30" i="118"/>
  <c r="K30" i="118"/>
  <c r="L30" i="118"/>
  <c r="M30" i="118"/>
  <c r="N30" i="118"/>
  <c r="O30" i="118"/>
  <c r="C35" i="118"/>
  <c r="D35" i="118"/>
  <c r="E35" i="118"/>
  <c r="F35" i="118"/>
  <c r="G35" i="118"/>
  <c r="H35" i="118"/>
  <c r="I35" i="118"/>
  <c r="J35" i="118"/>
  <c r="C37" i="118"/>
  <c r="D37" i="118"/>
  <c r="E37" i="118"/>
  <c r="F37" i="118"/>
  <c r="G37" i="118"/>
  <c r="H37" i="118"/>
  <c r="I37" i="118"/>
  <c r="J37" i="118"/>
  <c r="C42" i="118"/>
  <c r="D42" i="118"/>
  <c r="D45" i="118" s="1"/>
  <c r="E42" i="118"/>
  <c r="F42" i="118"/>
  <c r="G42" i="118"/>
  <c r="C44" i="118"/>
  <c r="D44" i="118"/>
  <c r="E44" i="118"/>
  <c r="F44" i="118"/>
  <c r="G44" i="118"/>
  <c r="C49" i="118"/>
  <c r="D49" i="118"/>
  <c r="E49" i="118"/>
  <c r="E52" i="118" s="1"/>
  <c r="C51" i="118"/>
  <c r="D51" i="118"/>
  <c r="E51" i="118"/>
  <c r="C8" i="117"/>
  <c r="E4" i="117" s="1"/>
  <c r="D8" i="117"/>
  <c r="E8" i="117"/>
  <c r="F8" i="117"/>
  <c r="G8" i="117"/>
  <c r="H8" i="117"/>
  <c r="I8" i="117"/>
  <c r="J8" i="117"/>
  <c r="K8" i="117"/>
  <c r="L8" i="117"/>
  <c r="C14" i="117"/>
  <c r="C17" i="117" s="1"/>
  <c r="D14" i="117"/>
  <c r="E14" i="117"/>
  <c r="F14" i="117"/>
  <c r="F17" i="117" s="1"/>
  <c r="G14" i="117"/>
  <c r="G17" i="117" s="1"/>
  <c r="H14" i="117"/>
  <c r="I14" i="117"/>
  <c r="C16" i="117"/>
  <c r="D16" i="117"/>
  <c r="E16" i="117"/>
  <c r="F16" i="117"/>
  <c r="G16" i="117"/>
  <c r="H16" i="117"/>
  <c r="I16" i="117"/>
  <c r="C21" i="117"/>
  <c r="D21" i="117"/>
  <c r="E21" i="117"/>
  <c r="F21" i="117"/>
  <c r="G21" i="117"/>
  <c r="H21" i="117"/>
  <c r="C23" i="117"/>
  <c r="D23" i="117"/>
  <c r="E23" i="117"/>
  <c r="F23" i="117"/>
  <c r="G23" i="117"/>
  <c r="H23" i="117"/>
  <c r="C28" i="117"/>
  <c r="D28" i="117"/>
  <c r="C30" i="117"/>
  <c r="D30" i="117"/>
  <c r="C35" i="117"/>
  <c r="D35" i="117"/>
  <c r="E35" i="117"/>
  <c r="F35" i="117"/>
  <c r="G35" i="117"/>
  <c r="H35" i="117"/>
  <c r="I35" i="117"/>
  <c r="J35" i="117"/>
  <c r="K35" i="117"/>
  <c r="C37" i="117"/>
  <c r="D37" i="117"/>
  <c r="E37" i="117"/>
  <c r="F37" i="117"/>
  <c r="G37" i="117"/>
  <c r="H37" i="117"/>
  <c r="I37" i="117"/>
  <c r="J37" i="117"/>
  <c r="K37" i="117"/>
  <c r="C42" i="117"/>
  <c r="D42" i="117"/>
  <c r="D45" i="117" s="1"/>
  <c r="E42" i="117"/>
  <c r="E45" i="117" s="1"/>
  <c r="C44" i="117"/>
  <c r="D44" i="117"/>
  <c r="E44" i="117"/>
  <c r="C49" i="117"/>
  <c r="D49" i="117"/>
  <c r="D52" i="117" s="1"/>
  <c r="E49" i="117"/>
  <c r="F49" i="117"/>
  <c r="G49" i="117"/>
  <c r="H49" i="117"/>
  <c r="H52" i="117" s="1"/>
  <c r="I49" i="117"/>
  <c r="C51" i="117"/>
  <c r="D51" i="117"/>
  <c r="E51" i="117"/>
  <c r="F51" i="117"/>
  <c r="G51" i="117"/>
  <c r="H51" i="117"/>
  <c r="I51" i="117"/>
  <c r="C56" i="117"/>
  <c r="D56" i="117"/>
  <c r="E56" i="117"/>
  <c r="F56" i="117"/>
  <c r="G56" i="117"/>
  <c r="H56" i="117"/>
  <c r="C58" i="117"/>
  <c r="D58" i="117"/>
  <c r="E58" i="117"/>
  <c r="F58" i="117"/>
  <c r="G58" i="117"/>
  <c r="H58" i="117"/>
  <c r="C63" i="117"/>
  <c r="C65" i="117"/>
  <c r="C8" i="116"/>
  <c r="E4" i="116" s="1"/>
  <c r="D8" i="116"/>
  <c r="E8" i="116"/>
  <c r="F8" i="116"/>
  <c r="G8" i="116"/>
  <c r="G10" i="116" s="1"/>
  <c r="H8" i="116"/>
  <c r="H10" i="116" s="1"/>
  <c r="I8" i="116"/>
  <c r="I10" i="116" s="1"/>
  <c r="J8" i="116"/>
  <c r="K8" i="116"/>
  <c r="K10" i="116" s="1"/>
  <c r="L8" i="116"/>
  <c r="L10" i="116" s="1"/>
  <c r="M8" i="116"/>
  <c r="M10" i="116" s="1"/>
  <c r="N8" i="116"/>
  <c r="O8" i="116"/>
  <c r="O10" i="116" s="1"/>
  <c r="P8" i="116"/>
  <c r="P10" i="116" s="1"/>
  <c r="Q8" i="116"/>
  <c r="Q10" i="116" s="1"/>
  <c r="C14" i="116"/>
  <c r="D14" i="116"/>
  <c r="E14" i="116"/>
  <c r="F14" i="116"/>
  <c r="G14" i="116"/>
  <c r="G17" i="116" s="1"/>
  <c r="H14" i="116"/>
  <c r="I14" i="116"/>
  <c r="J14" i="116"/>
  <c r="K14" i="116"/>
  <c r="K17" i="116" s="1"/>
  <c r="L14" i="116"/>
  <c r="M14" i="116"/>
  <c r="C16" i="116"/>
  <c r="D16" i="116"/>
  <c r="E16" i="116"/>
  <c r="F16" i="116"/>
  <c r="G16" i="116"/>
  <c r="H16" i="116"/>
  <c r="I16" i="116"/>
  <c r="J16" i="116"/>
  <c r="K16" i="116"/>
  <c r="L16" i="116"/>
  <c r="M16" i="116"/>
  <c r="C21" i="116"/>
  <c r="D21" i="116"/>
  <c r="E21" i="116"/>
  <c r="F21" i="116"/>
  <c r="G21" i="116"/>
  <c r="H21" i="116"/>
  <c r="I21" i="116"/>
  <c r="J21" i="116"/>
  <c r="C23" i="116"/>
  <c r="D23" i="116"/>
  <c r="E23" i="116"/>
  <c r="F23" i="116"/>
  <c r="G23" i="116"/>
  <c r="H23" i="116"/>
  <c r="I23" i="116"/>
  <c r="J23" i="116"/>
  <c r="C28" i="116"/>
  <c r="C31" i="116" s="1"/>
  <c r="C30" i="116"/>
  <c r="C35" i="116"/>
  <c r="D35" i="116"/>
  <c r="E35" i="116"/>
  <c r="F35" i="116"/>
  <c r="G35" i="116"/>
  <c r="H35" i="116"/>
  <c r="I35" i="116"/>
  <c r="J35" i="116"/>
  <c r="C37" i="116"/>
  <c r="D37" i="116"/>
  <c r="E37" i="116"/>
  <c r="F37" i="116"/>
  <c r="G37" i="116"/>
  <c r="H37" i="116"/>
  <c r="I37" i="116"/>
  <c r="J37" i="116"/>
  <c r="C42" i="116"/>
  <c r="D42" i="116"/>
  <c r="C44" i="116"/>
  <c r="D44" i="116"/>
  <c r="C49" i="116"/>
  <c r="C51" i="116"/>
  <c r="C8" i="115"/>
  <c r="G2" i="115" s="1"/>
  <c r="D8" i="115"/>
  <c r="E8" i="115"/>
  <c r="F8" i="115"/>
  <c r="G8" i="115"/>
  <c r="H8" i="115"/>
  <c r="I8" i="115"/>
  <c r="J8" i="115"/>
  <c r="K8" i="115"/>
  <c r="L8" i="115"/>
  <c r="M8" i="115"/>
  <c r="N8" i="115"/>
  <c r="O8" i="115"/>
  <c r="P8" i="115"/>
  <c r="Q8" i="115"/>
  <c r="C14" i="115"/>
  <c r="D14" i="115"/>
  <c r="E14" i="115"/>
  <c r="F14" i="115"/>
  <c r="G14" i="115"/>
  <c r="H14" i="115"/>
  <c r="I14" i="115"/>
  <c r="I17" i="115" s="1"/>
  <c r="J14" i="115"/>
  <c r="J17" i="115" s="1"/>
  <c r="K14" i="115"/>
  <c r="L14" i="115"/>
  <c r="M14" i="115"/>
  <c r="M17" i="115" s="1"/>
  <c r="N14" i="115"/>
  <c r="N17" i="115" s="1"/>
  <c r="O14" i="115"/>
  <c r="P14" i="115"/>
  <c r="C16" i="115"/>
  <c r="D16" i="115"/>
  <c r="E16" i="115"/>
  <c r="F16" i="115"/>
  <c r="G16" i="115"/>
  <c r="H16" i="115"/>
  <c r="I16" i="115"/>
  <c r="J16" i="115"/>
  <c r="K16" i="115"/>
  <c r="L16" i="115"/>
  <c r="M16" i="115"/>
  <c r="N16" i="115"/>
  <c r="O16" i="115"/>
  <c r="P16" i="115"/>
  <c r="C21" i="115"/>
  <c r="D21" i="115"/>
  <c r="E21" i="115"/>
  <c r="E24" i="115" s="1"/>
  <c r="F21" i="115"/>
  <c r="F24" i="115" s="1"/>
  <c r="G21" i="115"/>
  <c r="H21" i="115"/>
  <c r="I21" i="115"/>
  <c r="I24" i="115" s="1"/>
  <c r="J21" i="115"/>
  <c r="J24" i="115" s="1"/>
  <c r="K21" i="115"/>
  <c r="L21" i="115"/>
  <c r="M21" i="115"/>
  <c r="M24" i="115" s="1"/>
  <c r="N21" i="115"/>
  <c r="N24" i="115" s="1"/>
  <c r="C23" i="115"/>
  <c r="D23" i="115"/>
  <c r="E23" i="115"/>
  <c r="F23" i="115"/>
  <c r="G23" i="115"/>
  <c r="H23" i="115"/>
  <c r="I23" i="115"/>
  <c r="J23" i="115"/>
  <c r="K23" i="115"/>
  <c r="L23" i="115"/>
  <c r="M23" i="115"/>
  <c r="N23" i="115"/>
  <c r="C28" i="115"/>
  <c r="D28" i="115"/>
  <c r="E28" i="115"/>
  <c r="F28" i="115"/>
  <c r="F31" i="115" s="1"/>
  <c r="G28" i="115"/>
  <c r="G31" i="115" s="1"/>
  <c r="H28" i="115"/>
  <c r="H31" i="115" s="1"/>
  <c r="I28" i="115"/>
  <c r="C30" i="115"/>
  <c r="D30" i="115"/>
  <c r="E30" i="115"/>
  <c r="F30" i="115"/>
  <c r="G30" i="115"/>
  <c r="H30" i="115"/>
  <c r="I30" i="115"/>
  <c r="C35" i="115"/>
  <c r="D35" i="115"/>
  <c r="E35" i="115"/>
  <c r="E38" i="115" s="1"/>
  <c r="F35" i="115"/>
  <c r="F38" i="115" s="1"/>
  <c r="C37" i="115"/>
  <c r="D37" i="115"/>
  <c r="E37" i="115"/>
  <c r="F37" i="115"/>
  <c r="C42" i="115"/>
  <c r="D42" i="115"/>
  <c r="C44" i="115"/>
  <c r="D44" i="115"/>
  <c r="C49" i="115"/>
  <c r="D49" i="115"/>
  <c r="C51" i="115"/>
  <c r="D51" i="115"/>
  <c r="C56" i="115"/>
  <c r="D56" i="115"/>
  <c r="E56" i="115"/>
  <c r="F56" i="115"/>
  <c r="G56" i="115"/>
  <c r="H56" i="115"/>
  <c r="I56" i="115"/>
  <c r="J56" i="115"/>
  <c r="K56" i="115"/>
  <c r="K59" i="115" s="1"/>
  <c r="L56" i="115"/>
  <c r="L59" i="115" s="1"/>
  <c r="M56" i="115"/>
  <c r="N56" i="115"/>
  <c r="C58" i="115"/>
  <c r="D58" i="115"/>
  <c r="E58" i="115"/>
  <c r="F58" i="115"/>
  <c r="G58" i="115"/>
  <c r="H58" i="115"/>
  <c r="I58" i="115"/>
  <c r="J58" i="115"/>
  <c r="K58" i="115"/>
  <c r="L58" i="115"/>
  <c r="M58" i="115"/>
  <c r="N58" i="115"/>
  <c r="C63" i="115"/>
  <c r="D63" i="115"/>
  <c r="E63" i="115"/>
  <c r="E66" i="115" s="1"/>
  <c r="F63" i="115"/>
  <c r="F66" i="115" s="1"/>
  <c r="G63" i="115"/>
  <c r="C65" i="115"/>
  <c r="D65" i="115"/>
  <c r="E65" i="115"/>
  <c r="F65" i="115"/>
  <c r="G65" i="115"/>
  <c r="C8" i="114"/>
  <c r="G2" i="114" s="1"/>
  <c r="D8" i="114"/>
  <c r="E8" i="114"/>
  <c r="E10" i="114" s="1"/>
  <c r="F8" i="114"/>
  <c r="G8" i="114"/>
  <c r="H8" i="114"/>
  <c r="I8" i="114"/>
  <c r="I10" i="114" s="1"/>
  <c r="J8" i="114"/>
  <c r="K8" i="114"/>
  <c r="L8" i="114"/>
  <c r="M8" i="114"/>
  <c r="M10" i="114" s="1"/>
  <c r="C14" i="114"/>
  <c r="D14" i="114"/>
  <c r="E14" i="114"/>
  <c r="F14" i="114"/>
  <c r="G14" i="114"/>
  <c r="H14" i="114"/>
  <c r="I14" i="114"/>
  <c r="J14" i="114"/>
  <c r="K14" i="114"/>
  <c r="L14" i="114"/>
  <c r="M14" i="114"/>
  <c r="N14" i="114"/>
  <c r="C16" i="114"/>
  <c r="D16" i="114"/>
  <c r="E16" i="114"/>
  <c r="F16" i="114"/>
  <c r="G16" i="114"/>
  <c r="H16" i="114"/>
  <c r="I16" i="114"/>
  <c r="J16" i="114"/>
  <c r="K16" i="114"/>
  <c r="L16" i="114"/>
  <c r="M16" i="114"/>
  <c r="N16" i="114"/>
  <c r="C21" i="114"/>
  <c r="D21" i="114"/>
  <c r="E21" i="114"/>
  <c r="E24" i="114" s="1"/>
  <c r="F21" i="114"/>
  <c r="G21" i="114"/>
  <c r="H21" i="114"/>
  <c r="H24" i="114" s="1"/>
  <c r="I21" i="114"/>
  <c r="I24" i="114" s="1"/>
  <c r="J21" i="114"/>
  <c r="K21" i="114"/>
  <c r="L21" i="114"/>
  <c r="L24" i="114" s="1"/>
  <c r="M21" i="114"/>
  <c r="M24" i="114" s="1"/>
  <c r="N21" i="114"/>
  <c r="C23" i="114"/>
  <c r="D23" i="114"/>
  <c r="E23" i="114"/>
  <c r="F23" i="114"/>
  <c r="G23" i="114"/>
  <c r="H23" i="114"/>
  <c r="I23" i="114"/>
  <c r="J23" i="114"/>
  <c r="K23" i="114"/>
  <c r="L23" i="114"/>
  <c r="M23" i="114"/>
  <c r="N23" i="114"/>
  <c r="C28" i="114"/>
  <c r="D28" i="114"/>
  <c r="E28" i="114"/>
  <c r="C30" i="114"/>
  <c r="D30" i="114"/>
  <c r="E30" i="114"/>
  <c r="C35" i="114"/>
  <c r="D35" i="114"/>
  <c r="E35" i="114"/>
  <c r="F35" i="114"/>
  <c r="G35" i="114"/>
  <c r="G38" i="114" s="1"/>
  <c r="H35" i="114"/>
  <c r="H38" i="114" s="1"/>
  <c r="I35" i="114"/>
  <c r="J35" i="114"/>
  <c r="C37" i="114"/>
  <c r="D37" i="114"/>
  <c r="E37" i="114"/>
  <c r="F37" i="114"/>
  <c r="G37" i="114"/>
  <c r="H37" i="114"/>
  <c r="I37" i="114"/>
  <c r="J37" i="114"/>
  <c r="C42" i="114"/>
  <c r="D42" i="114"/>
  <c r="E42" i="114"/>
  <c r="F42" i="114"/>
  <c r="F45" i="114" s="1"/>
  <c r="G42" i="114"/>
  <c r="C44" i="114"/>
  <c r="D44" i="114"/>
  <c r="E44" i="114"/>
  <c r="F44" i="114"/>
  <c r="G44" i="114"/>
  <c r="C8" i="113"/>
  <c r="G2" i="113" s="1"/>
  <c r="D8" i="113"/>
  <c r="E8" i="113"/>
  <c r="F8" i="113"/>
  <c r="G8" i="113"/>
  <c r="H8" i="113"/>
  <c r="I8" i="113"/>
  <c r="I10" i="113" s="1"/>
  <c r="J8" i="113"/>
  <c r="K8" i="113"/>
  <c r="L8" i="113"/>
  <c r="L10" i="113" s="1"/>
  <c r="M8" i="113"/>
  <c r="M10" i="113" s="1"/>
  <c r="N8" i="113"/>
  <c r="O8" i="113"/>
  <c r="P8" i="113"/>
  <c r="P10" i="113" s="1"/>
  <c r="Q8" i="113"/>
  <c r="Q10" i="113" s="1"/>
  <c r="R8" i="113"/>
  <c r="S8" i="113"/>
  <c r="T8" i="113"/>
  <c r="T10" i="113" s="1"/>
  <c r="U8" i="113"/>
  <c r="U10" i="113" s="1"/>
  <c r="V8" i="113"/>
  <c r="W8" i="113"/>
  <c r="X8" i="113"/>
  <c r="X10" i="113" s="1"/>
  <c r="Y8" i="113"/>
  <c r="Y10" i="113" s="1"/>
  <c r="Z8" i="113"/>
  <c r="C15" i="113"/>
  <c r="D15" i="113"/>
  <c r="E15" i="113"/>
  <c r="F15" i="113"/>
  <c r="G15" i="113"/>
  <c r="H15" i="113"/>
  <c r="I15" i="113"/>
  <c r="I18" i="113" s="1"/>
  <c r="J15" i="113"/>
  <c r="J18" i="113" s="1"/>
  <c r="K15" i="113"/>
  <c r="L15" i="113"/>
  <c r="M15" i="113"/>
  <c r="M18" i="113" s="1"/>
  <c r="N15" i="113"/>
  <c r="N18" i="113" s="1"/>
  <c r="O15" i="113"/>
  <c r="P15" i="113"/>
  <c r="C17" i="113"/>
  <c r="D17" i="113"/>
  <c r="E17" i="113"/>
  <c r="F17" i="113"/>
  <c r="G17" i="113"/>
  <c r="H17" i="113"/>
  <c r="I17" i="113"/>
  <c r="J17" i="113"/>
  <c r="K17" i="113"/>
  <c r="L17" i="113"/>
  <c r="M17" i="113"/>
  <c r="N17" i="113"/>
  <c r="O17" i="113"/>
  <c r="P17" i="113"/>
  <c r="C21" i="113"/>
  <c r="D21" i="113"/>
  <c r="E21" i="113"/>
  <c r="F21" i="113"/>
  <c r="F24" i="113" s="1"/>
  <c r="G21" i="113"/>
  <c r="H21" i="113"/>
  <c r="C23" i="113"/>
  <c r="D23" i="113"/>
  <c r="E23" i="113"/>
  <c r="F23" i="113"/>
  <c r="G23" i="113"/>
  <c r="H23" i="113"/>
  <c r="C28" i="113"/>
  <c r="C30" i="113"/>
  <c r="C35" i="113"/>
  <c r="D35" i="113"/>
  <c r="E35" i="113"/>
  <c r="F35" i="113"/>
  <c r="G35" i="113"/>
  <c r="H35" i="113"/>
  <c r="I35" i="113"/>
  <c r="J35" i="113"/>
  <c r="K35" i="113"/>
  <c r="L35" i="113"/>
  <c r="M35" i="113"/>
  <c r="N35" i="113"/>
  <c r="O35" i="113"/>
  <c r="P35" i="113"/>
  <c r="Q35" i="113"/>
  <c r="R35" i="113"/>
  <c r="S35" i="113"/>
  <c r="C37" i="113"/>
  <c r="D37" i="113"/>
  <c r="E37" i="113"/>
  <c r="F37" i="113"/>
  <c r="G37" i="113"/>
  <c r="H37" i="113"/>
  <c r="I37" i="113"/>
  <c r="J37" i="113"/>
  <c r="K37" i="113"/>
  <c r="L37" i="113"/>
  <c r="M37" i="113"/>
  <c r="N37" i="113"/>
  <c r="O37" i="113"/>
  <c r="P37" i="113"/>
  <c r="Q37" i="113"/>
  <c r="R37" i="113"/>
  <c r="S37" i="113"/>
  <c r="C42" i="113"/>
  <c r="D42" i="113"/>
  <c r="D45" i="113" s="1"/>
  <c r="E42" i="113"/>
  <c r="C44" i="113"/>
  <c r="D44" i="113"/>
  <c r="E44" i="113"/>
  <c r="C8" i="112"/>
  <c r="G2" i="112" s="1"/>
  <c r="D8" i="112"/>
  <c r="E8" i="112"/>
  <c r="F8" i="112"/>
  <c r="G8" i="112"/>
  <c r="H8" i="112"/>
  <c r="I8" i="112"/>
  <c r="J8" i="112"/>
  <c r="K8" i="112"/>
  <c r="L8" i="112"/>
  <c r="M8" i="112"/>
  <c r="N8" i="112"/>
  <c r="O8" i="112"/>
  <c r="P8" i="112"/>
  <c r="Q8" i="112"/>
  <c r="R8" i="112"/>
  <c r="S8" i="112"/>
  <c r="T8" i="112"/>
  <c r="C14" i="112"/>
  <c r="D14" i="112"/>
  <c r="E14" i="112"/>
  <c r="F14" i="112"/>
  <c r="G14" i="112"/>
  <c r="H14" i="112"/>
  <c r="I14" i="112"/>
  <c r="J14" i="112"/>
  <c r="J17" i="112" s="1"/>
  <c r="K14" i="112"/>
  <c r="L14" i="112"/>
  <c r="C16" i="112"/>
  <c r="D16" i="112"/>
  <c r="E16" i="112"/>
  <c r="F16" i="112"/>
  <c r="G16" i="112"/>
  <c r="H16" i="112"/>
  <c r="I16" i="112"/>
  <c r="J16" i="112"/>
  <c r="K16" i="112"/>
  <c r="L16" i="112"/>
  <c r="C21" i="112"/>
  <c r="D21" i="112"/>
  <c r="E21" i="112"/>
  <c r="E24" i="112" s="1"/>
  <c r="F21" i="112"/>
  <c r="F24" i="112" s="1"/>
  <c r="G21" i="112"/>
  <c r="H21" i="112"/>
  <c r="I21" i="112"/>
  <c r="I24" i="112" s="1"/>
  <c r="J21" i="112"/>
  <c r="J24" i="112" s="1"/>
  <c r="K21" i="112"/>
  <c r="L21" i="112"/>
  <c r="M21" i="112"/>
  <c r="M24" i="112" s="1"/>
  <c r="N21" i="112"/>
  <c r="N24" i="112" s="1"/>
  <c r="O21" i="112"/>
  <c r="P21" i="112"/>
  <c r="Q21" i="112"/>
  <c r="Q24" i="112" s="1"/>
  <c r="R21" i="112"/>
  <c r="R24" i="112" s="1"/>
  <c r="C23" i="112"/>
  <c r="D23" i="112"/>
  <c r="E23" i="112"/>
  <c r="F23" i="112"/>
  <c r="G23" i="112"/>
  <c r="H23" i="112"/>
  <c r="I23" i="112"/>
  <c r="J23" i="112"/>
  <c r="K23" i="112"/>
  <c r="L23" i="112"/>
  <c r="M23" i="112"/>
  <c r="N23" i="112"/>
  <c r="O23" i="112"/>
  <c r="P23" i="112"/>
  <c r="Q23" i="112"/>
  <c r="R23" i="112"/>
  <c r="C28" i="112"/>
  <c r="D28" i="112"/>
  <c r="E28" i="112"/>
  <c r="F28" i="112"/>
  <c r="G28" i="112"/>
  <c r="H28" i="112"/>
  <c r="I28" i="112"/>
  <c r="J28" i="112"/>
  <c r="K28" i="112"/>
  <c r="L28" i="112"/>
  <c r="L31" i="112" s="1"/>
  <c r="M28" i="112"/>
  <c r="N28" i="112"/>
  <c r="O28" i="112"/>
  <c r="P28" i="112"/>
  <c r="P31" i="112" s="1"/>
  <c r="C30" i="112"/>
  <c r="D30" i="112"/>
  <c r="E30" i="112"/>
  <c r="F30" i="112"/>
  <c r="G30" i="112"/>
  <c r="H30" i="112"/>
  <c r="I30" i="112"/>
  <c r="J30" i="112"/>
  <c r="K30" i="112"/>
  <c r="L30" i="112"/>
  <c r="M30" i="112"/>
  <c r="N30" i="112"/>
  <c r="O30" i="112"/>
  <c r="P30" i="112"/>
  <c r="C35" i="112"/>
  <c r="D35" i="112"/>
  <c r="D38" i="112" s="1"/>
  <c r="C37" i="112"/>
  <c r="D37" i="112"/>
  <c r="C42" i="112"/>
  <c r="C45" i="112" s="1"/>
  <c r="C44" i="112"/>
  <c r="C49" i="112"/>
  <c r="D49" i="112"/>
  <c r="C51" i="112"/>
  <c r="D51" i="112"/>
  <c r="C8" i="111"/>
  <c r="G2" i="111" s="1"/>
  <c r="D8" i="111"/>
  <c r="E8" i="111"/>
  <c r="F8" i="111"/>
  <c r="G8" i="111"/>
  <c r="H8" i="111"/>
  <c r="I8" i="111"/>
  <c r="J8" i="111"/>
  <c r="K8" i="111"/>
  <c r="L8" i="111"/>
  <c r="M8" i="111"/>
  <c r="N8" i="111"/>
  <c r="C14" i="111"/>
  <c r="D14" i="111"/>
  <c r="E14" i="111"/>
  <c r="F14" i="111"/>
  <c r="G14" i="111"/>
  <c r="H14" i="111"/>
  <c r="H17" i="111" s="1"/>
  <c r="I14" i="111"/>
  <c r="I17" i="111" s="1"/>
  <c r="J14" i="111"/>
  <c r="K14" i="111"/>
  <c r="L14" i="111"/>
  <c r="L17" i="111" s="1"/>
  <c r="M14" i="111"/>
  <c r="M17" i="111" s="1"/>
  <c r="C16" i="111"/>
  <c r="D16" i="111"/>
  <c r="E16" i="111"/>
  <c r="F16" i="111"/>
  <c r="G16" i="111"/>
  <c r="H16" i="111"/>
  <c r="I16" i="111"/>
  <c r="J16" i="111"/>
  <c r="K16" i="111"/>
  <c r="L16" i="111"/>
  <c r="M16" i="111"/>
  <c r="C21" i="111"/>
  <c r="D21" i="111"/>
  <c r="E21" i="111"/>
  <c r="C23" i="111"/>
  <c r="D23" i="111"/>
  <c r="E23" i="111"/>
  <c r="C28" i="111"/>
  <c r="C30" i="111"/>
  <c r="C35" i="111"/>
  <c r="D35" i="111"/>
  <c r="E35" i="111"/>
  <c r="F35" i="111"/>
  <c r="G35" i="111"/>
  <c r="H35" i="111"/>
  <c r="I35" i="111"/>
  <c r="J35" i="111"/>
  <c r="K35" i="111"/>
  <c r="L35" i="111"/>
  <c r="M35" i="111"/>
  <c r="N35" i="111"/>
  <c r="O35" i="111"/>
  <c r="C37" i="111"/>
  <c r="D37" i="111"/>
  <c r="E37" i="111"/>
  <c r="F37" i="111"/>
  <c r="G37" i="111"/>
  <c r="H37" i="111"/>
  <c r="I37" i="111"/>
  <c r="J37" i="111"/>
  <c r="K37" i="111"/>
  <c r="L37" i="111"/>
  <c r="M37" i="111"/>
  <c r="N37" i="111"/>
  <c r="O37" i="111"/>
  <c r="C42" i="111"/>
  <c r="D42" i="111"/>
  <c r="E42" i="111"/>
  <c r="F42" i="111"/>
  <c r="G42" i="111"/>
  <c r="H42" i="111"/>
  <c r="I42" i="111"/>
  <c r="I45" i="111" s="1"/>
  <c r="J42" i="111"/>
  <c r="K42" i="111"/>
  <c r="L42" i="111"/>
  <c r="M42" i="111"/>
  <c r="M45" i="111" s="1"/>
  <c r="C44" i="111"/>
  <c r="D44" i="111"/>
  <c r="E44" i="111"/>
  <c r="F44" i="111"/>
  <c r="G44" i="111"/>
  <c r="H44" i="111"/>
  <c r="I44" i="111"/>
  <c r="J44" i="111"/>
  <c r="K44" i="111"/>
  <c r="L44" i="111"/>
  <c r="M44" i="111"/>
  <c r="C49" i="111"/>
  <c r="D49" i="111"/>
  <c r="E49" i="111"/>
  <c r="F49" i="111"/>
  <c r="G49" i="111"/>
  <c r="H49" i="111"/>
  <c r="I49" i="111"/>
  <c r="I52" i="111" s="1"/>
  <c r="C51" i="111"/>
  <c r="D51" i="111"/>
  <c r="E51" i="111"/>
  <c r="F51" i="111"/>
  <c r="G51" i="111"/>
  <c r="H51" i="111"/>
  <c r="I51" i="111"/>
  <c r="C56" i="111"/>
  <c r="D56" i="111"/>
  <c r="E56" i="111"/>
  <c r="F56" i="111"/>
  <c r="G56" i="111"/>
  <c r="C58" i="111"/>
  <c r="D58" i="111"/>
  <c r="E58" i="111"/>
  <c r="F58" i="111"/>
  <c r="G58" i="111"/>
  <c r="C63" i="111"/>
  <c r="C65" i="111"/>
  <c r="C8" i="110"/>
  <c r="G2" i="110" s="1"/>
  <c r="D8" i="110"/>
  <c r="E8" i="110"/>
  <c r="F8" i="110"/>
  <c r="G8" i="110"/>
  <c r="H8" i="110"/>
  <c r="I8" i="110"/>
  <c r="I10" i="110" s="1"/>
  <c r="J8" i="110"/>
  <c r="K8" i="110"/>
  <c r="K10" i="110" s="1"/>
  <c r="L8" i="110"/>
  <c r="L10" i="110" s="1"/>
  <c r="M8" i="110"/>
  <c r="N8" i="110"/>
  <c r="O8" i="110"/>
  <c r="C14" i="110"/>
  <c r="D14" i="110"/>
  <c r="E14" i="110"/>
  <c r="F14" i="110"/>
  <c r="G14" i="110"/>
  <c r="H14" i="110"/>
  <c r="I14" i="110"/>
  <c r="I17" i="110" s="1"/>
  <c r="J14" i="110"/>
  <c r="K14" i="110"/>
  <c r="L14" i="110"/>
  <c r="M14" i="110"/>
  <c r="M17" i="110" s="1"/>
  <c r="N14" i="110"/>
  <c r="C16" i="110"/>
  <c r="D16" i="110"/>
  <c r="E16" i="110"/>
  <c r="F16" i="110"/>
  <c r="G16" i="110"/>
  <c r="H16" i="110"/>
  <c r="I16" i="110"/>
  <c r="J16" i="110"/>
  <c r="K16" i="110"/>
  <c r="L16" i="110"/>
  <c r="M16" i="110"/>
  <c r="N16" i="110"/>
  <c r="C21" i="110"/>
  <c r="D21" i="110"/>
  <c r="E21" i="110"/>
  <c r="F21" i="110"/>
  <c r="G21" i="110"/>
  <c r="H21" i="110"/>
  <c r="H24" i="110" s="1"/>
  <c r="I21" i="110"/>
  <c r="J21" i="110"/>
  <c r="C23" i="110"/>
  <c r="D23" i="110"/>
  <c r="E23" i="110"/>
  <c r="F23" i="110"/>
  <c r="G23" i="110"/>
  <c r="H23" i="110"/>
  <c r="I23" i="110"/>
  <c r="J23" i="110"/>
  <c r="C28" i="110"/>
  <c r="D28" i="110"/>
  <c r="E28" i="110"/>
  <c r="F28" i="110"/>
  <c r="F31" i="110" s="1"/>
  <c r="G28" i="110"/>
  <c r="G31" i="110" s="1"/>
  <c r="H28" i="110"/>
  <c r="C30" i="110"/>
  <c r="D30" i="110"/>
  <c r="E30" i="110"/>
  <c r="F30" i="110"/>
  <c r="G30" i="110"/>
  <c r="H30" i="110"/>
  <c r="C35" i="110"/>
  <c r="D35" i="110"/>
  <c r="C37" i="110"/>
  <c r="D37" i="110"/>
  <c r="C42" i="110"/>
  <c r="D42" i="110"/>
  <c r="E42" i="110"/>
  <c r="F42" i="110"/>
  <c r="G42" i="110"/>
  <c r="H42" i="110"/>
  <c r="I42" i="110"/>
  <c r="I45" i="110" s="1"/>
  <c r="J42" i="110"/>
  <c r="J45" i="110" s="1"/>
  <c r="K42" i="110"/>
  <c r="L42" i="110"/>
  <c r="M42" i="110"/>
  <c r="M45" i="110" s="1"/>
  <c r="N42" i="110"/>
  <c r="N45" i="110" s="1"/>
  <c r="O42" i="110"/>
  <c r="P42" i="110"/>
  <c r="C44" i="110"/>
  <c r="D44" i="110"/>
  <c r="E44" i="110"/>
  <c r="F44" i="110"/>
  <c r="G44" i="110"/>
  <c r="H44" i="110"/>
  <c r="I44" i="110"/>
  <c r="J44" i="110"/>
  <c r="K44" i="110"/>
  <c r="L44" i="110"/>
  <c r="M44" i="110"/>
  <c r="N44" i="110"/>
  <c r="O44" i="110"/>
  <c r="P44" i="110"/>
  <c r="C49" i="110"/>
  <c r="D49" i="110"/>
  <c r="E49" i="110"/>
  <c r="F49" i="110"/>
  <c r="G49" i="110"/>
  <c r="H49" i="110"/>
  <c r="I49" i="110"/>
  <c r="J49" i="110"/>
  <c r="J52" i="110" s="1"/>
  <c r="K49" i="110"/>
  <c r="L49" i="110"/>
  <c r="M49" i="110"/>
  <c r="C51" i="110"/>
  <c r="D51" i="110"/>
  <c r="E51" i="110"/>
  <c r="F51" i="110"/>
  <c r="G51" i="110"/>
  <c r="H51" i="110"/>
  <c r="I51" i="110"/>
  <c r="J51" i="110"/>
  <c r="K51" i="110"/>
  <c r="L51" i="110"/>
  <c r="M51" i="110"/>
  <c r="C56" i="110"/>
  <c r="D56" i="110"/>
  <c r="E56" i="110"/>
  <c r="E59" i="110" s="1"/>
  <c r="F56" i="110"/>
  <c r="F59" i="110" s="1"/>
  <c r="G56" i="110"/>
  <c r="H56" i="110"/>
  <c r="I56" i="110"/>
  <c r="I59" i="110" s="1"/>
  <c r="J56" i="110"/>
  <c r="J59" i="110" s="1"/>
  <c r="C58" i="110"/>
  <c r="D58" i="110"/>
  <c r="E58" i="110"/>
  <c r="F58" i="110"/>
  <c r="G58" i="110"/>
  <c r="H58" i="110"/>
  <c r="I58" i="110"/>
  <c r="J58" i="110"/>
  <c r="C63" i="110"/>
  <c r="D63" i="110"/>
  <c r="D66" i="110" s="1"/>
  <c r="E63" i="110"/>
  <c r="F63" i="110"/>
  <c r="G63" i="110"/>
  <c r="H63" i="110"/>
  <c r="H66" i="110" s="1"/>
  <c r="I63" i="110"/>
  <c r="J63" i="110"/>
  <c r="K63" i="110"/>
  <c r="C65" i="110"/>
  <c r="D65" i="110"/>
  <c r="E65" i="110"/>
  <c r="F65" i="110"/>
  <c r="G65" i="110"/>
  <c r="H65" i="110"/>
  <c r="I65" i="110"/>
  <c r="J65" i="110"/>
  <c r="K65" i="110"/>
  <c r="C70" i="110"/>
  <c r="D70" i="110"/>
  <c r="E70" i="110"/>
  <c r="F70" i="110"/>
  <c r="C72" i="110"/>
  <c r="D72" i="110"/>
  <c r="E72" i="110"/>
  <c r="F72" i="110"/>
  <c r="C8" i="109"/>
  <c r="G2" i="109" s="1"/>
  <c r="D8" i="109"/>
  <c r="D10" i="109" s="1"/>
  <c r="E8" i="109"/>
  <c r="F8" i="109"/>
  <c r="G8" i="109"/>
  <c r="G10" i="109" s="1"/>
  <c r="H8" i="109"/>
  <c r="H10" i="109" s="1"/>
  <c r="I8" i="109"/>
  <c r="J8" i="109"/>
  <c r="K8" i="109"/>
  <c r="K10" i="109" s="1"/>
  <c r="L8" i="109"/>
  <c r="L10" i="109" s="1"/>
  <c r="M8" i="109"/>
  <c r="N8" i="109"/>
  <c r="C14" i="109"/>
  <c r="D14" i="109"/>
  <c r="E14" i="109"/>
  <c r="F14" i="109"/>
  <c r="G14" i="109"/>
  <c r="H14" i="109"/>
  <c r="H17" i="109" s="1"/>
  <c r="I14" i="109"/>
  <c r="I17" i="109" s="1"/>
  <c r="J14" i="109"/>
  <c r="K14" i="109"/>
  <c r="C16" i="109"/>
  <c r="D16" i="109"/>
  <c r="E16" i="109"/>
  <c r="F16" i="109"/>
  <c r="G16" i="109"/>
  <c r="H16" i="109"/>
  <c r="I16" i="109"/>
  <c r="J16" i="109"/>
  <c r="K16" i="109"/>
  <c r="C21" i="109"/>
  <c r="D21" i="109"/>
  <c r="C23" i="109"/>
  <c r="D23" i="109"/>
  <c r="C28" i="109"/>
  <c r="D28" i="109"/>
  <c r="E28" i="109"/>
  <c r="F28" i="109"/>
  <c r="C30" i="109"/>
  <c r="D30" i="109"/>
  <c r="E30" i="109"/>
  <c r="F30" i="109"/>
  <c r="C8" i="108"/>
  <c r="G2" i="108" s="1"/>
  <c r="D8" i="108"/>
  <c r="E8" i="108"/>
  <c r="F8" i="108"/>
  <c r="G8" i="108"/>
  <c r="H8" i="108"/>
  <c r="I8" i="108"/>
  <c r="I10" i="108" s="1"/>
  <c r="J8" i="108"/>
  <c r="K8" i="108"/>
  <c r="L8" i="108"/>
  <c r="M8" i="108"/>
  <c r="M10" i="108" s="1"/>
  <c r="N8" i="108"/>
  <c r="C14" i="108"/>
  <c r="D14" i="108"/>
  <c r="E14" i="108"/>
  <c r="F14" i="108"/>
  <c r="C16" i="108"/>
  <c r="D16" i="108"/>
  <c r="E16" i="108"/>
  <c r="F16" i="108"/>
  <c r="C21" i="108"/>
  <c r="D21" i="108"/>
  <c r="E21" i="108"/>
  <c r="F21" i="108"/>
  <c r="G21" i="108"/>
  <c r="H21" i="108"/>
  <c r="I21" i="108"/>
  <c r="J21" i="108"/>
  <c r="K21" i="108"/>
  <c r="L21" i="108"/>
  <c r="M21" i="108"/>
  <c r="N21" i="108"/>
  <c r="O21" i="108"/>
  <c r="P21" i="108"/>
  <c r="Q21" i="108"/>
  <c r="R21" i="108"/>
  <c r="S21" i="108"/>
  <c r="C23" i="108"/>
  <c r="D23" i="108"/>
  <c r="E23" i="108"/>
  <c r="F23" i="108"/>
  <c r="G23" i="108"/>
  <c r="H23" i="108"/>
  <c r="I23" i="108"/>
  <c r="J23" i="108"/>
  <c r="K23" i="108"/>
  <c r="L23" i="108"/>
  <c r="M23" i="108"/>
  <c r="N23" i="108"/>
  <c r="O23" i="108"/>
  <c r="P23" i="108"/>
  <c r="Q23" i="108"/>
  <c r="R23" i="108"/>
  <c r="S23" i="108"/>
  <c r="C8" i="107"/>
  <c r="G2" i="107" s="1"/>
  <c r="D8" i="107"/>
  <c r="E8" i="107"/>
  <c r="E10" i="107" s="1"/>
  <c r="F8" i="107"/>
  <c r="G8" i="107"/>
  <c r="H8" i="107"/>
  <c r="I8" i="107"/>
  <c r="I10" i="107" s="1"/>
  <c r="J8" i="107"/>
  <c r="K8" i="107"/>
  <c r="L8" i="107"/>
  <c r="C14" i="107"/>
  <c r="D14" i="107"/>
  <c r="E14" i="107"/>
  <c r="F14" i="107"/>
  <c r="G14" i="107"/>
  <c r="H14" i="107"/>
  <c r="I14" i="107"/>
  <c r="J14" i="107"/>
  <c r="K14" i="107"/>
  <c r="C16" i="107"/>
  <c r="D16" i="107"/>
  <c r="E16" i="107"/>
  <c r="F16" i="107"/>
  <c r="G16" i="107"/>
  <c r="H16" i="107"/>
  <c r="I16" i="107"/>
  <c r="J16" i="107"/>
  <c r="K16" i="107"/>
  <c r="C21" i="107"/>
  <c r="D21" i="107"/>
  <c r="E21" i="107"/>
  <c r="F21" i="107"/>
  <c r="G21" i="107"/>
  <c r="H21" i="107"/>
  <c r="H24" i="107" s="1"/>
  <c r="I21" i="107"/>
  <c r="I24" i="107" s="1"/>
  <c r="C23" i="107"/>
  <c r="D23" i="107"/>
  <c r="E23" i="107"/>
  <c r="F23" i="107"/>
  <c r="G23" i="107"/>
  <c r="H23" i="107"/>
  <c r="I23" i="107"/>
  <c r="C28" i="107"/>
  <c r="D28" i="107"/>
  <c r="C30" i="107"/>
  <c r="D30" i="107"/>
  <c r="C35" i="107"/>
  <c r="D35" i="107"/>
  <c r="E35" i="107"/>
  <c r="F35" i="107"/>
  <c r="F38" i="107" s="1"/>
  <c r="G35" i="107"/>
  <c r="H35" i="107"/>
  <c r="I35" i="107"/>
  <c r="J35" i="107"/>
  <c r="J38" i="107" s="1"/>
  <c r="K35" i="107"/>
  <c r="L35" i="107"/>
  <c r="M35" i="107"/>
  <c r="C37" i="107"/>
  <c r="D37" i="107"/>
  <c r="E37" i="107"/>
  <c r="F37" i="107"/>
  <c r="G37" i="107"/>
  <c r="H37" i="107"/>
  <c r="I37" i="107"/>
  <c r="J37" i="107"/>
  <c r="K37" i="107"/>
  <c r="L37" i="107"/>
  <c r="M37" i="107"/>
  <c r="C42" i="107"/>
  <c r="D42" i="107"/>
  <c r="E42" i="107"/>
  <c r="F42" i="107"/>
  <c r="G42" i="107"/>
  <c r="H42" i="107"/>
  <c r="I42" i="107"/>
  <c r="J42" i="107"/>
  <c r="K42" i="107"/>
  <c r="L42" i="107"/>
  <c r="L45" i="107" s="1"/>
  <c r="M42" i="107"/>
  <c r="M45" i="107" s="1"/>
  <c r="N42" i="107"/>
  <c r="O42" i="107"/>
  <c r="P42" i="107"/>
  <c r="P45" i="107" s="1"/>
  <c r="C44" i="107"/>
  <c r="D44" i="107"/>
  <c r="E44" i="107"/>
  <c r="F44" i="107"/>
  <c r="G44" i="107"/>
  <c r="H44" i="107"/>
  <c r="I44" i="107"/>
  <c r="J44" i="107"/>
  <c r="K44" i="107"/>
  <c r="L44" i="107"/>
  <c r="M44" i="107"/>
  <c r="N44" i="107"/>
  <c r="O44" i="107"/>
  <c r="P44" i="107"/>
  <c r="C49" i="107"/>
  <c r="D49" i="107"/>
  <c r="C51" i="107"/>
  <c r="D51" i="107"/>
  <c r="C56" i="107"/>
  <c r="D56" i="107"/>
  <c r="E56" i="107"/>
  <c r="E59" i="107" s="1"/>
  <c r="F56" i="107"/>
  <c r="C58" i="107"/>
  <c r="D58" i="107"/>
  <c r="E58" i="107"/>
  <c r="F58" i="107"/>
  <c r="C63" i="107"/>
  <c r="C65" i="107"/>
  <c r="C70" i="107"/>
  <c r="C72" i="107"/>
  <c r="C8" i="106"/>
  <c r="G2" i="106" s="1"/>
  <c r="D8" i="106"/>
  <c r="E8" i="106"/>
  <c r="E10" i="106" s="1"/>
  <c r="F8" i="106"/>
  <c r="G8" i="106"/>
  <c r="G10" i="106" s="1"/>
  <c r="C14" i="106"/>
  <c r="D14" i="106"/>
  <c r="C16" i="106"/>
  <c r="D16" i="106"/>
  <c r="C21" i="106"/>
  <c r="D21" i="106"/>
  <c r="E21" i="106"/>
  <c r="F21" i="106"/>
  <c r="G21" i="106"/>
  <c r="H21" i="106"/>
  <c r="I21" i="106"/>
  <c r="J21" i="106"/>
  <c r="J24" i="106" s="1"/>
  <c r="K21" i="106"/>
  <c r="K24" i="106" s="1"/>
  <c r="L21" i="106"/>
  <c r="M21" i="106"/>
  <c r="N21" i="106"/>
  <c r="N24" i="106" s="1"/>
  <c r="O21" i="106"/>
  <c r="O24" i="106" s="1"/>
  <c r="P21" i="106"/>
  <c r="C23" i="106"/>
  <c r="D23" i="106"/>
  <c r="E23" i="106"/>
  <c r="F23" i="106"/>
  <c r="G23" i="106"/>
  <c r="H23" i="106"/>
  <c r="I23" i="106"/>
  <c r="J23" i="106"/>
  <c r="K23" i="106"/>
  <c r="L23" i="106"/>
  <c r="M23" i="106"/>
  <c r="N23" i="106"/>
  <c r="O23" i="106"/>
  <c r="P23" i="106"/>
  <c r="C28" i="106"/>
  <c r="D28" i="106"/>
  <c r="E28" i="106"/>
  <c r="F28" i="106"/>
  <c r="G28" i="106"/>
  <c r="G31" i="106" s="1"/>
  <c r="H28" i="106"/>
  <c r="I28" i="106"/>
  <c r="J28" i="106"/>
  <c r="J31" i="106" s="1"/>
  <c r="K28" i="106"/>
  <c r="K31" i="106" s="1"/>
  <c r="L28" i="106"/>
  <c r="M28" i="106"/>
  <c r="C30" i="106"/>
  <c r="D30" i="106"/>
  <c r="E30" i="106"/>
  <c r="F30" i="106"/>
  <c r="G30" i="106"/>
  <c r="H30" i="106"/>
  <c r="I30" i="106"/>
  <c r="J30" i="106"/>
  <c r="K30" i="106"/>
  <c r="L30" i="106"/>
  <c r="M30" i="106"/>
  <c r="C35" i="106"/>
  <c r="D35" i="106"/>
  <c r="E35" i="106"/>
  <c r="F35" i="106"/>
  <c r="F38" i="106" s="1"/>
  <c r="C37" i="106"/>
  <c r="D37" i="106"/>
  <c r="E37" i="106"/>
  <c r="F37" i="106"/>
  <c r="C42" i="106"/>
  <c r="C44" i="106"/>
  <c r="C49" i="106"/>
  <c r="C51" i="106"/>
  <c r="C8" i="105"/>
  <c r="G2" i="105" s="1"/>
  <c r="D8" i="105"/>
  <c r="E8" i="105"/>
  <c r="F8" i="105"/>
  <c r="G8" i="105"/>
  <c r="H8" i="105"/>
  <c r="H10" i="105" s="1"/>
  <c r="I8" i="105"/>
  <c r="I10" i="105" s="1"/>
  <c r="J8" i="105"/>
  <c r="K8" i="105"/>
  <c r="L8" i="105"/>
  <c r="L10" i="105" s="1"/>
  <c r="M8" i="105"/>
  <c r="M10" i="105" s="1"/>
  <c r="N8" i="105"/>
  <c r="O8" i="105"/>
  <c r="P8" i="105"/>
  <c r="P10" i="105" s="1"/>
  <c r="C14" i="105"/>
  <c r="D14" i="105"/>
  <c r="E14" i="105"/>
  <c r="F14" i="105"/>
  <c r="G14" i="105"/>
  <c r="H14" i="105"/>
  <c r="I14" i="105"/>
  <c r="J14" i="105"/>
  <c r="K14" i="105"/>
  <c r="L14" i="105"/>
  <c r="M14" i="105"/>
  <c r="C16" i="105"/>
  <c r="D16" i="105"/>
  <c r="E16" i="105"/>
  <c r="F16" i="105"/>
  <c r="G16" i="105"/>
  <c r="H16" i="105"/>
  <c r="I16" i="105"/>
  <c r="J16" i="105"/>
  <c r="K16" i="105"/>
  <c r="L16" i="105"/>
  <c r="M16" i="105"/>
  <c r="C21" i="105"/>
  <c r="D21" i="105"/>
  <c r="C23" i="105"/>
  <c r="D23" i="105"/>
  <c r="C28" i="105"/>
  <c r="D28" i="105"/>
  <c r="E28" i="105"/>
  <c r="F28" i="105"/>
  <c r="G28" i="105"/>
  <c r="H28" i="105"/>
  <c r="I28" i="105"/>
  <c r="J28" i="105"/>
  <c r="K28" i="105"/>
  <c r="L28" i="105"/>
  <c r="C30" i="105"/>
  <c r="D30" i="105"/>
  <c r="E30" i="105"/>
  <c r="F30" i="105"/>
  <c r="G30" i="105"/>
  <c r="H30" i="105"/>
  <c r="I30" i="105"/>
  <c r="J30" i="105"/>
  <c r="K30" i="105"/>
  <c r="L30" i="105"/>
  <c r="C35" i="105"/>
  <c r="D35" i="105"/>
  <c r="E35" i="105"/>
  <c r="F35" i="105"/>
  <c r="G35" i="105"/>
  <c r="H35" i="105"/>
  <c r="H38" i="105" s="1"/>
  <c r="I35" i="105"/>
  <c r="I38" i="105" s="1"/>
  <c r="C37" i="105"/>
  <c r="D37" i="105"/>
  <c r="E37" i="105"/>
  <c r="F37" i="105"/>
  <c r="G37" i="105"/>
  <c r="H37" i="105"/>
  <c r="I37" i="105"/>
  <c r="C42" i="105"/>
  <c r="C45" i="105" s="1"/>
  <c r="D42" i="105"/>
  <c r="D45" i="105" s="1"/>
  <c r="E42" i="105"/>
  <c r="C44" i="105"/>
  <c r="D44" i="105"/>
  <c r="E44" i="105"/>
  <c r="C8" i="104"/>
  <c r="G2" i="104" s="1"/>
  <c r="D8" i="104"/>
  <c r="E8" i="104"/>
  <c r="F8" i="104"/>
  <c r="G8" i="104"/>
  <c r="H8" i="104"/>
  <c r="I8" i="104"/>
  <c r="I10" i="104" s="1"/>
  <c r="J8" i="104"/>
  <c r="K8" i="104"/>
  <c r="L8" i="104"/>
  <c r="M8" i="104"/>
  <c r="M10" i="104" s="1"/>
  <c r="N8" i="104"/>
  <c r="C14" i="104"/>
  <c r="D14" i="104"/>
  <c r="E14" i="104"/>
  <c r="F14" i="104"/>
  <c r="G14" i="104"/>
  <c r="H14" i="104"/>
  <c r="I14" i="104"/>
  <c r="J14" i="104"/>
  <c r="K14" i="104"/>
  <c r="C16" i="104"/>
  <c r="D16" i="104"/>
  <c r="E16" i="104"/>
  <c r="F16" i="104"/>
  <c r="G16" i="104"/>
  <c r="H16" i="104"/>
  <c r="I16" i="104"/>
  <c r="J16" i="104"/>
  <c r="K16" i="104"/>
  <c r="C21" i="104"/>
  <c r="D21" i="104"/>
  <c r="E21" i="104"/>
  <c r="F21" i="104"/>
  <c r="C23" i="104"/>
  <c r="D23" i="104"/>
  <c r="E23" i="104"/>
  <c r="F23" i="104"/>
  <c r="C28" i="104"/>
  <c r="D28" i="104"/>
  <c r="E28" i="104"/>
  <c r="F28" i="104"/>
  <c r="G28" i="104"/>
  <c r="H28" i="104"/>
  <c r="I28" i="104"/>
  <c r="J28" i="104"/>
  <c r="J31" i="104" s="1"/>
  <c r="K28" i="104"/>
  <c r="K31" i="104" s="1"/>
  <c r="L28" i="104"/>
  <c r="M28" i="104"/>
  <c r="N28" i="104"/>
  <c r="N31" i="104" s="1"/>
  <c r="C30" i="104"/>
  <c r="D30" i="104"/>
  <c r="E30" i="104"/>
  <c r="F30" i="104"/>
  <c r="G30" i="104"/>
  <c r="H30" i="104"/>
  <c r="I30" i="104"/>
  <c r="J30" i="104"/>
  <c r="K30" i="104"/>
  <c r="L30" i="104"/>
  <c r="M30" i="104"/>
  <c r="N30" i="104"/>
  <c r="C35" i="104"/>
  <c r="D35" i="104"/>
  <c r="E35" i="104"/>
  <c r="F35" i="104"/>
  <c r="G35" i="104"/>
  <c r="G38" i="104" s="1"/>
  <c r="H35" i="104"/>
  <c r="I35" i="104"/>
  <c r="I38" i="104" s="1"/>
  <c r="C37" i="104"/>
  <c r="D37" i="104"/>
  <c r="E37" i="104"/>
  <c r="F37" i="104"/>
  <c r="G37" i="104"/>
  <c r="H37" i="104"/>
  <c r="I37" i="104"/>
  <c r="C42" i="104"/>
  <c r="D42" i="104"/>
  <c r="C44" i="104"/>
  <c r="D44" i="104"/>
  <c r="C8" i="103"/>
  <c r="G2" i="103" s="1"/>
  <c r="D8" i="103"/>
  <c r="E8" i="103"/>
  <c r="E10" i="103" s="1"/>
  <c r="F8" i="103"/>
  <c r="G8" i="103"/>
  <c r="H8" i="103"/>
  <c r="H10" i="103" s="1"/>
  <c r="I8" i="103"/>
  <c r="I10" i="103" s="1"/>
  <c r="J8" i="103"/>
  <c r="C14" i="103"/>
  <c r="D14" i="103"/>
  <c r="E14" i="103"/>
  <c r="F14" i="103"/>
  <c r="G14" i="103"/>
  <c r="G17" i="103" s="1"/>
  <c r="H14" i="103"/>
  <c r="C16" i="103"/>
  <c r="D16" i="103"/>
  <c r="E16" i="103"/>
  <c r="F16" i="103"/>
  <c r="G16" i="103"/>
  <c r="H16" i="103"/>
  <c r="C21" i="103"/>
  <c r="D21" i="103"/>
  <c r="E21" i="103"/>
  <c r="F21" i="103"/>
  <c r="F24" i="103" s="1"/>
  <c r="G21" i="103"/>
  <c r="G24" i="103" s="1"/>
  <c r="C23" i="103"/>
  <c r="D23" i="103"/>
  <c r="E23" i="103"/>
  <c r="F23" i="103"/>
  <c r="G23" i="103"/>
  <c r="C28" i="103"/>
  <c r="C31" i="103" s="1"/>
  <c r="C30" i="103"/>
  <c r="C35" i="103"/>
  <c r="D35" i="103"/>
  <c r="E35" i="103"/>
  <c r="E38" i="103" s="1"/>
  <c r="F35" i="103"/>
  <c r="G35" i="103"/>
  <c r="H35" i="103"/>
  <c r="H38" i="103" s="1"/>
  <c r="I35" i="103"/>
  <c r="I38" i="103" s="1"/>
  <c r="J35" i="103"/>
  <c r="K35" i="103"/>
  <c r="L35" i="103"/>
  <c r="L38" i="103" s="1"/>
  <c r="C37" i="103"/>
  <c r="D37" i="103"/>
  <c r="E37" i="103"/>
  <c r="F37" i="103"/>
  <c r="G37" i="103"/>
  <c r="H37" i="103"/>
  <c r="I37" i="103"/>
  <c r="J37" i="103"/>
  <c r="K37" i="103"/>
  <c r="L37" i="103"/>
  <c r="C42" i="103"/>
  <c r="D42" i="103"/>
  <c r="E42" i="103"/>
  <c r="F42" i="103"/>
  <c r="G42" i="103"/>
  <c r="H42" i="103"/>
  <c r="H45" i="103" s="1"/>
  <c r="I42" i="103"/>
  <c r="I45" i="103" s="1"/>
  <c r="J42" i="103"/>
  <c r="K42" i="103"/>
  <c r="L42" i="103"/>
  <c r="L45" i="103" s="1"/>
  <c r="M42" i="103"/>
  <c r="M45" i="103" s="1"/>
  <c r="N42" i="103"/>
  <c r="O42" i="103"/>
  <c r="C44" i="103"/>
  <c r="D44" i="103"/>
  <c r="E44" i="103"/>
  <c r="F44" i="103"/>
  <c r="G44" i="103"/>
  <c r="H44" i="103"/>
  <c r="I44" i="103"/>
  <c r="J44" i="103"/>
  <c r="K44" i="103"/>
  <c r="L44" i="103"/>
  <c r="M44" i="103"/>
  <c r="N44" i="103"/>
  <c r="O44" i="103"/>
  <c r="C49" i="103"/>
  <c r="D49" i="103"/>
  <c r="E49" i="103"/>
  <c r="F49" i="103"/>
  <c r="G49" i="103"/>
  <c r="H49" i="103"/>
  <c r="H52" i="103" s="1"/>
  <c r="I49" i="103"/>
  <c r="I52" i="103" s="1"/>
  <c r="J49" i="103"/>
  <c r="K49" i="103"/>
  <c r="L49" i="103"/>
  <c r="L52" i="103" s="1"/>
  <c r="M49" i="103"/>
  <c r="M52" i="103" s="1"/>
  <c r="N49" i="103"/>
  <c r="C51" i="103"/>
  <c r="D51" i="103"/>
  <c r="E51" i="103"/>
  <c r="F51" i="103"/>
  <c r="G51" i="103"/>
  <c r="H51" i="103"/>
  <c r="I51" i="103"/>
  <c r="J51" i="103"/>
  <c r="K51" i="103"/>
  <c r="L51" i="103"/>
  <c r="M51" i="103"/>
  <c r="N51" i="103"/>
  <c r="C56" i="103"/>
  <c r="D56" i="103"/>
  <c r="E56" i="103"/>
  <c r="F56" i="103"/>
  <c r="F59" i="103" s="1"/>
  <c r="G56" i="103"/>
  <c r="G59" i="103" s="1"/>
  <c r="H56" i="103"/>
  <c r="C58" i="103"/>
  <c r="D58" i="103"/>
  <c r="E58" i="103"/>
  <c r="F58" i="103"/>
  <c r="G58" i="103"/>
  <c r="H58" i="103"/>
  <c r="C63" i="103"/>
  <c r="C65" i="103"/>
  <c r="C70" i="103"/>
  <c r="C72" i="103"/>
  <c r="C8" i="102"/>
  <c r="D8" i="102"/>
  <c r="G2" i="102" s="1"/>
  <c r="E8" i="102"/>
  <c r="F8" i="102"/>
  <c r="F10" i="102" s="1"/>
  <c r="G8" i="102"/>
  <c r="H8" i="102"/>
  <c r="H10" i="102" s="1"/>
  <c r="I8" i="102"/>
  <c r="I10" i="102" s="1"/>
  <c r="J8" i="102"/>
  <c r="J10" i="102" s="1"/>
  <c r="C14" i="102"/>
  <c r="D14" i="102"/>
  <c r="E14" i="102"/>
  <c r="F14" i="102"/>
  <c r="G14" i="102"/>
  <c r="H14" i="102"/>
  <c r="I14" i="102"/>
  <c r="J14" i="102"/>
  <c r="K14" i="102"/>
  <c r="L14" i="102"/>
  <c r="M14" i="102"/>
  <c r="N14" i="102"/>
  <c r="O14" i="102"/>
  <c r="P14" i="102"/>
  <c r="Q14" i="102"/>
  <c r="C16" i="102"/>
  <c r="D16" i="102"/>
  <c r="E16" i="102"/>
  <c r="F16" i="102"/>
  <c r="G16" i="102"/>
  <c r="H16" i="102"/>
  <c r="I16" i="102"/>
  <c r="J16" i="102"/>
  <c r="K16" i="102"/>
  <c r="L16" i="102"/>
  <c r="M16" i="102"/>
  <c r="N16" i="102"/>
  <c r="O16" i="102"/>
  <c r="P16" i="102"/>
  <c r="Q16" i="102"/>
  <c r="C21" i="102"/>
  <c r="D21" i="102"/>
  <c r="E21" i="102"/>
  <c r="F21" i="102"/>
  <c r="G21" i="102"/>
  <c r="H21" i="102"/>
  <c r="I21" i="102"/>
  <c r="J21" i="102"/>
  <c r="J24" i="102" s="1"/>
  <c r="K21" i="102"/>
  <c r="C23" i="102"/>
  <c r="D23" i="102"/>
  <c r="E23" i="102"/>
  <c r="F23" i="102"/>
  <c r="G23" i="102"/>
  <c r="H23" i="102"/>
  <c r="I23" i="102"/>
  <c r="J23" i="102"/>
  <c r="K23" i="102"/>
  <c r="C28" i="102"/>
  <c r="D28" i="102"/>
  <c r="E28" i="102"/>
  <c r="C30" i="102"/>
  <c r="D30" i="102"/>
  <c r="E30" i="102"/>
  <c r="C35" i="102"/>
  <c r="D35" i="102"/>
  <c r="D38" i="102" s="1"/>
  <c r="C37" i="102"/>
  <c r="D37" i="102"/>
  <c r="C42" i="102"/>
  <c r="C45" i="102" s="1"/>
  <c r="D42" i="102"/>
  <c r="D45" i="102" s="1"/>
  <c r="E42" i="102"/>
  <c r="F42" i="102"/>
  <c r="G42" i="102"/>
  <c r="G45" i="102" s="1"/>
  <c r="C44" i="102"/>
  <c r="D44" i="102"/>
  <c r="E44" i="102"/>
  <c r="F44" i="102"/>
  <c r="G44" i="102"/>
  <c r="C49" i="102"/>
  <c r="D49" i="102"/>
  <c r="E49" i="102"/>
  <c r="F49" i="102"/>
  <c r="G49" i="102"/>
  <c r="H49" i="102"/>
  <c r="H52" i="102" s="1"/>
  <c r="I49" i="102"/>
  <c r="J49" i="102"/>
  <c r="K49" i="102"/>
  <c r="L49" i="102"/>
  <c r="L52" i="102" s="1"/>
  <c r="M49" i="102"/>
  <c r="N49" i="102"/>
  <c r="C51" i="102"/>
  <c r="D51" i="102"/>
  <c r="E51" i="102"/>
  <c r="F51" i="102"/>
  <c r="G51" i="102"/>
  <c r="H51" i="102"/>
  <c r="I51" i="102"/>
  <c r="J51" i="102"/>
  <c r="K51" i="102"/>
  <c r="L51" i="102"/>
  <c r="M51" i="102"/>
  <c r="N51" i="102"/>
  <c r="C56" i="102"/>
  <c r="D56" i="102"/>
  <c r="E56" i="102"/>
  <c r="E59" i="102" s="1"/>
  <c r="C58" i="102"/>
  <c r="D58" i="102"/>
  <c r="E58" i="102"/>
  <c r="C63" i="102"/>
  <c r="C65" i="102"/>
  <c r="C70" i="102"/>
  <c r="C72" i="102"/>
  <c r="C8" i="101"/>
  <c r="G2" i="101" s="1"/>
  <c r="D8" i="101"/>
  <c r="E8" i="101"/>
  <c r="F8" i="101"/>
  <c r="G8" i="101"/>
  <c r="H8" i="101"/>
  <c r="I8" i="101"/>
  <c r="J8" i="101"/>
  <c r="K8" i="101"/>
  <c r="L8" i="101"/>
  <c r="L10" i="101" s="1"/>
  <c r="M8" i="101"/>
  <c r="M10" i="101" s="1"/>
  <c r="N8" i="101"/>
  <c r="O8" i="101"/>
  <c r="P8" i="101"/>
  <c r="P10" i="101" s="1"/>
  <c r="Q8" i="101"/>
  <c r="Q10" i="101" s="1"/>
  <c r="R8" i="101"/>
  <c r="S8" i="101"/>
  <c r="T8" i="101"/>
  <c r="T10" i="101" s="1"/>
  <c r="C14" i="101"/>
  <c r="D14" i="101"/>
  <c r="E14" i="101"/>
  <c r="F14" i="101"/>
  <c r="G14" i="101"/>
  <c r="H14" i="101"/>
  <c r="I14" i="101"/>
  <c r="J14" i="101"/>
  <c r="K14" i="101"/>
  <c r="L14" i="101"/>
  <c r="M14" i="101"/>
  <c r="N14" i="101"/>
  <c r="C21" i="101"/>
  <c r="D21" i="101"/>
  <c r="E21" i="101"/>
  <c r="E23" i="101" s="1"/>
  <c r="F21" i="101"/>
  <c r="G21" i="101"/>
  <c r="G23" i="101" s="1"/>
  <c r="C28" i="101"/>
  <c r="C35" i="101"/>
  <c r="C42" i="101"/>
  <c r="D42" i="101"/>
  <c r="E42" i="101"/>
  <c r="F42" i="101"/>
  <c r="G42" i="101"/>
  <c r="H42" i="101"/>
  <c r="I42" i="101"/>
  <c r="J42" i="101"/>
  <c r="K42" i="101"/>
  <c r="L42" i="101"/>
  <c r="L44" i="101" s="1"/>
  <c r="M42" i="101"/>
  <c r="N42" i="101"/>
  <c r="O42" i="101"/>
  <c r="P42" i="101"/>
  <c r="P44" i="101" s="1"/>
  <c r="Q42" i="101"/>
  <c r="C49" i="101"/>
  <c r="C51" i="101" s="1"/>
  <c r="D49" i="101"/>
  <c r="D51" i="101" s="1"/>
  <c r="C8" i="100"/>
  <c r="G2" i="100" s="1"/>
  <c r="D8" i="100"/>
  <c r="E8" i="100"/>
  <c r="F8" i="100"/>
  <c r="G8" i="100"/>
  <c r="H8" i="100"/>
  <c r="H10" i="100" s="1"/>
  <c r="I8" i="100"/>
  <c r="J8" i="100"/>
  <c r="K8" i="100"/>
  <c r="L8" i="100"/>
  <c r="L10" i="100" s="1"/>
  <c r="C14" i="100"/>
  <c r="D14" i="100"/>
  <c r="E14" i="100"/>
  <c r="F14" i="100"/>
  <c r="G14" i="100"/>
  <c r="H14" i="100"/>
  <c r="H17" i="100" s="1"/>
  <c r="I14" i="100"/>
  <c r="J14" i="100"/>
  <c r="K14" i="100"/>
  <c r="L14" i="100"/>
  <c r="L17" i="100" s="1"/>
  <c r="M14" i="100"/>
  <c r="N14" i="100"/>
  <c r="O14" i="100"/>
  <c r="P14" i="100"/>
  <c r="P17" i="100" s="1"/>
  <c r="Q14" i="100"/>
  <c r="R14" i="100"/>
  <c r="S14" i="100"/>
  <c r="C16" i="100"/>
  <c r="D16" i="100"/>
  <c r="E16" i="100"/>
  <c r="F16" i="100"/>
  <c r="G16" i="100"/>
  <c r="H16" i="100"/>
  <c r="I16" i="100"/>
  <c r="J16" i="100"/>
  <c r="K16" i="100"/>
  <c r="L16" i="100"/>
  <c r="M16" i="100"/>
  <c r="N16" i="100"/>
  <c r="O16" i="100"/>
  <c r="P16" i="100"/>
  <c r="Q16" i="100"/>
  <c r="R16" i="100"/>
  <c r="S16" i="100"/>
  <c r="C21" i="100"/>
  <c r="D21" i="100"/>
  <c r="E21" i="100"/>
  <c r="F21" i="100"/>
  <c r="G21" i="100"/>
  <c r="H21" i="100"/>
  <c r="I21" i="100"/>
  <c r="J21" i="100"/>
  <c r="K21" i="100"/>
  <c r="C23" i="100"/>
  <c r="D23" i="100"/>
  <c r="E23" i="100"/>
  <c r="F23" i="100"/>
  <c r="G23" i="100"/>
  <c r="H23" i="100"/>
  <c r="I23" i="100"/>
  <c r="J23" i="100"/>
  <c r="K23" i="100"/>
  <c r="C28" i="100"/>
  <c r="D28" i="100"/>
  <c r="D31" i="100" s="1"/>
  <c r="E28" i="100"/>
  <c r="E31" i="100" s="1"/>
  <c r="C30" i="100"/>
  <c r="D30" i="100"/>
  <c r="E30" i="100"/>
  <c r="C35" i="100"/>
  <c r="D35" i="100"/>
  <c r="D38" i="100" s="1"/>
  <c r="E35" i="100"/>
  <c r="F35" i="100"/>
  <c r="G35" i="100"/>
  <c r="C37" i="100"/>
  <c r="D37" i="100"/>
  <c r="E37" i="100"/>
  <c r="F37" i="100"/>
  <c r="G37" i="100"/>
  <c r="C42" i="100"/>
  <c r="D42" i="100"/>
  <c r="E42" i="100"/>
  <c r="F42" i="100"/>
  <c r="G42" i="100"/>
  <c r="C44" i="100"/>
  <c r="D44" i="100"/>
  <c r="E44" i="100"/>
  <c r="F44" i="100"/>
  <c r="G44" i="100"/>
  <c r="C49" i="100"/>
  <c r="D49" i="100"/>
  <c r="D52" i="100" s="1"/>
  <c r="E49" i="100"/>
  <c r="E52" i="100" s="1"/>
  <c r="C51" i="100"/>
  <c r="D51" i="100"/>
  <c r="E51" i="100"/>
  <c r="C56" i="100"/>
  <c r="D56" i="100"/>
  <c r="E56" i="100"/>
  <c r="F56" i="100"/>
  <c r="G56" i="100"/>
  <c r="G59" i="100" s="1"/>
  <c r="H56" i="100"/>
  <c r="H59" i="100" s="1"/>
  <c r="C58" i="100"/>
  <c r="D58" i="100"/>
  <c r="E58" i="100"/>
  <c r="F58" i="100"/>
  <c r="G58" i="100"/>
  <c r="H58" i="100"/>
  <c r="C63" i="100"/>
  <c r="D63" i="100"/>
  <c r="E63" i="100"/>
  <c r="F63" i="100"/>
  <c r="C65" i="100"/>
  <c r="D65" i="100"/>
  <c r="E65" i="100"/>
  <c r="F65" i="100"/>
  <c r="C70" i="100"/>
  <c r="D70" i="100"/>
  <c r="C72" i="100"/>
  <c r="D72" i="100"/>
  <c r="C77" i="100"/>
  <c r="C79" i="100"/>
  <c r="C84" i="100"/>
  <c r="D84" i="100"/>
  <c r="C86" i="100"/>
  <c r="D86" i="100"/>
  <c r="C91" i="100"/>
  <c r="D91" i="100"/>
  <c r="C93" i="100"/>
  <c r="D93" i="100"/>
  <c r="C4" i="99"/>
  <c r="D4" i="99"/>
  <c r="C6" i="99"/>
  <c r="D6" i="99"/>
  <c r="C11" i="99"/>
  <c r="D11" i="99"/>
  <c r="E11" i="99"/>
  <c r="F11" i="99"/>
  <c r="G11" i="99"/>
  <c r="C13" i="99"/>
  <c r="D13" i="99"/>
  <c r="E13" i="99"/>
  <c r="F13" i="99"/>
  <c r="G13" i="99"/>
  <c r="C18" i="99"/>
  <c r="D18" i="99"/>
  <c r="E18" i="99"/>
  <c r="F18" i="99"/>
  <c r="G18" i="99"/>
  <c r="C20" i="99"/>
  <c r="D20" i="99"/>
  <c r="E20" i="99"/>
  <c r="F20" i="99"/>
  <c r="G20" i="99"/>
  <c r="C25" i="99"/>
  <c r="D25" i="99"/>
  <c r="E25" i="99"/>
  <c r="F25" i="99"/>
  <c r="G25" i="99"/>
  <c r="H25" i="99"/>
  <c r="I25" i="99"/>
  <c r="J25" i="99"/>
  <c r="K25" i="99"/>
  <c r="L25" i="99"/>
  <c r="M25" i="99"/>
  <c r="C27" i="99"/>
  <c r="D27" i="99"/>
  <c r="E27" i="99"/>
  <c r="F27" i="99"/>
  <c r="G27" i="99"/>
  <c r="H27" i="99"/>
  <c r="I27" i="99"/>
  <c r="J27" i="99"/>
  <c r="K27" i="99"/>
  <c r="L27" i="99"/>
  <c r="M27" i="99"/>
  <c r="C32" i="99"/>
  <c r="D32" i="99"/>
  <c r="E32" i="99"/>
  <c r="F32" i="99"/>
  <c r="F35" i="99" s="1"/>
  <c r="G32" i="99"/>
  <c r="G35" i="99" s="1"/>
  <c r="H32" i="99"/>
  <c r="I32" i="99"/>
  <c r="J32" i="99"/>
  <c r="J35" i="99" s="1"/>
  <c r="K32" i="99"/>
  <c r="K35" i="99" s="1"/>
  <c r="L32" i="99"/>
  <c r="M32" i="99"/>
  <c r="N32" i="99"/>
  <c r="N35" i="99" s="1"/>
  <c r="O32" i="99"/>
  <c r="O35" i="99" s="1"/>
  <c r="P32" i="99"/>
  <c r="Q32" i="99"/>
  <c r="R32" i="99"/>
  <c r="R35" i="99" s="1"/>
  <c r="C34" i="99"/>
  <c r="D34" i="99"/>
  <c r="E34" i="99"/>
  <c r="F34" i="99"/>
  <c r="G34" i="99"/>
  <c r="H34" i="99"/>
  <c r="I34" i="99"/>
  <c r="J34" i="99"/>
  <c r="K34" i="99"/>
  <c r="L34" i="99"/>
  <c r="M34" i="99"/>
  <c r="N34" i="99"/>
  <c r="O34" i="99"/>
  <c r="P34" i="99"/>
  <c r="Q34" i="99"/>
  <c r="R34" i="99"/>
  <c r="D35" i="99"/>
  <c r="E35" i="99"/>
  <c r="H35" i="99"/>
  <c r="I35" i="99"/>
  <c r="L35" i="99"/>
  <c r="M35" i="99"/>
  <c r="P35" i="99"/>
  <c r="Q35" i="99"/>
  <c r="C39" i="99"/>
  <c r="D39" i="99"/>
  <c r="E39" i="99"/>
  <c r="E41" i="99" s="1"/>
  <c r="F39" i="99"/>
  <c r="G39" i="99"/>
  <c r="H39" i="99"/>
  <c r="I39" i="99"/>
  <c r="I41" i="99" s="1"/>
  <c r="J39" i="99"/>
  <c r="K39" i="99"/>
  <c r="L39" i="99"/>
  <c r="M39" i="99"/>
  <c r="M41" i="99" s="1"/>
  <c r="N39" i="99"/>
  <c r="O39" i="99"/>
  <c r="P39" i="99"/>
  <c r="Q39" i="99"/>
  <c r="Q41" i="99" s="1"/>
  <c r="R39" i="99"/>
  <c r="S39" i="99"/>
  <c r="T39" i="99"/>
  <c r="D41" i="99"/>
  <c r="F41" i="99"/>
  <c r="G41" i="99"/>
  <c r="H41" i="99"/>
  <c r="J41" i="99"/>
  <c r="K41" i="99"/>
  <c r="L41" i="99"/>
  <c r="N41" i="99"/>
  <c r="O41" i="99"/>
  <c r="P41" i="99"/>
  <c r="R41" i="99"/>
  <c r="S41" i="99"/>
  <c r="T41" i="99"/>
  <c r="C46" i="99"/>
  <c r="D46" i="99"/>
  <c r="E46" i="99"/>
  <c r="E49" i="99" s="1"/>
  <c r="F46" i="99"/>
  <c r="F49" i="99" s="1"/>
  <c r="G46" i="99"/>
  <c r="H46" i="99"/>
  <c r="I46" i="99"/>
  <c r="I49" i="99" s="1"/>
  <c r="J46" i="99"/>
  <c r="J49" i="99" s="1"/>
  <c r="K46" i="99"/>
  <c r="L46" i="99"/>
  <c r="C48" i="99"/>
  <c r="D48" i="99"/>
  <c r="E48" i="99"/>
  <c r="F48" i="99"/>
  <c r="G48" i="99"/>
  <c r="H48" i="99"/>
  <c r="I48" i="99"/>
  <c r="J48" i="99"/>
  <c r="K48" i="99"/>
  <c r="L48" i="99"/>
  <c r="G49" i="99"/>
  <c r="H49" i="99"/>
  <c r="K49" i="99"/>
  <c r="L49" i="99"/>
  <c r="C53" i="99"/>
  <c r="D53" i="99"/>
  <c r="E53" i="99"/>
  <c r="E56" i="99" s="1"/>
  <c r="F53" i="99"/>
  <c r="F56" i="99" s="1"/>
  <c r="G53" i="99"/>
  <c r="H53" i="99"/>
  <c r="I53" i="99"/>
  <c r="I56" i="99" s="1"/>
  <c r="J53" i="99"/>
  <c r="J56" i="99" s="1"/>
  <c r="K53" i="99"/>
  <c r="C55" i="99"/>
  <c r="D55" i="99"/>
  <c r="E55" i="99"/>
  <c r="F55" i="99"/>
  <c r="G55" i="99"/>
  <c r="H55" i="99"/>
  <c r="I55" i="99"/>
  <c r="J55" i="99"/>
  <c r="K55" i="99"/>
  <c r="C56" i="99"/>
  <c r="D56" i="99"/>
  <c r="G56" i="99"/>
  <c r="H56" i="99"/>
  <c r="K56" i="99"/>
  <c r="C60" i="99"/>
  <c r="C63" i="99" s="1"/>
  <c r="D60" i="99"/>
  <c r="E60" i="99"/>
  <c r="F60" i="99"/>
  <c r="F63" i="99" s="1"/>
  <c r="G60" i="99"/>
  <c r="G63" i="99" s="1"/>
  <c r="H60" i="99"/>
  <c r="I60" i="99"/>
  <c r="C62" i="99"/>
  <c r="D62" i="99"/>
  <c r="E62" i="99"/>
  <c r="F62" i="99"/>
  <c r="G62" i="99"/>
  <c r="H62" i="99"/>
  <c r="I62" i="99"/>
  <c r="D63" i="99"/>
  <c r="E63" i="99"/>
  <c r="H63" i="99"/>
  <c r="I63" i="99"/>
  <c r="C67" i="99"/>
  <c r="D67" i="99"/>
  <c r="E67" i="99"/>
  <c r="E70" i="99" s="1"/>
  <c r="F67" i="99"/>
  <c r="F70" i="99" s="1"/>
  <c r="G67" i="99"/>
  <c r="C69" i="99"/>
  <c r="D69" i="99"/>
  <c r="E69" i="99"/>
  <c r="F69" i="99"/>
  <c r="G69" i="99"/>
  <c r="C70" i="99"/>
  <c r="D70" i="99"/>
  <c r="G70" i="99"/>
  <c r="B72" i="99"/>
  <c r="C4" i="98"/>
  <c r="D4" i="98"/>
  <c r="E4" i="98"/>
  <c r="F4" i="98"/>
  <c r="F7" i="98" s="1"/>
  <c r="G4" i="98"/>
  <c r="H4" i="98"/>
  <c r="I4" i="98"/>
  <c r="J4" i="98"/>
  <c r="J7" i="98" s="1"/>
  <c r="K4" i="98"/>
  <c r="L4" i="98"/>
  <c r="M4" i="98"/>
  <c r="N4" i="98"/>
  <c r="N7" i="98" s="1"/>
  <c r="O4" i="98"/>
  <c r="P4" i="98"/>
  <c r="C6" i="98"/>
  <c r="D6" i="98"/>
  <c r="E6" i="98"/>
  <c r="F6" i="98"/>
  <c r="G6" i="98"/>
  <c r="H6" i="98"/>
  <c r="I6" i="98"/>
  <c r="J6" i="98"/>
  <c r="K6" i="98"/>
  <c r="L6" i="98"/>
  <c r="M6" i="98"/>
  <c r="N6" i="98"/>
  <c r="O6" i="98"/>
  <c r="P6" i="98"/>
  <c r="D7" i="98"/>
  <c r="E7" i="98"/>
  <c r="G7" i="98"/>
  <c r="H7" i="98"/>
  <c r="I7" i="98"/>
  <c r="K7" i="98"/>
  <c r="L7" i="98"/>
  <c r="M7" i="98"/>
  <c r="O7" i="98"/>
  <c r="P7" i="98"/>
  <c r="C11" i="98"/>
  <c r="D11" i="98"/>
  <c r="E11" i="98"/>
  <c r="F11" i="98"/>
  <c r="G11" i="98"/>
  <c r="H11" i="98"/>
  <c r="I11" i="98"/>
  <c r="J11" i="98"/>
  <c r="K11" i="98"/>
  <c r="L11" i="98"/>
  <c r="M11" i="98"/>
  <c r="N11" i="98"/>
  <c r="O11" i="98"/>
  <c r="P11" i="98"/>
  <c r="Q11" i="98"/>
  <c r="R11" i="98"/>
  <c r="C13" i="98"/>
  <c r="D13" i="98"/>
  <c r="E13" i="98"/>
  <c r="F13" i="98"/>
  <c r="G13" i="98"/>
  <c r="H13" i="98"/>
  <c r="I13" i="98"/>
  <c r="J13" i="98"/>
  <c r="K13" i="98"/>
  <c r="L13" i="98"/>
  <c r="M13" i="98"/>
  <c r="N13" i="98"/>
  <c r="O13" i="98"/>
  <c r="P13" i="98"/>
  <c r="Q13" i="98"/>
  <c r="R13" i="98"/>
  <c r="C17" i="98"/>
  <c r="D17" i="98"/>
  <c r="E17" i="98"/>
  <c r="F17" i="98"/>
  <c r="G17" i="98"/>
  <c r="H17" i="98"/>
  <c r="I17" i="98"/>
  <c r="J17" i="98"/>
  <c r="K17" i="98"/>
  <c r="L17" i="98"/>
  <c r="M17" i="98"/>
  <c r="N17" i="98"/>
  <c r="C19" i="98"/>
  <c r="D19" i="98"/>
  <c r="E19" i="98"/>
  <c r="F19" i="98"/>
  <c r="G19" i="98"/>
  <c r="H19" i="98"/>
  <c r="I19" i="98"/>
  <c r="J19" i="98"/>
  <c r="K19" i="98"/>
  <c r="L19" i="98"/>
  <c r="M19" i="98"/>
  <c r="N19" i="98"/>
  <c r="C20" i="98"/>
  <c r="D20" i="98"/>
  <c r="E20" i="98"/>
  <c r="F20" i="98"/>
  <c r="G20" i="98"/>
  <c r="H20" i="98"/>
  <c r="I20" i="98"/>
  <c r="J20" i="98"/>
  <c r="K20" i="98"/>
  <c r="L20" i="98"/>
  <c r="M20" i="98"/>
  <c r="N20" i="98"/>
  <c r="C24" i="98"/>
  <c r="D24" i="98"/>
  <c r="E24" i="98"/>
  <c r="F24" i="98"/>
  <c r="G24" i="98"/>
  <c r="H24" i="98"/>
  <c r="I24" i="98"/>
  <c r="J24" i="98"/>
  <c r="K24" i="98"/>
  <c r="L24" i="98"/>
  <c r="M24" i="98"/>
  <c r="N24" i="98"/>
  <c r="O24" i="98"/>
  <c r="P24" i="98"/>
  <c r="C26" i="98"/>
  <c r="D26" i="98"/>
  <c r="E26" i="98"/>
  <c r="F26" i="98"/>
  <c r="G26" i="98"/>
  <c r="H26" i="98"/>
  <c r="I26" i="98"/>
  <c r="J26" i="98"/>
  <c r="K26" i="98"/>
  <c r="L26" i="98"/>
  <c r="M26" i="98"/>
  <c r="N26" i="98"/>
  <c r="O26" i="98"/>
  <c r="P26" i="98"/>
  <c r="C27" i="98"/>
  <c r="D27" i="98"/>
  <c r="E27" i="98"/>
  <c r="F27" i="98"/>
  <c r="G27" i="98"/>
  <c r="H27" i="98"/>
  <c r="I27" i="98"/>
  <c r="J27" i="98"/>
  <c r="K27" i="98"/>
  <c r="L27" i="98"/>
  <c r="M27" i="98"/>
  <c r="N27" i="98"/>
  <c r="O27" i="98"/>
  <c r="P27" i="98"/>
  <c r="C31" i="98"/>
  <c r="C34" i="98" s="1"/>
  <c r="D31" i="98"/>
  <c r="E31" i="98"/>
  <c r="F31" i="98"/>
  <c r="G31" i="98"/>
  <c r="G34" i="98" s="1"/>
  <c r="H31" i="98"/>
  <c r="I31" i="98"/>
  <c r="J31" i="98"/>
  <c r="K31" i="98"/>
  <c r="K34" i="98" s="1"/>
  <c r="C33" i="98"/>
  <c r="D33" i="98"/>
  <c r="E33" i="98"/>
  <c r="F33" i="98"/>
  <c r="G33" i="98"/>
  <c r="H33" i="98"/>
  <c r="I33" i="98"/>
  <c r="J33" i="98"/>
  <c r="K33" i="98"/>
  <c r="D34" i="98"/>
  <c r="E34" i="98"/>
  <c r="F34" i="98"/>
  <c r="H34" i="98"/>
  <c r="I34" i="98"/>
  <c r="J34" i="98"/>
  <c r="C38" i="98"/>
  <c r="D38" i="98"/>
  <c r="E38" i="98"/>
  <c r="F38" i="98"/>
  <c r="G38" i="98"/>
  <c r="H38" i="98"/>
  <c r="H41" i="98" s="1"/>
  <c r="I38" i="98"/>
  <c r="J38" i="98"/>
  <c r="K38" i="98"/>
  <c r="L38" i="98"/>
  <c r="L41" i="98" s="1"/>
  <c r="C40" i="98"/>
  <c r="D40" i="98"/>
  <c r="E40" i="98"/>
  <c r="F40" i="98"/>
  <c r="G40" i="98"/>
  <c r="H40" i="98"/>
  <c r="I40" i="98"/>
  <c r="J40" i="98"/>
  <c r="K40" i="98"/>
  <c r="L40" i="98"/>
  <c r="E41" i="98"/>
  <c r="F41" i="98"/>
  <c r="G41" i="98"/>
  <c r="I41" i="98"/>
  <c r="J41" i="98"/>
  <c r="K41" i="98"/>
  <c r="C45" i="98"/>
  <c r="C48" i="98" s="1"/>
  <c r="D45" i="98"/>
  <c r="D48" i="98" s="1"/>
  <c r="E45" i="98"/>
  <c r="C47" i="98"/>
  <c r="D47" i="98"/>
  <c r="E47" i="98"/>
  <c r="E48" i="98"/>
  <c r="B50" i="98"/>
  <c r="C15" i="97"/>
  <c r="D15" i="97"/>
  <c r="D18" i="97" s="1"/>
  <c r="E15" i="97"/>
  <c r="E18" i="97" s="1"/>
  <c r="F15" i="97"/>
  <c r="G15" i="97"/>
  <c r="H15" i="97"/>
  <c r="H18" i="97" s="1"/>
  <c r="C17" i="97"/>
  <c r="D17" i="97"/>
  <c r="E17" i="97"/>
  <c r="F17" i="97"/>
  <c r="G17" i="97"/>
  <c r="H17" i="97"/>
  <c r="F18" i="97"/>
  <c r="G18" i="97"/>
  <c r="C22" i="97"/>
  <c r="D22" i="97"/>
  <c r="E22" i="97"/>
  <c r="F22" i="97"/>
  <c r="G22" i="97"/>
  <c r="H22" i="97"/>
  <c r="I22" i="97"/>
  <c r="J22" i="97"/>
  <c r="C24" i="97"/>
  <c r="D24" i="97"/>
  <c r="E24" i="97"/>
  <c r="F24" i="97"/>
  <c r="G24" i="97"/>
  <c r="H24" i="97"/>
  <c r="I24" i="97"/>
  <c r="J24" i="97"/>
  <c r="C25" i="97"/>
  <c r="D25" i="97"/>
  <c r="E25" i="97"/>
  <c r="F25" i="97"/>
  <c r="G25" i="97"/>
  <c r="H25" i="97"/>
  <c r="I25" i="97"/>
  <c r="J25" i="97"/>
  <c r="C29" i="97"/>
  <c r="D29" i="97"/>
  <c r="E29" i="97"/>
  <c r="F29" i="97"/>
  <c r="G29" i="97"/>
  <c r="H29" i="97"/>
  <c r="I29" i="97"/>
  <c r="J29" i="97"/>
  <c r="K29" i="97"/>
  <c r="L29" i="97"/>
  <c r="C31" i="97"/>
  <c r="D31" i="97"/>
  <c r="E31" i="97"/>
  <c r="F31" i="97"/>
  <c r="G31" i="97"/>
  <c r="H31" i="97"/>
  <c r="I31" i="97"/>
  <c r="J31" i="97"/>
  <c r="K31" i="97"/>
  <c r="L31" i="97"/>
  <c r="C32" i="97"/>
  <c r="D32" i="97"/>
  <c r="E32" i="97"/>
  <c r="F32" i="97"/>
  <c r="G32" i="97"/>
  <c r="H32" i="97"/>
  <c r="I32" i="97"/>
  <c r="J32" i="97"/>
  <c r="K32" i="97"/>
  <c r="L32" i="97"/>
  <c r="C36" i="97"/>
  <c r="D36" i="97"/>
  <c r="E36" i="97"/>
  <c r="F36" i="97"/>
  <c r="F38" i="97" s="1"/>
  <c r="G36" i="97"/>
  <c r="G38" i="97" s="1"/>
  <c r="H36" i="97"/>
  <c r="I36" i="97"/>
  <c r="J36" i="97"/>
  <c r="J38" i="97" s="1"/>
  <c r="K36" i="97"/>
  <c r="K38" i="97" s="1"/>
  <c r="L36" i="97"/>
  <c r="M36" i="97"/>
  <c r="D38" i="97"/>
  <c r="E38" i="97"/>
  <c r="H38" i="97"/>
  <c r="I38" i="97"/>
  <c r="L38" i="97"/>
  <c r="M38" i="97"/>
  <c r="C42" i="97"/>
  <c r="D42" i="97"/>
  <c r="E42" i="97"/>
  <c r="F42" i="97"/>
  <c r="F45" i="97" s="1"/>
  <c r="G42" i="97"/>
  <c r="H42" i="97"/>
  <c r="I42" i="97"/>
  <c r="J42" i="97"/>
  <c r="J45" i="97" s="1"/>
  <c r="K42" i="97"/>
  <c r="L42" i="97"/>
  <c r="M42" i="97"/>
  <c r="N42" i="97"/>
  <c r="N45" i="97" s="1"/>
  <c r="O42" i="97"/>
  <c r="P42" i="97"/>
  <c r="Q42" i="97"/>
  <c r="C44" i="97"/>
  <c r="D44" i="97"/>
  <c r="E44" i="97"/>
  <c r="F44" i="97"/>
  <c r="G44" i="97"/>
  <c r="H44" i="97"/>
  <c r="I44" i="97"/>
  <c r="J44" i="97"/>
  <c r="K44" i="97"/>
  <c r="L44" i="97"/>
  <c r="M44" i="97"/>
  <c r="N44" i="97"/>
  <c r="O44" i="97"/>
  <c r="P44" i="97"/>
  <c r="Q44" i="97"/>
  <c r="D45" i="97"/>
  <c r="E45" i="97"/>
  <c r="G45" i="97"/>
  <c r="H45" i="97"/>
  <c r="I45" i="97"/>
  <c r="K45" i="97"/>
  <c r="L45" i="97"/>
  <c r="M45" i="97"/>
  <c r="O45" i="97"/>
  <c r="P45" i="97"/>
  <c r="Q45" i="97"/>
  <c r="C49" i="97"/>
  <c r="D49" i="97"/>
  <c r="E49" i="97"/>
  <c r="F49" i="97"/>
  <c r="F52" i="97" s="1"/>
  <c r="G49" i="97"/>
  <c r="H49" i="97"/>
  <c r="I49" i="97"/>
  <c r="J49" i="97"/>
  <c r="J52" i="97" s="1"/>
  <c r="K49" i="97"/>
  <c r="L49" i="97"/>
  <c r="M49" i="97"/>
  <c r="N49" i="97"/>
  <c r="N52" i="97" s="1"/>
  <c r="O49" i="97"/>
  <c r="P49" i="97"/>
  <c r="Q49" i="97"/>
  <c r="C51" i="97"/>
  <c r="D51" i="97"/>
  <c r="E51" i="97"/>
  <c r="F51" i="97"/>
  <c r="G51" i="97"/>
  <c r="H51" i="97"/>
  <c r="I51" i="97"/>
  <c r="J51" i="97"/>
  <c r="K51" i="97"/>
  <c r="L51" i="97"/>
  <c r="M51" i="97"/>
  <c r="N51" i="97"/>
  <c r="O51" i="97"/>
  <c r="P51" i="97"/>
  <c r="Q51" i="97"/>
  <c r="D52" i="97"/>
  <c r="E52" i="97"/>
  <c r="G52" i="97"/>
  <c r="H52" i="97"/>
  <c r="I52" i="97"/>
  <c r="K52" i="97"/>
  <c r="L52" i="97"/>
  <c r="M52" i="97"/>
  <c r="O52" i="97"/>
  <c r="P52" i="97"/>
  <c r="Q52" i="97"/>
  <c r="C56" i="97"/>
  <c r="D56" i="97"/>
  <c r="E56" i="97"/>
  <c r="F56" i="97"/>
  <c r="F59" i="97" s="1"/>
  <c r="G56" i="97"/>
  <c r="H56" i="97"/>
  <c r="I56" i="97"/>
  <c r="J56" i="97"/>
  <c r="J59" i="97" s="1"/>
  <c r="K56" i="97"/>
  <c r="L56" i="97"/>
  <c r="M56" i="97"/>
  <c r="C58" i="97"/>
  <c r="D58" i="97"/>
  <c r="E58" i="97"/>
  <c r="F58" i="97"/>
  <c r="G58" i="97"/>
  <c r="H58" i="97"/>
  <c r="I58" i="97"/>
  <c r="J58" i="97"/>
  <c r="K58" i="97"/>
  <c r="L58" i="97"/>
  <c r="M58" i="97"/>
  <c r="D59" i="97"/>
  <c r="E59" i="97"/>
  <c r="G59" i="97"/>
  <c r="H59" i="97"/>
  <c r="I59" i="97"/>
  <c r="K59" i="97"/>
  <c r="L59" i="97"/>
  <c r="M59" i="97"/>
  <c r="C63" i="97"/>
  <c r="D63" i="97"/>
  <c r="E63" i="97"/>
  <c r="F63" i="97"/>
  <c r="G63" i="97"/>
  <c r="H63" i="97"/>
  <c r="I63" i="97"/>
  <c r="J63" i="97"/>
  <c r="K63" i="97"/>
  <c r="L63" i="97"/>
  <c r="C65" i="97"/>
  <c r="D65" i="97"/>
  <c r="E65" i="97"/>
  <c r="F65" i="97"/>
  <c r="G65" i="97"/>
  <c r="H65" i="97"/>
  <c r="I65" i="97"/>
  <c r="J65" i="97"/>
  <c r="K65" i="97"/>
  <c r="L65" i="97"/>
  <c r="C66" i="97"/>
  <c r="D66" i="97"/>
  <c r="E66" i="97"/>
  <c r="F66" i="97"/>
  <c r="G66" i="97"/>
  <c r="H66" i="97"/>
  <c r="I66" i="97"/>
  <c r="J66" i="97"/>
  <c r="K66" i="97"/>
  <c r="L66" i="97"/>
  <c r="C68" i="97"/>
  <c r="C4" i="96"/>
  <c r="D4" i="96"/>
  <c r="E4" i="96"/>
  <c r="E7" i="96" s="1"/>
  <c r="C6" i="96"/>
  <c r="D6" i="96"/>
  <c r="E6" i="96"/>
  <c r="C7" i="96"/>
  <c r="D7" i="96"/>
  <c r="C11" i="96"/>
  <c r="D11" i="96"/>
  <c r="E11" i="96"/>
  <c r="F11" i="96"/>
  <c r="C13" i="96"/>
  <c r="D13" i="96"/>
  <c r="E13" i="96"/>
  <c r="F13" i="96"/>
  <c r="C14" i="96"/>
  <c r="D14" i="96"/>
  <c r="E14" i="96"/>
  <c r="F14" i="96"/>
  <c r="C18" i="96"/>
  <c r="D18" i="96"/>
  <c r="E18" i="96"/>
  <c r="F18" i="96"/>
  <c r="G18" i="96"/>
  <c r="H18" i="96"/>
  <c r="C20" i="96"/>
  <c r="D20" i="96"/>
  <c r="E20" i="96"/>
  <c r="F20" i="96"/>
  <c r="G20" i="96"/>
  <c r="H20" i="96"/>
  <c r="C21" i="96"/>
  <c r="D21" i="96"/>
  <c r="E21" i="96"/>
  <c r="F21" i="96"/>
  <c r="G21" i="96"/>
  <c r="H21" i="96"/>
  <c r="C25" i="96"/>
  <c r="D25" i="96"/>
  <c r="E25" i="96"/>
  <c r="F25" i="96"/>
  <c r="F28" i="96" s="1"/>
  <c r="G25" i="96"/>
  <c r="G28" i="96" s="1"/>
  <c r="H25" i="96"/>
  <c r="I25" i="96"/>
  <c r="J25" i="96"/>
  <c r="J28" i="96" s="1"/>
  <c r="K25" i="96"/>
  <c r="K28" i="96" s="1"/>
  <c r="L25" i="96"/>
  <c r="M25" i="96"/>
  <c r="N25" i="96"/>
  <c r="N28" i="96" s="1"/>
  <c r="O25" i="96"/>
  <c r="O28" i="96" s="1"/>
  <c r="C27" i="96"/>
  <c r="D27" i="96"/>
  <c r="E27" i="96"/>
  <c r="F27" i="96"/>
  <c r="G27" i="96"/>
  <c r="H27" i="96"/>
  <c r="I27" i="96"/>
  <c r="J27" i="96"/>
  <c r="K27" i="96"/>
  <c r="L27" i="96"/>
  <c r="M27" i="96"/>
  <c r="N27" i="96"/>
  <c r="O27" i="96"/>
  <c r="P27" i="96"/>
  <c r="Q27" i="96"/>
  <c r="E28" i="96"/>
  <c r="H28" i="96"/>
  <c r="I28" i="96"/>
  <c r="L28" i="96"/>
  <c r="M28" i="96"/>
  <c r="P28" i="96"/>
  <c r="Q28" i="96"/>
  <c r="C32" i="96"/>
  <c r="D32" i="96"/>
  <c r="E32" i="96"/>
  <c r="F32" i="96"/>
  <c r="F34" i="96" s="1"/>
  <c r="G32" i="96"/>
  <c r="H32" i="96"/>
  <c r="I32" i="96"/>
  <c r="J32" i="96"/>
  <c r="J34" i="96" s="1"/>
  <c r="K32" i="96"/>
  <c r="L32" i="96"/>
  <c r="M32" i="96"/>
  <c r="N32" i="96"/>
  <c r="N34" i="96" s="1"/>
  <c r="O32" i="96"/>
  <c r="P32" i="96"/>
  <c r="Q32" i="96"/>
  <c r="R32" i="96"/>
  <c r="R34" i="96" s="1"/>
  <c r="G34" i="96"/>
  <c r="H34" i="96"/>
  <c r="I34" i="96"/>
  <c r="K34" i="96"/>
  <c r="L34" i="96"/>
  <c r="M34" i="96"/>
  <c r="O34" i="96"/>
  <c r="P34" i="96"/>
  <c r="Q34" i="96"/>
  <c r="C38" i="96"/>
  <c r="D38" i="96"/>
  <c r="E38" i="96"/>
  <c r="F38" i="96"/>
  <c r="G38" i="96"/>
  <c r="H38" i="96"/>
  <c r="I38" i="96"/>
  <c r="J38" i="96"/>
  <c r="K38" i="96"/>
  <c r="L38" i="96"/>
  <c r="M38" i="96"/>
  <c r="N38" i="96"/>
  <c r="O38" i="96"/>
  <c r="P38" i="96"/>
  <c r="Q38" i="96"/>
  <c r="R38" i="96"/>
  <c r="S38" i="96"/>
  <c r="C40" i="96"/>
  <c r="D40" i="96"/>
  <c r="E40" i="96"/>
  <c r="F40" i="96"/>
  <c r="G40" i="96"/>
  <c r="H40" i="96"/>
  <c r="I40" i="96"/>
  <c r="J40" i="96"/>
  <c r="K40" i="96"/>
  <c r="L40" i="96"/>
  <c r="M40" i="96"/>
  <c r="N40" i="96"/>
  <c r="O40" i="96"/>
  <c r="P40" i="96"/>
  <c r="Q40" i="96"/>
  <c r="R40" i="96"/>
  <c r="S40" i="96"/>
  <c r="E41" i="96"/>
  <c r="F41" i="96"/>
  <c r="G41" i="96"/>
  <c r="H41" i="96"/>
  <c r="I41" i="96"/>
  <c r="J41" i="96"/>
  <c r="K41" i="96"/>
  <c r="L41" i="96"/>
  <c r="M41" i="96"/>
  <c r="N41" i="96"/>
  <c r="O41" i="96"/>
  <c r="P41" i="96"/>
  <c r="Q41" i="96"/>
  <c r="R41" i="96"/>
  <c r="S41" i="96"/>
  <c r="C45" i="96"/>
  <c r="B58" i="96" s="1"/>
  <c r="D45" i="96"/>
  <c r="E45" i="96"/>
  <c r="F45" i="96"/>
  <c r="G45" i="96"/>
  <c r="H45" i="96"/>
  <c r="I45" i="96"/>
  <c r="J45" i="96"/>
  <c r="K45" i="96"/>
  <c r="L45" i="96"/>
  <c r="M45" i="96"/>
  <c r="N45" i="96"/>
  <c r="O45" i="96"/>
  <c r="P45" i="96"/>
  <c r="Q45" i="96"/>
  <c r="C47" i="96"/>
  <c r="D47" i="96"/>
  <c r="E47" i="96"/>
  <c r="F47" i="96"/>
  <c r="G47" i="96"/>
  <c r="H47" i="96"/>
  <c r="I47" i="96"/>
  <c r="J47" i="96"/>
  <c r="K47" i="96"/>
  <c r="L47" i="96"/>
  <c r="M47" i="96"/>
  <c r="N47" i="96"/>
  <c r="O47" i="96"/>
  <c r="P47" i="96"/>
  <c r="Q47" i="96"/>
  <c r="E48" i="96"/>
  <c r="F48" i="96"/>
  <c r="G48" i="96"/>
  <c r="H48" i="96"/>
  <c r="I48" i="96"/>
  <c r="J48" i="96"/>
  <c r="K48" i="96"/>
  <c r="L48" i="96"/>
  <c r="M48" i="96"/>
  <c r="N48" i="96"/>
  <c r="O48" i="96"/>
  <c r="P48" i="96"/>
  <c r="Q48" i="96"/>
  <c r="C52" i="96"/>
  <c r="D52" i="96"/>
  <c r="E52" i="96"/>
  <c r="F52" i="96"/>
  <c r="G52" i="96"/>
  <c r="H52" i="96"/>
  <c r="I52" i="96"/>
  <c r="J52" i="96"/>
  <c r="C54" i="96"/>
  <c r="D54" i="96"/>
  <c r="E54" i="96"/>
  <c r="F54" i="96"/>
  <c r="G54" i="96"/>
  <c r="H54" i="96"/>
  <c r="I54" i="96"/>
  <c r="J54" i="96"/>
  <c r="C55" i="96"/>
  <c r="D55" i="96"/>
  <c r="E55" i="96"/>
  <c r="F55" i="96"/>
  <c r="G55" i="96"/>
  <c r="H55" i="96"/>
  <c r="I55" i="96"/>
  <c r="J55" i="96"/>
  <c r="C7" i="95"/>
  <c r="E3" i="95" s="1"/>
  <c r="D7" i="95"/>
  <c r="E7" i="95"/>
  <c r="F7" i="95"/>
  <c r="G7" i="95"/>
  <c r="H7" i="95"/>
  <c r="I7" i="95"/>
  <c r="J7" i="95"/>
  <c r="K7" i="95"/>
  <c r="L7" i="95"/>
  <c r="L10" i="95" s="1"/>
  <c r="M7" i="95"/>
  <c r="M10" i="95" s="1"/>
  <c r="N7" i="95"/>
  <c r="O7" i="95"/>
  <c r="P7" i="95"/>
  <c r="P10" i="95" s="1"/>
  <c r="Q7" i="95"/>
  <c r="Q10" i="95" s="1"/>
  <c r="R7" i="95"/>
  <c r="C14" i="95"/>
  <c r="D14" i="95"/>
  <c r="E14" i="95"/>
  <c r="F14" i="95"/>
  <c r="G14" i="95"/>
  <c r="H14" i="95"/>
  <c r="H17" i="95" s="1"/>
  <c r="I14" i="95"/>
  <c r="J14" i="95"/>
  <c r="K14" i="95"/>
  <c r="L14" i="95"/>
  <c r="L17" i="95" s="1"/>
  <c r="C16" i="95"/>
  <c r="D16" i="95"/>
  <c r="E16" i="95"/>
  <c r="F16" i="95"/>
  <c r="G16" i="95"/>
  <c r="H16" i="95"/>
  <c r="I16" i="95"/>
  <c r="J16" i="95"/>
  <c r="K16" i="95"/>
  <c r="L16" i="95"/>
  <c r="C21" i="95"/>
  <c r="D21" i="95"/>
  <c r="E21" i="95"/>
  <c r="F21" i="95"/>
  <c r="G21" i="95"/>
  <c r="H21" i="95"/>
  <c r="H24" i="95" s="1"/>
  <c r="I21" i="95"/>
  <c r="J21" i="95"/>
  <c r="K21" i="95"/>
  <c r="K24" i="95" s="1"/>
  <c r="L21" i="95"/>
  <c r="L24" i="95" s="1"/>
  <c r="M21" i="95"/>
  <c r="N21" i="95"/>
  <c r="C23" i="95"/>
  <c r="D23" i="95"/>
  <c r="E23" i="95"/>
  <c r="F23" i="95"/>
  <c r="G23" i="95"/>
  <c r="H23" i="95"/>
  <c r="I23" i="95"/>
  <c r="J23" i="95"/>
  <c r="K23" i="95"/>
  <c r="L23" i="95"/>
  <c r="M23" i="95"/>
  <c r="N23" i="95"/>
  <c r="C28" i="95"/>
  <c r="D28" i="95"/>
  <c r="E28" i="95"/>
  <c r="F28" i="95"/>
  <c r="G28" i="95"/>
  <c r="H28" i="95"/>
  <c r="I28" i="95"/>
  <c r="J28" i="95"/>
  <c r="K28" i="95"/>
  <c r="L28" i="95"/>
  <c r="M28" i="95"/>
  <c r="N28" i="95"/>
  <c r="O28" i="95"/>
  <c r="P28" i="95"/>
  <c r="Q28" i="95"/>
  <c r="R28" i="95"/>
  <c r="C30" i="95"/>
  <c r="D30" i="95"/>
  <c r="E30" i="95"/>
  <c r="F30" i="95"/>
  <c r="G30" i="95"/>
  <c r="H30" i="95"/>
  <c r="I30" i="95"/>
  <c r="J30" i="95"/>
  <c r="K30" i="95"/>
  <c r="L30" i="95"/>
  <c r="M30" i="95"/>
  <c r="N30" i="95"/>
  <c r="O30" i="95"/>
  <c r="P30" i="95"/>
  <c r="Q30" i="95"/>
  <c r="R30" i="95"/>
  <c r="C35" i="95"/>
  <c r="D35" i="95"/>
  <c r="C37" i="95"/>
  <c r="D37" i="95"/>
  <c r="C42" i="95"/>
  <c r="D42" i="95"/>
  <c r="E42" i="95"/>
  <c r="F42" i="95"/>
  <c r="G42" i="95"/>
  <c r="G45" i="95" s="1"/>
  <c r="H42" i="95"/>
  <c r="H45" i="95" s="1"/>
  <c r="I42" i="95"/>
  <c r="J42" i="95"/>
  <c r="C44" i="95"/>
  <c r="D44" i="95"/>
  <c r="E44" i="95"/>
  <c r="F44" i="95"/>
  <c r="G44" i="95"/>
  <c r="H44" i="95"/>
  <c r="I44" i="95"/>
  <c r="J44" i="95"/>
  <c r="C49" i="95"/>
  <c r="D49" i="95"/>
  <c r="C51" i="95"/>
  <c r="D51" i="95"/>
  <c r="C6" i="93"/>
  <c r="E2" i="93" s="1"/>
  <c r="D6" i="93"/>
  <c r="E6" i="93"/>
  <c r="F6" i="93"/>
  <c r="G6" i="93"/>
  <c r="H6" i="93"/>
  <c r="I6" i="93"/>
  <c r="J6" i="93"/>
  <c r="K6" i="93"/>
  <c r="L6" i="93"/>
  <c r="M6" i="93"/>
  <c r="N6" i="93"/>
  <c r="O6" i="93"/>
  <c r="P6" i="93"/>
  <c r="Q6" i="93"/>
  <c r="C12" i="93"/>
  <c r="D12" i="93"/>
  <c r="E12" i="93"/>
  <c r="F12" i="93"/>
  <c r="G12" i="93"/>
  <c r="H12" i="93"/>
  <c r="I12" i="93"/>
  <c r="J12" i="93"/>
  <c r="K12" i="93"/>
  <c r="L12" i="93"/>
  <c r="M12" i="93"/>
  <c r="M15" i="93" s="1"/>
  <c r="N12" i="93"/>
  <c r="C14" i="93"/>
  <c r="D14" i="93"/>
  <c r="E14" i="93"/>
  <c r="F14" i="93"/>
  <c r="G14" i="93"/>
  <c r="H14" i="93"/>
  <c r="I14" i="93"/>
  <c r="J14" i="93"/>
  <c r="K14" i="93"/>
  <c r="L14" i="93"/>
  <c r="M14" i="93"/>
  <c r="N14" i="93"/>
  <c r="C19" i="93"/>
  <c r="D19" i="93"/>
  <c r="E19" i="93"/>
  <c r="F19" i="93"/>
  <c r="G19" i="93"/>
  <c r="G22" i="93" s="1"/>
  <c r="H19" i="93"/>
  <c r="I19" i="93"/>
  <c r="J19" i="93"/>
  <c r="J22" i="93" s="1"/>
  <c r="K19" i="93"/>
  <c r="K22" i="93" s="1"/>
  <c r="C21" i="93"/>
  <c r="D21" i="93"/>
  <c r="E21" i="93"/>
  <c r="F21" i="93"/>
  <c r="G21" i="93"/>
  <c r="H21" i="93"/>
  <c r="I21" i="93"/>
  <c r="J21" i="93"/>
  <c r="K21" i="93"/>
  <c r="C26" i="93"/>
  <c r="D26" i="93"/>
  <c r="C28" i="93"/>
  <c r="D28" i="93"/>
  <c r="C33" i="93"/>
  <c r="D33" i="93"/>
  <c r="C35" i="93"/>
  <c r="D35" i="93"/>
  <c r="C40" i="93"/>
  <c r="C43" i="93" s="1"/>
  <c r="C42" i="93"/>
  <c r="C47" i="93"/>
  <c r="D47" i="93"/>
  <c r="D50" i="93" s="1"/>
  <c r="E47" i="93"/>
  <c r="E50" i="93" s="1"/>
  <c r="F47" i="93"/>
  <c r="G47" i="93"/>
  <c r="H47" i="93"/>
  <c r="H50" i="93" s="1"/>
  <c r="I47" i="93"/>
  <c r="I50" i="93" s="1"/>
  <c r="J47" i="93"/>
  <c r="K47" i="93"/>
  <c r="L47" i="93"/>
  <c r="L50" i="93" s="1"/>
  <c r="M47" i="93"/>
  <c r="M50" i="93" s="1"/>
  <c r="C49" i="93"/>
  <c r="D49" i="93"/>
  <c r="E49" i="93"/>
  <c r="F49" i="93"/>
  <c r="G49" i="93"/>
  <c r="H49" i="93"/>
  <c r="I49" i="93"/>
  <c r="J49" i="93"/>
  <c r="K49" i="93"/>
  <c r="L49" i="93"/>
  <c r="M49" i="93"/>
  <c r="C7" i="92"/>
  <c r="D7" i="92"/>
  <c r="F3" i="92" s="1"/>
  <c r="E7" i="92"/>
  <c r="E10" i="92" s="1"/>
  <c r="F7" i="92"/>
  <c r="G7" i="92"/>
  <c r="H7" i="92"/>
  <c r="H10" i="92" s="1"/>
  <c r="I7" i="92"/>
  <c r="I10" i="92" s="1"/>
  <c r="J7" i="92"/>
  <c r="C14" i="92"/>
  <c r="D14" i="92"/>
  <c r="E14" i="92"/>
  <c r="F14" i="92"/>
  <c r="F17" i="92" s="1"/>
  <c r="G14" i="92"/>
  <c r="H14" i="92"/>
  <c r="I14" i="92"/>
  <c r="J14" i="92"/>
  <c r="J17" i="92" s="1"/>
  <c r="K14" i="92"/>
  <c r="L14" i="92"/>
  <c r="C16" i="92"/>
  <c r="D16" i="92"/>
  <c r="E16" i="92"/>
  <c r="F16" i="92"/>
  <c r="G16" i="92"/>
  <c r="H16" i="92"/>
  <c r="I16" i="92"/>
  <c r="J16" i="92"/>
  <c r="K16" i="92"/>
  <c r="L16" i="92"/>
  <c r="C21" i="92"/>
  <c r="D21" i="92"/>
  <c r="E21" i="92"/>
  <c r="F21" i="92"/>
  <c r="G21" i="92"/>
  <c r="H21" i="92"/>
  <c r="I21" i="92"/>
  <c r="J21" i="92"/>
  <c r="K21" i="92"/>
  <c r="L21" i="92"/>
  <c r="M21" i="92"/>
  <c r="M24" i="92" s="1"/>
  <c r="C23" i="92"/>
  <c r="D23" i="92"/>
  <c r="E23" i="92"/>
  <c r="F23" i="92"/>
  <c r="G23" i="92"/>
  <c r="H23" i="92"/>
  <c r="I23" i="92"/>
  <c r="J23" i="92"/>
  <c r="K23" i="92"/>
  <c r="L23" i="92"/>
  <c r="M23" i="92"/>
  <c r="C28" i="92"/>
  <c r="D28" i="92"/>
  <c r="E28" i="92"/>
  <c r="F28" i="92"/>
  <c r="G28" i="92"/>
  <c r="H28" i="92"/>
  <c r="I28" i="92"/>
  <c r="J28" i="92"/>
  <c r="K28" i="92"/>
  <c r="L28" i="92"/>
  <c r="M28" i="92"/>
  <c r="N28" i="92"/>
  <c r="O28" i="92"/>
  <c r="C30" i="92"/>
  <c r="D30" i="92"/>
  <c r="E30" i="92"/>
  <c r="F30" i="92"/>
  <c r="G30" i="92"/>
  <c r="H30" i="92"/>
  <c r="I30" i="92"/>
  <c r="J30" i="92"/>
  <c r="K30" i="92"/>
  <c r="L30" i="92"/>
  <c r="M30" i="92"/>
  <c r="N30" i="92"/>
  <c r="O30" i="92"/>
  <c r="C35" i="92"/>
  <c r="D35" i="92"/>
  <c r="E35" i="92"/>
  <c r="F35" i="92"/>
  <c r="G35" i="92"/>
  <c r="H35" i="92"/>
  <c r="I35" i="92"/>
  <c r="J35" i="92"/>
  <c r="K35" i="92"/>
  <c r="L35" i="92"/>
  <c r="L38" i="92" s="1"/>
  <c r="M35" i="92"/>
  <c r="M38" i="92" s="1"/>
  <c r="N35" i="92"/>
  <c r="C37" i="92"/>
  <c r="D37" i="92"/>
  <c r="E37" i="92"/>
  <c r="F37" i="92"/>
  <c r="G37" i="92"/>
  <c r="H37" i="92"/>
  <c r="I37" i="92"/>
  <c r="J37" i="92"/>
  <c r="K37" i="92"/>
  <c r="L37" i="92"/>
  <c r="M37" i="92"/>
  <c r="N37" i="92"/>
  <c r="C42" i="92"/>
  <c r="D42" i="92"/>
  <c r="E42" i="92"/>
  <c r="F42" i="92"/>
  <c r="G42" i="92"/>
  <c r="H42" i="92"/>
  <c r="I42" i="92"/>
  <c r="J42" i="92"/>
  <c r="C44" i="92"/>
  <c r="D44" i="92"/>
  <c r="E44" i="92"/>
  <c r="F44" i="92"/>
  <c r="G44" i="92"/>
  <c r="H44" i="92"/>
  <c r="I44" i="92"/>
  <c r="J44" i="92"/>
  <c r="C49" i="92"/>
  <c r="D49" i="92"/>
  <c r="E49" i="92"/>
  <c r="C51" i="92"/>
  <c r="D51" i="92"/>
  <c r="E51" i="92"/>
  <c r="C56" i="92"/>
  <c r="C58" i="92"/>
  <c r="C63" i="92"/>
  <c r="C65" i="92"/>
  <c r="C70" i="92"/>
  <c r="D70" i="92"/>
  <c r="E70" i="92"/>
  <c r="F70" i="92"/>
  <c r="G70" i="92"/>
  <c r="H70" i="92"/>
  <c r="I70" i="92"/>
  <c r="C72" i="92"/>
  <c r="D72" i="92"/>
  <c r="E72" i="92"/>
  <c r="F72" i="92"/>
  <c r="G72" i="92"/>
  <c r="H72" i="92"/>
  <c r="I72" i="92"/>
  <c r="C77" i="92"/>
  <c r="C79" i="92"/>
  <c r="C9" i="91"/>
  <c r="L5" i="91" s="1"/>
  <c r="D9" i="91"/>
  <c r="E9" i="91"/>
  <c r="F9" i="91"/>
  <c r="G9" i="91"/>
  <c r="H9" i="91"/>
  <c r="I9" i="91"/>
  <c r="I13" i="91" s="1"/>
  <c r="J9" i="91"/>
  <c r="K9" i="91"/>
  <c r="L9" i="91"/>
  <c r="L13" i="91" s="1"/>
  <c r="M9" i="91"/>
  <c r="M13" i="91" s="1"/>
  <c r="N9" i="91"/>
  <c r="C17" i="91"/>
  <c r="D17" i="91"/>
  <c r="E17" i="91"/>
  <c r="F17" i="91"/>
  <c r="G17" i="91"/>
  <c r="H17" i="91"/>
  <c r="I17" i="91"/>
  <c r="C19" i="91"/>
  <c r="D19" i="91"/>
  <c r="E19" i="91"/>
  <c r="F19" i="91"/>
  <c r="G19" i="91"/>
  <c r="H19" i="91"/>
  <c r="I19" i="91"/>
  <c r="C25" i="91"/>
  <c r="D25" i="91"/>
  <c r="E25" i="91"/>
  <c r="F25" i="91"/>
  <c r="G25" i="91"/>
  <c r="H25" i="91"/>
  <c r="I25" i="91"/>
  <c r="J25" i="91"/>
  <c r="J29" i="91" s="1"/>
  <c r="K25" i="91"/>
  <c r="K29" i="91" s="1"/>
  <c r="L25" i="91"/>
  <c r="M25" i="91"/>
  <c r="C27" i="91"/>
  <c r="D27" i="91"/>
  <c r="E27" i="91"/>
  <c r="F27" i="91"/>
  <c r="G27" i="91"/>
  <c r="H27" i="91"/>
  <c r="I27" i="91"/>
  <c r="J27" i="91"/>
  <c r="K27" i="91"/>
  <c r="L27" i="91"/>
  <c r="M27" i="91"/>
  <c r="C33" i="91"/>
  <c r="D33" i="91"/>
  <c r="E33" i="91"/>
  <c r="F33" i="91"/>
  <c r="G33" i="91"/>
  <c r="H33" i="91"/>
  <c r="I33" i="91"/>
  <c r="J33" i="91"/>
  <c r="K33" i="91"/>
  <c r="L33" i="91"/>
  <c r="C35" i="91"/>
  <c r="D35" i="91"/>
  <c r="E35" i="91"/>
  <c r="F35" i="91"/>
  <c r="G35" i="91"/>
  <c r="H35" i="91"/>
  <c r="I35" i="91"/>
  <c r="J35" i="91"/>
  <c r="K35" i="91"/>
  <c r="L35" i="91"/>
  <c r="C41" i="91"/>
  <c r="D41" i="91"/>
  <c r="E41" i="91"/>
  <c r="F41" i="91"/>
  <c r="G41" i="91"/>
  <c r="H41" i="91"/>
  <c r="H45" i="91" s="1"/>
  <c r="C43" i="91"/>
  <c r="D43" i="91"/>
  <c r="E43" i="91"/>
  <c r="F43" i="91"/>
  <c r="G43" i="91"/>
  <c r="H43" i="91"/>
  <c r="C49" i="91"/>
  <c r="D49" i="91"/>
  <c r="E49" i="91"/>
  <c r="F49" i="91"/>
  <c r="G49" i="91"/>
  <c r="H49" i="91"/>
  <c r="C51" i="91"/>
  <c r="D51" i="91"/>
  <c r="E51" i="91"/>
  <c r="F51" i="91"/>
  <c r="G51" i="91"/>
  <c r="H51" i="91"/>
  <c r="C57" i="91"/>
  <c r="D57" i="91"/>
  <c r="E57" i="91"/>
  <c r="E61" i="91" s="1"/>
  <c r="C59" i="91"/>
  <c r="D59" i="91"/>
  <c r="E59" i="91"/>
  <c r="C65" i="91"/>
  <c r="D65" i="91"/>
  <c r="E65" i="91"/>
  <c r="F65" i="91"/>
  <c r="G65" i="91"/>
  <c r="H65" i="91"/>
  <c r="H69" i="91" s="1"/>
  <c r="I65" i="91"/>
  <c r="J65" i="91"/>
  <c r="K65" i="91"/>
  <c r="K69" i="91" s="1"/>
  <c r="L65" i="91"/>
  <c r="L69" i="91" s="1"/>
  <c r="C67" i="91"/>
  <c r="D67" i="91"/>
  <c r="E67" i="91"/>
  <c r="F67" i="91"/>
  <c r="G67" i="91"/>
  <c r="H67" i="91"/>
  <c r="I67" i="91"/>
  <c r="J67" i="91"/>
  <c r="K67" i="91"/>
  <c r="L67" i="91"/>
  <c r="C73" i="91"/>
  <c r="D73" i="91"/>
  <c r="E73" i="91"/>
  <c r="F73" i="91"/>
  <c r="G73" i="91"/>
  <c r="H73" i="91"/>
  <c r="I73" i="91"/>
  <c r="J73" i="91"/>
  <c r="C75" i="91"/>
  <c r="D75" i="91"/>
  <c r="E75" i="91"/>
  <c r="F75" i="91"/>
  <c r="G75" i="91"/>
  <c r="H75" i="91"/>
  <c r="I75" i="91"/>
  <c r="J75" i="91"/>
  <c r="C6" i="90"/>
  <c r="E2" i="90" s="1"/>
  <c r="D6" i="90"/>
  <c r="E6" i="90"/>
  <c r="F6" i="90"/>
  <c r="G6" i="90"/>
  <c r="H6" i="90"/>
  <c r="I6" i="90"/>
  <c r="I8" i="90" s="1"/>
  <c r="J6" i="90"/>
  <c r="K6" i="90"/>
  <c r="K8" i="90" s="1"/>
  <c r="L6" i="90"/>
  <c r="L8" i="90" s="1"/>
  <c r="M6" i="90"/>
  <c r="N6" i="90"/>
  <c r="O6" i="90"/>
  <c r="O8" i="90" s="1"/>
  <c r="C12" i="90"/>
  <c r="D12" i="90"/>
  <c r="E12" i="90"/>
  <c r="F12" i="90"/>
  <c r="G12" i="90"/>
  <c r="H12" i="90"/>
  <c r="I12" i="90"/>
  <c r="C14" i="90"/>
  <c r="D14" i="90"/>
  <c r="E14" i="90"/>
  <c r="F14" i="90"/>
  <c r="G14" i="90"/>
  <c r="H14" i="90"/>
  <c r="I14" i="90"/>
  <c r="C19" i="90"/>
  <c r="D19" i="90"/>
  <c r="D22" i="90" s="1"/>
  <c r="E19" i="90"/>
  <c r="E22" i="90" s="1"/>
  <c r="F19" i="90"/>
  <c r="G19" i="90"/>
  <c r="H19" i="90"/>
  <c r="H22" i="90" s="1"/>
  <c r="C21" i="90"/>
  <c r="D21" i="90"/>
  <c r="E21" i="90"/>
  <c r="F21" i="90"/>
  <c r="G21" i="90"/>
  <c r="H21" i="90"/>
  <c r="C26" i="90"/>
  <c r="D26" i="90"/>
  <c r="E26" i="90"/>
  <c r="F26" i="90"/>
  <c r="G26" i="90"/>
  <c r="H26" i="90"/>
  <c r="I26" i="90"/>
  <c r="J26" i="90"/>
  <c r="C28" i="90"/>
  <c r="D28" i="90"/>
  <c r="E28" i="90"/>
  <c r="F28" i="90"/>
  <c r="G28" i="90"/>
  <c r="H28" i="90"/>
  <c r="I28" i="90"/>
  <c r="J28" i="90"/>
  <c r="C33" i="90"/>
  <c r="D33" i="90"/>
  <c r="E33" i="90"/>
  <c r="F33" i="90"/>
  <c r="G33" i="90"/>
  <c r="H33" i="90"/>
  <c r="I33" i="90"/>
  <c r="J33" i="90"/>
  <c r="K33" i="90"/>
  <c r="L33" i="90"/>
  <c r="M33" i="90"/>
  <c r="M36" i="90" s="1"/>
  <c r="N33" i="90"/>
  <c r="O33" i="90"/>
  <c r="C35" i="90"/>
  <c r="D35" i="90"/>
  <c r="E35" i="90"/>
  <c r="F35" i="90"/>
  <c r="G35" i="90"/>
  <c r="H35" i="90"/>
  <c r="I35" i="90"/>
  <c r="J35" i="90"/>
  <c r="K35" i="90"/>
  <c r="L35" i="90"/>
  <c r="M35" i="90"/>
  <c r="N35" i="90"/>
  <c r="O35" i="90"/>
  <c r="C40" i="90"/>
  <c r="D40" i="90"/>
  <c r="E40" i="90"/>
  <c r="F40" i="90"/>
  <c r="G40" i="90"/>
  <c r="H40" i="90"/>
  <c r="C42" i="90"/>
  <c r="D42" i="90"/>
  <c r="E42" i="90"/>
  <c r="F42" i="90"/>
  <c r="G42" i="90"/>
  <c r="H42" i="90"/>
  <c r="C47" i="90"/>
  <c r="D47" i="90"/>
  <c r="E47" i="90"/>
  <c r="F47" i="90"/>
  <c r="G47" i="90"/>
  <c r="C49" i="90"/>
  <c r="D49" i="90"/>
  <c r="E49" i="90"/>
  <c r="F49" i="90"/>
  <c r="G49" i="90"/>
  <c r="C54" i="90"/>
  <c r="D54" i="90"/>
  <c r="E54" i="90"/>
  <c r="F54" i="90"/>
  <c r="C56" i="90"/>
  <c r="D56" i="90"/>
  <c r="E56" i="90"/>
  <c r="F56" i="90"/>
  <c r="C61" i="90"/>
  <c r="D61" i="90"/>
  <c r="E61" i="90"/>
  <c r="F61" i="90"/>
  <c r="F64" i="90" s="1"/>
  <c r="C63" i="90"/>
  <c r="D63" i="90"/>
  <c r="E63" i="90"/>
  <c r="F63" i="90"/>
  <c r="C68" i="90"/>
  <c r="D68" i="90"/>
  <c r="E68" i="90"/>
  <c r="F68" i="90"/>
  <c r="C70" i="90"/>
  <c r="D70" i="90"/>
  <c r="E70" i="90"/>
  <c r="F70" i="90"/>
  <c r="C75" i="90"/>
  <c r="D75" i="90"/>
  <c r="E75" i="90"/>
  <c r="F75" i="90"/>
  <c r="G75" i="90"/>
  <c r="H75" i="90"/>
  <c r="I75" i="90"/>
  <c r="J75" i="90"/>
  <c r="K75" i="90"/>
  <c r="L75" i="90"/>
  <c r="M75" i="90"/>
  <c r="C77" i="90"/>
  <c r="D77" i="90"/>
  <c r="E77" i="90"/>
  <c r="F77" i="90"/>
  <c r="G77" i="90"/>
  <c r="H77" i="90"/>
  <c r="I77" i="90"/>
  <c r="J77" i="90"/>
  <c r="K77" i="90"/>
  <c r="L77" i="90"/>
  <c r="M77" i="90"/>
  <c r="C82" i="90"/>
  <c r="D82" i="90"/>
  <c r="E82" i="90"/>
  <c r="F82" i="90"/>
  <c r="G82" i="90"/>
  <c r="H82" i="90"/>
  <c r="I82" i="90"/>
  <c r="C84" i="90"/>
  <c r="D84" i="90"/>
  <c r="E84" i="90"/>
  <c r="F84" i="90"/>
  <c r="G84" i="90"/>
  <c r="H84" i="90"/>
  <c r="I84" i="90"/>
  <c r="C89" i="90"/>
  <c r="D89" i="90"/>
  <c r="E89" i="90"/>
  <c r="F89" i="90"/>
  <c r="G89" i="90"/>
  <c r="H89" i="90"/>
  <c r="I89" i="90"/>
  <c r="J89" i="90"/>
  <c r="K89" i="90"/>
  <c r="C91" i="90"/>
  <c r="D91" i="90"/>
  <c r="E91" i="90"/>
  <c r="F91" i="90"/>
  <c r="G91" i="90"/>
  <c r="H91" i="90"/>
  <c r="I91" i="90"/>
  <c r="J91" i="90"/>
  <c r="K91" i="90"/>
  <c r="C96" i="90"/>
  <c r="D96" i="90"/>
  <c r="E96" i="90"/>
  <c r="F96" i="90"/>
  <c r="G96" i="90"/>
  <c r="H96" i="90"/>
  <c r="I96" i="90"/>
  <c r="J96" i="90"/>
  <c r="K96" i="90"/>
  <c r="L96" i="90"/>
  <c r="M96" i="90"/>
  <c r="C98" i="90"/>
  <c r="D98" i="90"/>
  <c r="E98" i="90"/>
  <c r="F98" i="90"/>
  <c r="G98" i="90"/>
  <c r="H98" i="90"/>
  <c r="I98" i="90"/>
  <c r="J98" i="90"/>
  <c r="K98" i="90"/>
  <c r="L98" i="90"/>
  <c r="M98" i="90"/>
  <c r="C6" i="89"/>
  <c r="E2" i="89" s="1"/>
  <c r="D6" i="89"/>
  <c r="E6" i="89"/>
  <c r="F6" i="89"/>
  <c r="G6" i="89"/>
  <c r="H6" i="89"/>
  <c r="I6" i="89"/>
  <c r="I8" i="89" s="1"/>
  <c r="J6" i="89"/>
  <c r="K6" i="89"/>
  <c r="L6" i="89"/>
  <c r="L8" i="89" s="1"/>
  <c r="M6" i="89"/>
  <c r="M8" i="89" s="1"/>
  <c r="N6" i="89"/>
  <c r="O6" i="89"/>
  <c r="C12" i="89"/>
  <c r="D12" i="89"/>
  <c r="E12" i="89"/>
  <c r="F12" i="89"/>
  <c r="G12" i="89"/>
  <c r="H12" i="89"/>
  <c r="I12" i="89"/>
  <c r="J12" i="89"/>
  <c r="K12" i="89"/>
  <c r="L12" i="89"/>
  <c r="M12" i="89"/>
  <c r="M15" i="89" s="1"/>
  <c r="N12" i="89"/>
  <c r="O12" i="89"/>
  <c r="P12" i="89"/>
  <c r="Q12" i="89"/>
  <c r="Q15" i="89" s="1"/>
  <c r="R12" i="89"/>
  <c r="S12" i="89"/>
  <c r="C14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C19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C21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C26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C28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C33" i="89"/>
  <c r="D33" i="89"/>
  <c r="E33" i="89"/>
  <c r="F33" i="89"/>
  <c r="G33" i="89"/>
  <c r="H33" i="89"/>
  <c r="I33" i="89"/>
  <c r="J33" i="89"/>
  <c r="J36" i="89" s="1"/>
  <c r="K33" i="89"/>
  <c r="L33" i="89"/>
  <c r="M33" i="89"/>
  <c r="N33" i="89"/>
  <c r="N36" i="89" s="1"/>
  <c r="C35" i="89"/>
  <c r="D35" i="89"/>
  <c r="E35" i="89"/>
  <c r="F35" i="89"/>
  <c r="G35" i="89"/>
  <c r="H35" i="89"/>
  <c r="I35" i="89"/>
  <c r="J35" i="89"/>
  <c r="K35" i="89"/>
  <c r="L35" i="89"/>
  <c r="M35" i="89"/>
  <c r="N35" i="89"/>
  <c r="C40" i="89"/>
  <c r="D40" i="89"/>
  <c r="E40" i="89"/>
  <c r="F40" i="89"/>
  <c r="G40" i="89"/>
  <c r="H40" i="89"/>
  <c r="H43" i="89" s="1"/>
  <c r="I40" i="89"/>
  <c r="I43" i="89" s="1"/>
  <c r="J40" i="89"/>
  <c r="K40" i="89"/>
  <c r="L40" i="89"/>
  <c r="L43" i="89" s="1"/>
  <c r="M40" i="89"/>
  <c r="M43" i="89" s="1"/>
  <c r="N40" i="89"/>
  <c r="O40" i="89"/>
  <c r="P40" i="89"/>
  <c r="P43" i="89" s="1"/>
  <c r="Q40" i="89"/>
  <c r="Q43" i="89" s="1"/>
  <c r="R40" i="89"/>
  <c r="C42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C47" i="89"/>
  <c r="D47" i="89"/>
  <c r="E47" i="89"/>
  <c r="F47" i="89"/>
  <c r="G47" i="89"/>
  <c r="H47" i="89"/>
  <c r="I47" i="89"/>
  <c r="J47" i="89"/>
  <c r="J50" i="89" s="1"/>
  <c r="K47" i="89"/>
  <c r="L47" i="89"/>
  <c r="C49" i="89"/>
  <c r="D49" i="89"/>
  <c r="E49" i="89"/>
  <c r="F49" i="89"/>
  <c r="G49" i="89"/>
  <c r="H49" i="89"/>
  <c r="I49" i="89"/>
  <c r="J49" i="89"/>
  <c r="K49" i="89"/>
  <c r="L49" i="89"/>
  <c r="C54" i="89"/>
  <c r="D54" i="89"/>
  <c r="C56" i="89"/>
  <c r="D56" i="89"/>
  <c r="C61" i="89"/>
  <c r="D61" i="89"/>
  <c r="E61" i="89"/>
  <c r="F61" i="89"/>
  <c r="G61" i="89"/>
  <c r="H61" i="89"/>
  <c r="I61" i="89"/>
  <c r="J61" i="89"/>
  <c r="K61" i="89"/>
  <c r="L61" i="89"/>
  <c r="M61" i="89"/>
  <c r="M64" i="89" s="1"/>
  <c r="N61" i="89"/>
  <c r="O61" i="89"/>
  <c r="P61" i="89"/>
  <c r="P64" i="89" s="1"/>
  <c r="C63" i="89"/>
  <c r="D63" i="89"/>
  <c r="E63" i="89"/>
  <c r="F63" i="89"/>
  <c r="G63" i="89"/>
  <c r="H63" i="89"/>
  <c r="I63" i="89"/>
  <c r="J63" i="89"/>
  <c r="K63" i="89"/>
  <c r="L63" i="89"/>
  <c r="M63" i="89"/>
  <c r="N63" i="89"/>
  <c r="O63" i="89"/>
  <c r="P63" i="89"/>
  <c r="C68" i="89"/>
  <c r="D68" i="89"/>
  <c r="E68" i="89"/>
  <c r="F68" i="89"/>
  <c r="G68" i="89"/>
  <c r="H68" i="89"/>
  <c r="I68" i="89"/>
  <c r="J68" i="89"/>
  <c r="K68" i="89"/>
  <c r="L68" i="89"/>
  <c r="M68" i="89"/>
  <c r="N68" i="89"/>
  <c r="O68" i="89"/>
  <c r="C70" i="89"/>
  <c r="D70" i="89"/>
  <c r="E70" i="89"/>
  <c r="F70" i="89"/>
  <c r="G70" i="89"/>
  <c r="H70" i="89"/>
  <c r="I70" i="89"/>
  <c r="J70" i="89"/>
  <c r="K70" i="89"/>
  <c r="L70" i="89"/>
  <c r="M70" i="89"/>
  <c r="N70" i="89"/>
  <c r="O70" i="89"/>
  <c r="C75" i="89"/>
  <c r="D75" i="89"/>
  <c r="E75" i="89"/>
  <c r="F75" i="89"/>
  <c r="G75" i="89"/>
  <c r="H75" i="89"/>
  <c r="H78" i="89" s="1"/>
  <c r="C77" i="89"/>
  <c r="D77" i="89"/>
  <c r="E77" i="89"/>
  <c r="F77" i="89"/>
  <c r="G77" i="89"/>
  <c r="H77" i="89"/>
  <c r="C82" i="89"/>
  <c r="D82" i="89"/>
  <c r="C84" i="89"/>
  <c r="D84" i="89"/>
  <c r="C89" i="89"/>
  <c r="D89" i="89"/>
  <c r="E89" i="89"/>
  <c r="C91" i="89"/>
  <c r="D91" i="89"/>
  <c r="E91" i="89"/>
  <c r="C96" i="89"/>
  <c r="D96" i="89"/>
  <c r="E96" i="89"/>
  <c r="C98" i="89"/>
  <c r="D98" i="89"/>
  <c r="E98" i="89"/>
  <c r="D45" i="119" l="1"/>
  <c r="N10" i="119"/>
  <c r="R10" i="119"/>
  <c r="V10" i="119"/>
  <c r="Z10" i="119"/>
  <c r="D24" i="119"/>
  <c r="F31" i="119"/>
  <c r="J31" i="119"/>
  <c r="H17" i="119"/>
  <c r="I31" i="119"/>
  <c r="K10" i="119"/>
  <c r="O10" i="119"/>
  <c r="S10" i="119"/>
  <c r="W10" i="119"/>
  <c r="F17" i="119"/>
  <c r="J17" i="119"/>
  <c r="E24" i="119"/>
  <c r="Q10" i="119"/>
  <c r="L10" i="119"/>
  <c r="P10" i="119"/>
  <c r="T10" i="119"/>
  <c r="X10" i="119"/>
  <c r="F24" i="119"/>
  <c r="H31" i="119"/>
  <c r="L31" i="119"/>
  <c r="D38" i="119"/>
  <c r="D17" i="119"/>
  <c r="C24" i="119"/>
  <c r="E31" i="119"/>
  <c r="E38" i="119"/>
  <c r="M10" i="119"/>
  <c r="Y10" i="119"/>
  <c r="C17" i="118"/>
  <c r="G17" i="118"/>
  <c r="E38" i="118"/>
  <c r="I38" i="118"/>
  <c r="D17" i="118"/>
  <c r="H17" i="118"/>
  <c r="G31" i="118"/>
  <c r="K31" i="118"/>
  <c r="O31" i="118"/>
  <c r="F38" i="118"/>
  <c r="J38" i="118"/>
  <c r="E45" i="118"/>
  <c r="F10" i="118"/>
  <c r="J10" i="118"/>
  <c r="N10" i="118"/>
  <c r="E17" i="118"/>
  <c r="C24" i="118"/>
  <c r="D31" i="118"/>
  <c r="H31" i="118"/>
  <c r="L31" i="118"/>
  <c r="C38" i="118"/>
  <c r="G38" i="118"/>
  <c r="F45" i="118"/>
  <c r="C52" i="118"/>
  <c r="G10" i="118"/>
  <c r="K10" i="118"/>
  <c r="O10" i="118"/>
  <c r="F17" i="118"/>
  <c r="D24" i="118"/>
  <c r="E31" i="118"/>
  <c r="I31" i="118"/>
  <c r="M31" i="118"/>
  <c r="D38" i="118"/>
  <c r="H38" i="118"/>
  <c r="G45" i="118"/>
  <c r="D52" i="118"/>
  <c r="F10" i="117"/>
  <c r="J10" i="117"/>
  <c r="C24" i="117"/>
  <c r="G24" i="117"/>
  <c r="G38" i="117"/>
  <c r="K38" i="117"/>
  <c r="E59" i="117"/>
  <c r="G10" i="117"/>
  <c r="K10" i="117"/>
  <c r="D24" i="117"/>
  <c r="H24" i="117"/>
  <c r="H38" i="117"/>
  <c r="E52" i="117"/>
  <c r="I52" i="117"/>
  <c r="F59" i="117"/>
  <c r="H10" i="117"/>
  <c r="L10" i="117"/>
  <c r="D17" i="117"/>
  <c r="H17" i="117"/>
  <c r="E24" i="117"/>
  <c r="C31" i="117"/>
  <c r="E38" i="117"/>
  <c r="I38" i="117"/>
  <c r="F52" i="117"/>
  <c r="C59" i="117"/>
  <c r="G59" i="117"/>
  <c r="C66" i="117"/>
  <c r="E10" i="117"/>
  <c r="I10" i="117"/>
  <c r="E17" i="117"/>
  <c r="I17" i="117"/>
  <c r="F24" i="117"/>
  <c r="D31" i="117"/>
  <c r="F38" i="117"/>
  <c r="J38" i="117"/>
  <c r="C45" i="117"/>
  <c r="G52" i="117"/>
  <c r="D59" i="117"/>
  <c r="H59" i="117"/>
  <c r="D24" i="116"/>
  <c r="H24" i="116"/>
  <c r="E38" i="116"/>
  <c r="I38" i="116"/>
  <c r="D17" i="116"/>
  <c r="H17" i="116"/>
  <c r="L17" i="116"/>
  <c r="E24" i="116"/>
  <c r="I24" i="116"/>
  <c r="F38" i="116"/>
  <c r="J38" i="116"/>
  <c r="E17" i="116"/>
  <c r="I17" i="116"/>
  <c r="M17" i="116"/>
  <c r="F24" i="116"/>
  <c r="J24" i="116"/>
  <c r="C38" i="116"/>
  <c r="G38" i="116"/>
  <c r="C45" i="116"/>
  <c r="C52" i="116"/>
  <c r="J10" i="116"/>
  <c r="N10" i="116"/>
  <c r="F17" i="116"/>
  <c r="J17" i="116"/>
  <c r="C24" i="116"/>
  <c r="G24" i="116"/>
  <c r="D38" i="116"/>
  <c r="H38" i="116"/>
  <c r="D45" i="116"/>
  <c r="J10" i="115"/>
  <c r="N10" i="115"/>
  <c r="K10" i="115"/>
  <c r="O10" i="115"/>
  <c r="L10" i="115"/>
  <c r="P10" i="115"/>
  <c r="K17" i="115"/>
  <c r="O17" i="115"/>
  <c r="G24" i="115"/>
  <c r="K24" i="115"/>
  <c r="I59" i="115"/>
  <c r="M59" i="115"/>
  <c r="C66" i="115"/>
  <c r="G66" i="115"/>
  <c r="M10" i="115"/>
  <c r="Q10" i="115"/>
  <c r="L17" i="115"/>
  <c r="P17" i="115"/>
  <c r="H24" i="115"/>
  <c r="L24" i="115"/>
  <c r="I31" i="115"/>
  <c r="J59" i="115"/>
  <c r="N59" i="115"/>
  <c r="D66" i="115"/>
  <c r="J17" i="114"/>
  <c r="N17" i="114"/>
  <c r="F10" i="114"/>
  <c r="J10" i="114"/>
  <c r="G17" i="114"/>
  <c r="K17" i="114"/>
  <c r="E31" i="114"/>
  <c r="G10" i="114"/>
  <c r="K10" i="114"/>
  <c r="H17" i="114"/>
  <c r="L17" i="114"/>
  <c r="F24" i="114"/>
  <c r="J24" i="114"/>
  <c r="N24" i="114"/>
  <c r="E38" i="114"/>
  <c r="I38" i="114"/>
  <c r="H10" i="114"/>
  <c r="L10" i="114"/>
  <c r="I17" i="114"/>
  <c r="M17" i="114"/>
  <c r="G24" i="114"/>
  <c r="K24" i="114"/>
  <c r="F38" i="114"/>
  <c r="J38" i="114"/>
  <c r="G45" i="114"/>
  <c r="J38" i="113"/>
  <c r="N38" i="113"/>
  <c r="R38" i="113"/>
  <c r="G24" i="113"/>
  <c r="K38" i="113"/>
  <c r="O38" i="113"/>
  <c r="S38" i="113"/>
  <c r="E45" i="113"/>
  <c r="J10" i="113"/>
  <c r="N10" i="113"/>
  <c r="R10" i="113"/>
  <c r="V10" i="113"/>
  <c r="Z10" i="113"/>
  <c r="K18" i="113"/>
  <c r="O18" i="113"/>
  <c r="H24" i="113"/>
  <c r="L38" i="113"/>
  <c r="P38" i="113"/>
  <c r="K10" i="113"/>
  <c r="O10" i="113"/>
  <c r="S10" i="113"/>
  <c r="W10" i="113"/>
  <c r="H18" i="113"/>
  <c r="L18" i="113"/>
  <c r="P18" i="113"/>
  <c r="I38" i="113"/>
  <c r="M38" i="113"/>
  <c r="Q38" i="113"/>
  <c r="J10" i="112"/>
  <c r="N10" i="112"/>
  <c r="R10" i="112"/>
  <c r="I17" i="112"/>
  <c r="K10" i="112"/>
  <c r="O10" i="112"/>
  <c r="S10" i="112"/>
  <c r="M31" i="112"/>
  <c r="L10" i="112"/>
  <c r="P10" i="112"/>
  <c r="T10" i="112"/>
  <c r="K17" i="112"/>
  <c r="G24" i="112"/>
  <c r="K24" i="112"/>
  <c r="O24" i="112"/>
  <c r="J31" i="112"/>
  <c r="N31" i="112"/>
  <c r="I10" i="112"/>
  <c r="M10" i="112"/>
  <c r="Q10" i="112"/>
  <c r="H17" i="112"/>
  <c r="L17" i="112"/>
  <c r="H24" i="112"/>
  <c r="L24" i="112"/>
  <c r="P24" i="112"/>
  <c r="K31" i="112"/>
  <c r="O31" i="112"/>
  <c r="J10" i="111"/>
  <c r="N10" i="111"/>
  <c r="E24" i="111"/>
  <c r="K38" i="111"/>
  <c r="O38" i="111"/>
  <c r="G10" i="111"/>
  <c r="K10" i="111"/>
  <c r="L38" i="111"/>
  <c r="J45" i="111"/>
  <c r="H10" i="111"/>
  <c r="L10" i="111"/>
  <c r="J17" i="111"/>
  <c r="I38" i="111"/>
  <c r="M38" i="111"/>
  <c r="K45" i="111"/>
  <c r="I10" i="111"/>
  <c r="M10" i="111"/>
  <c r="G17" i="111"/>
  <c r="K17" i="111"/>
  <c r="C31" i="111"/>
  <c r="J38" i="111"/>
  <c r="N38" i="111"/>
  <c r="H45" i="111"/>
  <c r="L45" i="111"/>
  <c r="H52" i="111"/>
  <c r="O10" i="110"/>
  <c r="F17" i="110"/>
  <c r="J17" i="110"/>
  <c r="N17" i="110"/>
  <c r="I24" i="110"/>
  <c r="K52" i="110"/>
  <c r="E66" i="110"/>
  <c r="I66" i="110"/>
  <c r="M10" i="110"/>
  <c r="G17" i="110"/>
  <c r="K17" i="110"/>
  <c r="F24" i="110"/>
  <c r="J24" i="110"/>
  <c r="H31" i="110"/>
  <c r="K45" i="110"/>
  <c r="O45" i="110"/>
  <c r="H52" i="110"/>
  <c r="L52" i="110"/>
  <c r="G59" i="110"/>
  <c r="F66" i="110"/>
  <c r="J66" i="110"/>
  <c r="J10" i="110"/>
  <c r="N10" i="110"/>
  <c r="H17" i="110"/>
  <c r="L17" i="110"/>
  <c r="G24" i="110"/>
  <c r="E31" i="110"/>
  <c r="D38" i="110"/>
  <c r="L45" i="110"/>
  <c r="P45" i="110"/>
  <c r="I52" i="110"/>
  <c r="M52" i="110"/>
  <c r="H59" i="110"/>
  <c r="G66" i="110"/>
  <c r="K66" i="110"/>
  <c r="C24" i="109"/>
  <c r="E31" i="109"/>
  <c r="D24" i="109"/>
  <c r="F31" i="109"/>
  <c r="E10" i="109"/>
  <c r="I10" i="109"/>
  <c r="M10" i="109"/>
  <c r="F17" i="109"/>
  <c r="J17" i="109"/>
  <c r="C31" i="109"/>
  <c r="F10" i="109"/>
  <c r="J10" i="109"/>
  <c r="N10" i="109"/>
  <c r="G17" i="109"/>
  <c r="K17" i="109"/>
  <c r="D31" i="109"/>
  <c r="E17" i="108"/>
  <c r="E24" i="108"/>
  <c r="I24" i="108"/>
  <c r="M24" i="108"/>
  <c r="Q24" i="108"/>
  <c r="F10" i="108"/>
  <c r="J10" i="108"/>
  <c r="N10" i="108"/>
  <c r="F17" i="108"/>
  <c r="F24" i="108"/>
  <c r="J24" i="108"/>
  <c r="N24" i="108"/>
  <c r="R24" i="108"/>
  <c r="G10" i="108"/>
  <c r="K10" i="108"/>
  <c r="C17" i="108"/>
  <c r="G24" i="108"/>
  <c r="K24" i="108"/>
  <c r="O24" i="108"/>
  <c r="S24" i="108"/>
  <c r="H10" i="108"/>
  <c r="L10" i="108"/>
  <c r="D17" i="108"/>
  <c r="H24" i="108"/>
  <c r="L24" i="108"/>
  <c r="P24" i="108"/>
  <c r="F10" i="107"/>
  <c r="J10" i="107"/>
  <c r="G38" i="107"/>
  <c r="K38" i="107"/>
  <c r="G10" i="107"/>
  <c r="K10" i="107"/>
  <c r="J17" i="107"/>
  <c r="F24" i="107"/>
  <c r="C31" i="107"/>
  <c r="D38" i="107"/>
  <c r="H38" i="107"/>
  <c r="L38" i="107"/>
  <c r="N45" i="107"/>
  <c r="F59" i="107"/>
  <c r="D10" i="107"/>
  <c r="H10" i="107"/>
  <c r="L10" i="107"/>
  <c r="K17" i="107"/>
  <c r="G24" i="107"/>
  <c r="D31" i="107"/>
  <c r="E38" i="107"/>
  <c r="I38" i="107"/>
  <c r="M38" i="107"/>
  <c r="O45" i="107"/>
  <c r="C17" i="106"/>
  <c r="D17" i="106"/>
  <c r="L24" i="106"/>
  <c r="P24" i="106"/>
  <c r="H31" i="106"/>
  <c r="L31" i="106"/>
  <c r="F10" i="106"/>
  <c r="I24" i="106"/>
  <c r="M24" i="106"/>
  <c r="I31" i="106"/>
  <c r="M31" i="106"/>
  <c r="F17" i="105"/>
  <c r="J17" i="105"/>
  <c r="C24" i="105"/>
  <c r="E31" i="105"/>
  <c r="I31" i="105"/>
  <c r="G17" i="105"/>
  <c r="K17" i="105"/>
  <c r="D24" i="105"/>
  <c r="F31" i="105"/>
  <c r="J31" i="105"/>
  <c r="J10" i="105"/>
  <c r="N10" i="105"/>
  <c r="H17" i="105"/>
  <c r="L17" i="105"/>
  <c r="C31" i="105"/>
  <c r="G31" i="105"/>
  <c r="K31" i="105"/>
  <c r="F38" i="105"/>
  <c r="E45" i="105"/>
  <c r="G10" i="105"/>
  <c r="K10" i="105"/>
  <c r="O10" i="105"/>
  <c r="E17" i="105"/>
  <c r="I17" i="105"/>
  <c r="M17" i="105"/>
  <c r="D31" i="105"/>
  <c r="H31" i="105"/>
  <c r="L31" i="105"/>
  <c r="G38" i="105"/>
  <c r="E17" i="104"/>
  <c r="I17" i="104"/>
  <c r="D24" i="104"/>
  <c r="D45" i="104"/>
  <c r="F10" i="104"/>
  <c r="J10" i="104"/>
  <c r="N10" i="104"/>
  <c r="F17" i="104"/>
  <c r="J17" i="104"/>
  <c r="E24" i="104"/>
  <c r="H38" i="104"/>
  <c r="G10" i="104"/>
  <c r="K10" i="104"/>
  <c r="G17" i="104"/>
  <c r="K17" i="104"/>
  <c r="F24" i="104"/>
  <c r="L31" i="104"/>
  <c r="H10" i="104"/>
  <c r="L10" i="104"/>
  <c r="H17" i="104"/>
  <c r="C24" i="104"/>
  <c r="I31" i="104"/>
  <c r="M31" i="104"/>
  <c r="F38" i="104"/>
  <c r="C45" i="104"/>
  <c r="H17" i="103"/>
  <c r="F10" i="103"/>
  <c r="J10" i="103"/>
  <c r="F38" i="103"/>
  <c r="J38" i="103"/>
  <c r="J45" i="103"/>
  <c r="N45" i="103"/>
  <c r="J52" i="103"/>
  <c r="N52" i="103"/>
  <c r="H59" i="103"/>
  <c r="G10" i="103"/>
  <c r="F17" i="103"/>
  <c r="G38" i="103"/>
  <c r="K38" i="103"/>
  <c r="G45" i="103"/>
  <c r="K45" i="103"/>
  <c r="O45" i="103"/>
  <c r="K52" i="103"/>
  <c r="E59" i="103"/>
  <c r="C73" i="103"/>
  <c r="F17" i="102"/>
  <c r="J17" i="102"/>
  <c r="N17" i="102"/>
  <c r="K52" i="102"/>
  <c r="H17" i="102"/>
  <c r="I52" i="102"/>
  <c r="C59" i="102"/>
  <c r="L17" i="102"/>
  <c r="G24" i="102"/>
  <c r="I17" i="102"/>
  <c r="M17" i="102"/>
  <c r="Q17" i="102"/>
  <c r="H24" i="102"/>
  <c r="F45" i="102"/>
  <c r="J52" i="102"/>
  <c r="N52" i="102"/>
  <c r="D59" i="102"/>
  <c r="C66" i="102"/>
  <c r="G10" i="102"/>
  <c r="P17" i="102"/>
  <c r="K24" i="102"/>
  <c r="E45" i="102"/>
  <c r="M52" i="102"/>
  <c r="I24" i="102"/>
  <c r="O17" i="102"/>
  <c r="K17" i="102"/>
  <c r="G17" i="102"/>
  <c r="J16" i="101"/>
  <c r="N16" i="101"/>
  <c r="G16" i="101"/>
  <c r="K16" i="101"/>
  <c r="C37" i="101"/>
  <c r="I44" i="101"/>
  <c r="M44" i="101"/>
  <c r="Q44" i="101"/>
  <c r="N10" i="101"/>
  <c r="R10" i="101"/>
  <c r="H16" i="101"/>
  <c r="L16" i="101"/>
  <c r="C30" i="101"/>
  <c r="J44" i="101"/>
  <c r="N44" i="101"/>
  <c r="K10" i="101"/>
  <c r="O10" i="101"/>
  <c r="S10" i="101"/>
  <c r="I16" i="101"/>
  <c r="M16" i="101"/>
  <c r="F23" i="101"/>
  <c r="C31" i="101"/>
  <c r="K44" i="101"/>
  <c r="O44" i="101"/>
  <c r="G10" i="100"/>
  <c r="K10" i="100"/>
  <c r="G24" i="100"/>
  <c r="K24" i="100"/>
  <c r="G45" i="100"/>
  <c r="E66" i="100"/>
  <c r="D94" i="100"/>
  <c r="I17" i="100"/>
  <c r="M17" i="100"/>
  <c r="Q17" i="100"/>
  <c r="H24" i="100"/>
  <c r="E38" i="100"/>
  <c r="F66" i="100"/>
  <c r="I10" i="100"/>
  <c r="J17" i="100"/>
  <c r="N17" i="100"/>
  <c r="R17" i="100"/>
  <c r="E24" i="100"/>
  <c r="I24" i="100"/>
  <c r="F38" i="100"/>
  <c r="E45" i="100"/>
  <c r="E59" i="100"/>
  <c r="C66" i="100"/>
  <c r="C73" i="100"/>
  <c r="D87" i="100"/>
  <c r="F10" i="100"/>
  <c r="J10" i="100"/>
  <c r="K17" i="100"/>
  <c r="O17" i="100"/>
  <c r="S17" i="100"/>
  <c r="F24" i="100"/>
  <c r="J24" i="100"/>
  <c r="C31" i="100"/>
  <c r="G38" i="100"/>
  <c r="F45" i="100"/>
  <c r="C52" i="100"/>
  <c r="F59" i="100"/>
  <c r="D66" i="100"/>
  <c r="D73" i="100"/>
  <c r="C94" i="100"/>
  <c r="K31" i="95"/>
  <c r="O31" i="95"/>
  <c r="C38" i="95"/>
  <c r="C52" i="95"/>
  <c r="J10" i="95"/>
  <c r="N10" i="95"/>
  <c r="R10" i="95"/>
  <c r="I17" i="95"/>
  <c r="L31" i="95"/>
  <c r="P31" i="95"/>
  <c r="D38" i="95"/>
  <c r="D52" i="95"/>
  <c r="K10" i="95"/>
  <c r="O10" i="95"/>
  <c r="F17" i="95"/>
  <c r="J17" i="95"/>
  <c r="I24" i="95"/>
  <c r="M24" i="95"/>
  <c r="M31" i="95"/>
  <c r="Q31" i="95"/>
  <c r="E45" i="95"/>
  <c r="I45" i="95"/>
  <c r="G17" i="95"/>
  <c r="K17" i="95"/>
  <c r="J24" i="95"/>
  <c r="N24" i="95"/>
  <c r="N31" i="95"/>
  <c r="R31" i="95"/>
  <c r="F45" i="95"/>
  <c r="J45" i="95"/>
  <c r="J8" i="93"/>
  <c r="N8" i="93"/>
  <c r="L15" i="93"/>
  <c r="C36" i="93"/>
  <c r="K8" i="93"/>
  <c r="O8" i="93"/>
  <c r="D36" i="93"/>
  <c r="L8" i="93"/>
  <c r="P8" i="93"/>
  <c r="N15" i="93"/>
  <c r="H22" i="93"/>
  <c r="C29" i="93"/>
  <c r="F50" i="93"/>
  <c r="J50" i="93"/>
  <c r="M8" i="93"/>
  <c r="Q8" i="93"/>
  <c r="I22" i="93"/>
  <c r="D29" i="93"/>
  <c r="C50" i="93"/>
  <c r="G50" i="93"/>
  <c r="K50" i="93"/>
  <c r="E17" i="92"/>
  <c r="I17" i="92"/>
  <c r="J31" i="92"/>
  <c r="N31" i="92"/>
  <c r="H45" i="92"/>
  <c r="F73" i="92"/>
  <c r="K31" i="92"/>
  <c r="O31" i="92"/>
  <c r="I45" i="92"/>
  <c r="G73" i="92"/>
  <c r="F10" i="92"/>
  <c r="J10" i="92"/>
  <c r="G17" i="92"/>
  <c r="K17" i="92"/>
  <c r="K24" i="92"/>
  <c r="L31" i="92"/>
  <c r="J38" i="92"/>
  <c r="N38" i="92"/>
  <c r="J45" i="92"/>
  <c r="D52" i="92"/>
  <c r="C59" i="92"/>
  <c r="H73" i="92"/>
  <c r="C80" i="92"/>
  <c r="G10" i="92"/>
  <c r="D17" i="92"/>
  <c r="H17" i="92"/>
  <c r="L17" i="92"/>
  <c r="L24" i="92"/>
  <c r="I31" i="92"/>
  <c r="M31" i="92"/>
  <c r="K38" i="92"/>
  <c r="G45" i="92"/>
  <c r="E52" i="92"/>
  <c r="E73" i="92"/>
  <c r="I73" i="92"/>
  <c r="C52" i="92"/>
  <c r="G37" i="91"/>
  <c r="K37" i="91"/>
  <c r="I77" i="91"/>
  <c r="I21" i="91"/>
  <c r="H37" i="91"/>
  <c r="L37" i="91"/>
  <c r="F53" i="91"/>
  <c r="J77" i="91"/>
  <c r="J13" i="91"/>
  <c r="N13" i="91"/>
  <c r="L29" i="91"/>
  <c r="I37" i="91"/>
  <c r="F45" i="91"/>
  <c r="G53" i="91"/>
  <c r="C61" i="91"/>
  <c r="I69" i="91"/>
  <c r="G77" i="91"/>
  <c r="K13" i="91"/>
  <c r="M29" i="91"/>
  <c r="J37" i="91"/>
  <c r="G45" i="91"/>
  <c r="H53" i="91"/>
  <c r="D61" i="91"/>
  <c r="J69" i="91"/>
  <c r="H77" i="91"/>
  <c r="F15" i="90"/>
  <c r="J29" i="90"/>
  <c r="H43" i="90"/>
  <c r="F50" i="90"/>
  <c r="E57" i="90"/>
  <c r="F71" i="90"/>
  <c r="J78" i="90"/>
  <c r="G85" i="90"/>
  <c r="G15" i="90"/>
  <c r="G29" i="90"/>
  <c r="N36" i="90"/>
  <c r="G50" i="90"/>
  <c r="F57" i="90"/>
  <c r="C71" i="90"/>
  <c r="K78" i="90"/>
  <c r="H85" i="90"/>
  <c r="I92" i="90"/>
  <c r="M8" i="90"/>
  <c r="H15" i="90"/>
  <c r="F22" i="90"/>
  <c r="H29" i="90"/>
  <c r="O36" i="90"/>
  <c r="C57" i="90"/>
  <c r="D64" i="90"/>
  <c r="D71" i="90"/>
  <c r="L78" i="90"/>
  <c r="E85" i="90"/>
  <c r="I85" i="90"/>
  <c r="J92" i="90"/>
  <c r="M99" i="90"/>
  <c r="J8" i="90"/>
  <c r="N8" i="90"/>
  <c r="E15" i="90"/>
  <c r="I15" i="90"/>
  <c r="G22" i="90"/>
  <c r="I29" i="90"/>
  <c r="L36" i="90"/>
  <c r="G43" i="90"/>
  <c r="E50" i="90"/>
  <c r="D57" i="90"/>
  <c r="E64" i="90"/>
  <c r="E71" i="90"/>
  <c r="I78" i="90"/>
  <c r="M78" i="90"/>
  <c r="F85" i="90"/>
  <c r="K92" i="90"/>
  <c r="K8" i="89"/>
  <c r="O8" i="89"/>
  <c r="H22" i="89"/>
  <c r="L22" i="89"/>
  <c r="P22" i="89"/>
  <c r="M29" i="89"/>
  <c r="K43" i="89"/>
  <c r="O43" i="89"/>
  <c r="D57" i="89"/>
  <c r="N71" i="89"/>
  <c r="D85" i="89"/>
  <c r="N15" i="89"/>
  <c r="R15" i="89"/>
  <c r="E22" i="89"/>
  <c r="I22" i="89"/>
  <c r="M22" i="89"/>
  <c r="Q22" i="89"/>
  <c r="N29" i="89"/>
  <c r="K36" i="89"/>
  <c r="K50" i="89"/>
  <c r="O71" i="89"/>
  <c r="O15" i="89"/>
  <c r="S15" i="89"/>
  <c r="F22" i="89"/>
  <c r="J22" i="89"/>
  <c r="N22" i="89"/>
  <c r="K29" i="89"/>
  <c r="O29" i="89"/>
  <c r="L36" i="89"/>
  <c r="L50" i="89"/>
  <c r="N64" i="89"/>
  <c r="J8" i="89"/>
  <c r="N8" i="89"/>
  <c r="L15" i="89"/>
  <c r="P15" i="89"/>
  <c r="G22" i="89"/>
  <c r="K22" i="89"/>
  <c r="O22" i="89"/>
  <c r="L29" i="89"/>
  <c r="P29" i="89"/>
  <c r="M36" i="89"/>
  <c r="J43" i="89"/>
  <c r="N43" i="89"/>
  <c r="R43" i="89"/>
  <c r="C57" i="89"/>
  <c r="O64" i="89"/>
  <c r="M71" i="89"/>
  <c r="C85" i="89"/>
  <c r="E92" i="89"/>
  <c r="C6" i="88"/>
  <c r="E2" i="88" s="1"/>
  <c r="D6" i="88"/>
  <c r="E6" i="88"/>
  <c r="F6" i="88"/>
  <c r="G6" i="88"/>
  <c r="H6" i="88"/>
  <c r="I6" i="88"/>
  <c r="I8" i="88" s="1"/>
  <c r="J6" i="88"/>
  <c r="C12" i="88"/>
  <c r="D12" i="88"/>
  <c r="E12" i="88"/>
  <c r="F12" i="88"/>
  <c r="G12" i="88"/>
  <c r="H12" i="88"/>
  <c r="H15" i="88" s="1"/>
  <c r="I12" i="88"/>
  <c r="J12" i="88"/>
  <c r="K12" i="88"/>
  <c r="L12" i="88"/>
  <c r="L15" i="88" s="1"/>
  <c r="M12" i="88"/>
  <c r="C14" i="88"/>
  <c r="D14" i="88"/>
  <c r="E14" i="88"/>
  <c r="F14" i="88"/>
  <c r="G14" i="88"/>
  <c r="H14" i="88"/>
  <c r="I14" i="88"/>
  <c r="J14" i="88"/>
  <c r="K14" i="88"/>
  <c r="L14" i="88"/>
  <c r="M14" i="88"/>
  <c r="C19" i="88"/>
  <c r="D19" i="88"/>
  <c r="E19" i="88"/>
  <c r="F19" i="88"/>
  <c r="F22" i="88" s="1"/>
  <c r="G19" i="88"/>
  <c r="G22" i="88" s="1"/>
  <c r="H19" i="88"/>
  <c r="H22" i="88" s="1"/>
  <c r="I19" i="88"/>
  <c r="J19" i="88"/>
  <c r="J22" i="88" s="1"/>
  <c r="K19" i="88"/>
  <c r="K22" i="88" s="1"/>
  <c r="L19" i="88"/>
  <c r="L22" i="88" s="1"/>
  <c r="M19" i="88"/>
  <c r="C21" i="88"/>
  <c r="D21" i="88"/>
  <c r="E21" i="88"/>
  <c r="F21" i="88"/>
  <c r="G21" i="88"/>
  <c r="H21" i="88"/>
  <c r="I21" i="88"/>
  <c r="J21" i="88"/>
  <c r="K21" i="88"/>
  <c r="L21" i="88"/>
  <c r="M21" i="88"/>
  <c r="C26" i="88"/>
  <c r="D26" i="88"/>
  <c r="E26" i="88"/>
  <c r="F26" i="88"/>
  <c r="C28" i="88"/>
  <c r="D28" i="88"/>
  <c r="E28" i="88"/>
  <c r="F28" i="88"/>
  <c r="C33" i="88"/>
  <c r="D33" i="88"/>
  <c r="E33" i="88"/>
  <c r="F33" i="88"/>
  <c r="F36" i="88" s="1"/>
  <c r="G33" i="88"/>
  <c r="H33" i="88"/>
  <c r="I33" i="88"/>
  <c r="J33" i="88"/>
  <c r="J36" i="88" s="1"/>
  <c r="K33" i="88"/>
  <c r="L33" i="88"/>
  <c r="M33" i="88"/>
  <c r="N33" i="88"/>
  <c r="N36" i="88" s="1"/>
  <c r="C35" i="88"/>
  <c r="D35" i="88"/>
  <c r="E35" i="88"/>
  <c r="F35" i="88"/>
  <c r="G35" i="88"/>
  <c r="H35" i="88"/>
  <c r="I35" i="88"/>
  <c r="J35" i="88"/>
  <c r="K35" i="88"/>
  <c r="L35" i="88"/>
  <c r="M35" i="88"/>
  <c r="N35" i="88"/>
  <c r="C40" i="88"/>
  <c r="D40" i="88"/>
  <c r="E40" i="88"/>
  <c r="E43" i="88" s="1"/>
  <c r="F40" i="88"/>
  <c r="G40" i="88"/>
  <c r="H40" i="88"/>
  <c r="I40" i="88"/>
  <c r="I43" i="88" s="1"/>
  <c r="J40" i="88"/>
  <c r="K40" i="88"/>
  <c r="C42" i="88"/>
  <c r="D42" i="88"/>
  <c r="E42" i="88"/>
  <c r="F42" i="88"/>
  <c r="G42" i="88"/>
  <c r="H42" i="88"/>
  <c r="I42" i="88"/>
  <c r="J42" i="88"/>
  <c r="K42" i="88"/>
  <c r="C6" i="87"/>
  <c r="E2" i="87" s="1"/>
  <c r="D6" i="87"/>
  <c r="E6" i="87"/>
  <c r="E8" i="87" s="1"/>
  <c r="F6" i="87"/>
  <c r="G6" i="87"/>
  <c r="H6" i="87"/>
  <c r="I6" i="87"/>
  <c r="I8" i="87" s="1"/>
  <c r="J6" i="87"/>
  <c r="K6" i="87"/>
  <c r="C12" i="87"/>
  <c r="D12" i="87"/>
  <c r="E12" i="87"/>
  <c r="F12" i="87"/>
  <c r="G12" i="87"/>
  <c r="H12" i="87"/>
  <c r="I12" i="87"/>
  <c r="I15" i="87" s="1"/>
  <c r="J12" i="87"/>
  <c r="K12" i="87"/>
  <c r="C14" i="87"/>
  <c r="D14" i="87"/>
  <c r="E14" i="87"/>
  <c r="F14" i="87"/>
  <c r="G14" i="87"/>
  <c r="H14" i="87"/>
  <c r="I14" i="87"/>
  <c r="J14" i="87"/>
  <c r="K14" i="87"/>
  <c r="C19" i="87"/>
  <c r="D19" i="87"/>
  <c r="E19" i="87"/>
  <c r="F19" i="87"/>
  <c r="G19" i="87"/>
  <c r="G22" i="87" s="1"/>
  <c r="H19" i="87"/>
  <c r="I19" i="87"/>
  <c r="C21" i="87"/>
  <c r="D21" i="87"/>
  <c r="E21" i="87"/>
  <c r="F21" i="87"/>
  <c r="G21" i="87"/>
  <c r="H21" i="87"/>
  <c r="I21" i="87"/>
  <c r="C26" i="87"/>
  <c r="D26" i="87"/>
  <c r="E26" i="87"/>
  <c r="F26" i="87"/>
  <c r="G26" i="87"/>
  <c r="G29" i="87" s="1"/>
  <c r="H26" i="87"/>
  <c r="I26" i="87"/>
  <c r="J26" i="87"/>
  <c r="J29" i="87" s="1"/>
  <c r="K26" i="87"/>
  <c r="K29" i="87" s="1"/>
  <c r="L26" i="87"/>
  <c r="M26" i="87"/>
  <c r="C28" i="87"/>
  <c r="D28" i="87"/>
  <c r="E28" i="87"/>
  <c r="F28" i="87"/>
  <c r="G28" i="87"/>
  <c r="H28" i="87"/>
  <c r="I28" i="87"/>
  <c r="J28" i="87"/>
  <c r="K28" i="87"/>
  <c r="L28" i="87"/>
  <c r="M28" i="87"/>
  <c r="C33" i="87"/>
  <c r="D33" i="87"/>
  <c r="C35" i="87"/>
  <c r="D35" i="87"/>
  <c r="C40" i="87"/>
  <c r="D40" i="87"/>
  <c r="D43" i="87" s="1"/>
  <c r="E40" i="87"/>
  <c r="F40" i="87"/>
  <c r="G40" i="87"/>
  <c r="H40" i="87"/>
  <c r="H43" i="87" s="1"/>
  <c r="I40" i="87"/>
  <c r="C42" i="87"/>
  <c r="D42" i="87"/>
  <c r="E42" i="87"/>
  <c r="F42" i="87"/>
  <c r="G42" i="87"/>
  <c r="H42" i="87"/>
  <c r="I42" i="87"/>
  <c r="C47" i="87"/>
  <c r="D47" i="87"/>
  <c r="D50" i="87" s="1"/>
  <c r="E47" i="87"/>
  <c r="F47" i="87"/>
  <c r="C49" i="87"/>
  <c r="D49" i="87"/>
  <c r="E49" i="87"/>
  <c r="F49" i="87"/>
  <c r="C54" i="87"/>
  <c r="C56" i="87"/>
  <c r="C6" i="86"/>
  <c r="E2" i="86" s="1"/>
  <c r="D6" i="86"/>
  <c r="E6" i="86"/>
  <c r="F6" i="86"/>
  <c r="G6" i="86"/>
  <c r="H6" i="86"/>
  <c r="I6" i="86"/>
  <c r="J6" i="86"/>
  <c r="K6" i="86"/>
  <c r="L6" i="86"/>
  <c r="M6" i="86"/>
  <c r="N6" i="86"/>
  <c r="O6" i="86"/>
  <c r="P6" i="86"/>
  <c r="Q6" i="86"/>
  <c r="Q8" i="86" s="1"/>
  <c r="R6" i="86"/>
  <c r="S6" i="86"/>
  <c r="S8" i="86" s="1"/>
  <c r="C12" i="86"/>
  <c r="D12" i="86"/>
  <c r="E12" i="86"/>
  <c r="F12" i="86"/>
  <c r="G12" i="86"/>
  <c r="G15" i="86" s="1"/>
  <c r="C14" i="86"/>
  <c r="D14" i="86"/>
  <c r="E14" i="86"/>
  <c r="F14" i="86"/>
  <c r="G14" i="86"/>
  <c r="C19" i="86"/>
  <c r="D19" i="86"/>
  <c r="E19" i="86"/>
  <c r="F19" i="86"/>
  <c r="G19" i="86"/>
  <c r="H19" i="86"/>
  <c r="H22" i="86" s="1"/>
  <c r="I19" i="86"/>
  <c r="J19" i="86"/>
  <c r="K19" i="86"/>
  <c r="L19" i="86"/>
  <c r="L22" i="86" s="1"/>
  <c r="C21" i="86"/>
  <c r="D21" i="86"/>
  <c r="E21" i="86"/>
  <c r="F21" i="86"/>
  <c r="G21" i="86"/>
  <c r="H21" i="86"/>
  <c r="I21" i="86"/>
  <c r="J21" i="86"/>
  <c r="K21" i="86"/>
  <c r="L21" i="86"/>
  <c r="C26" i="86"/>
  <c r="D26" i="86"/>
  <c r="E26" i="86"/>
  <c r="F26" i="86"/>
  <c r="G26" i="86"/>
  <c r="H26" i="86"/>
  <c r="I26" i="86"/>
  <c r="J26" i="86"/>
  <c r="K26" i="86"/>
  <c r="L26" i="86"/>
  <c r="C28" i="86"/>
  <c r="D28" i="86"/>
  <c r="E28" i="86"/>
  <c r="F28" i="86"/>
  <c r="G28" i="86"/>
  <c r="H28" i="86"/>
  <c r="I28" i="86"/>
  <c r="J28" i="86"/>
  <c r="K28" i="86"/>
  <c r="L28" i="86"/>
  <c r="C33" i="86"/>
  <c r="D33" i="86"/>
  <c r="C35" i="86"/>
  <c r="D35" i="86"/>
  <c r="C40" i="86"/>
  <c r="C42" i="86"/>
  <c r="C6" i="85"/>
  <c r="E2" i="85" s="1"/>
  <c r="D6" i="85"/>
  <c r="E6" i="85"/>
  <c r="F6" i="85"/>
  <c r="G6" i="85"/>
  <c r="H6" i="85"/>
  <c r="I6" i="85"/>
  <c r="I8" i="85" s="1"/>
  <c r="J6" i="85"/>
  <c r="K6" i="85"/>
  <c r="K8" i="85" s="1"/>
  <c r="L6" i="85"/>
  <c r="L8" i="85" s="1"/>
  <c r="M6" i="85"/>
  <c r="M8" i="85" s="1"/>
  <c r="N6" i="85"/>
  <c r="O6" i="85"/>
  <c r="O8" i="85" s="1"/>
  <c r="P6" i="85"/>
  <c r="P8" i="85" s="1"/>
  <c r="Q6" i="85"/>
  <c r="Q8" i="85" s="1"/>
  <c r="R6" i="85"/>
  <c r="S6" i="85"/>
  <c r="S8" i="85" s="1"/>
  <c r="C12" i="85"/>
  <c r="D12" i="85"/>
  <c r="E12" i="85"/>
  <c r="F12" i="85"/>
  <c r="G12" i="85"/>
  <c r="H12" i="85"/>
  <c r="I12" i="85"/>
  <c r="J12" i="85"/>
  <c r="K12" i="85"/>
  <c r="L12" i="85"/>
  <c r="M12" i="85"/>
  <c r="N12" i="85"/>
  <c r="O12" i="85"/>
  <c r="P12" i="85"/>
  <c r="Q12" i="85"/>
  <c r="C14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C19" i="85"/>
  <c r="D19" i="85"/>
  <c r="E19" i="85"/>
  <c r="F19" i="85"/>
  <c r="G19" i="85"/>
  <c r="H19" i="85"/>
  <c r="I19" i="85"/>
  <c r="J19" i="85"/>
  <c r="K19" i="85"/>
  <c r="C21" i="85"/>
  <c r="D21" i="85"/>
  <c r="E21" i="85"/>
  <c r="F21" i="85"/>
  <c r="G21" i="85"/>
  <c r="H21" i="85"/>
  <c r="I21" i="85"/>
  <c r="J21" i="85"/>
  <c r="K21" i="85"/>
  <c r="C26" i="85"/>
  <c r="D26" i="85"/>
  <c r="D29" i="85" s="1"/>
  <c r="E26" i="85"/>
  <c r="E29" i="85" s="1"/>
  <c r="C28" i="85"/>
  <c r="D28" i="85"/>
  <c r="E28" i="85"/>
  <c r="C33" i="85"/>
  <c r="D33" i="85"/>
  <c r="E33" i="85"/>
  <c r="F33" i="85"/>
  <c r="G33" i="85"/>
  <c r="H33" i="85"/>
  <c r="I33" i="85"/>
  <c r="J33" i="85"/>
  <c r="K33" i="85"/>
  <c r="L33" i="85"/>
  <c r="L36" i="85" s="1"/>
  <c r="M33" i="85"/>
  <c r="N33" i="85"/>
  <c r="O33" i="85"/>
  <c r="P33" i="85"/>
  <c r="P36" i="85" s="1"/>
  <c r="Q33" i="85"/>
  <c r="R33" i="85"/>
  <c r="S33" i="85"/>
  <c r="T33" i="85"/>
  <c r="T36" i="85" s="1"/>
  <c r="U33" i="85"/>
  <c r="C35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C40" i="85"/>
  <c r="D40" i="85"/>
  <c r="E40" i="85"/>
  <c r="F40" i="85"/>
  <c r="G40" i="85"/>
  <c r="G43" i="85" s="1"/>
  <c r="H40" i="85"/>
  <c r="C42" i="85"/>
  <c r="D42" i="85"/>
  <c r="E42" i="85"/>
  <c r="F42" i="85"/>
  <c r="G42" i="85"/>
  <c r="H42" i="85"/>
  <c r="C47" i="85"/>
  <c r="C49" i="85"/>
  <c r="C54" i="85"/>
  <c r="D54" i="85"/>
  <c r="E54" i="85"/>
  <c r="C56" i="85"/>
  <c r="D56" i="85"/>
  <c r="E56" i="85"/>
  <c r="C61" i="85"/>
  <c r="D61" i="85"/>
  <c r="D64" i="85" s="1"/>
  <c r="C63" i="85"/>
  <c r="D63" i="85"/>
  <c r="C6" i="84"/>
  <c r="E2" i="84" s="1"/>
  <c r="D6" i="84"/>
  <c r="E6" i="84"/>
  <c r="F6" i="84"/>
  <c r="G6" i="84"/>
  <c r="H6" i="84"/>
  <c r="I6" i="84"/>
  <c r="J6" i="84"/>
  <c r="K6" i="84"/>
  <c r="L6" i="84"/>
  <c r="M6" i="84"/>
  <c r="C12" i="84"/>
  <c r="D12" i="84"/>
  <c r="E12" i="84"/>
  <c r="F12" i="84"/>
  <c r="G12" i="84"/>
  <c r="H12" i="84"/>
  <c r="I12" i="84"/>
  <c r="C14" i="84"/>
  <c r="D14" i="84"/>
  <c r="E14" i="84"/>
  <c r="F14" i="84"/>
  <c r="G14" i="84"/>
  <c r="H14" i="84"/>
  <c r="I14" i="84"/>
  <c r="C19" i="84"/>
  <c r="D19" i="84"/>
  <c r="E19" i="84"/>
  <c r="F19" i="84"/>
  <c r="F22" i="84" s="1"/>
  <c r="G19" i="84"/>
  <c r="G22" i="84" s="1"/>
  <c r="H19" i="84"/>
  <c r="I19" i="84"/>
  <c r="I22" i="84" s="1"/>
  <c r="C21" i="84"/>
  <c r="D21" i="84"/>
  <c r="E21" i="84"/>
  <c r="F21" i="84"/>
  <c r="G21" i="84"/>
  <c r="H21" i="84"/>
  <c r="I21" i="84"/>
  <c r="C26" i="84"/>
  <c r="D26" i="84"/>
  <c r="E26" i="84"/>
  <c r="F26" i="84"/>
  <c r="G26" i="84"/>
  <c r="H26" i="84"/>
  <c r="I26" i="84"/>
  <c r="J26" i="84"/>
  <c r="K26" i="84"/>
  <c r="C28" i="84"/>
  <c r="D28" i="84"/>
  <c r="E28" i="84"/>
  <c r="F28" i="84"/>
  <c r="G28" i="84"/>
  <c r="H28" i="84"/>
  <c r="I28" i="84"/>
  <c r="J28" i="84"/>
  <c r="K28" i="84"/>
  <c r="C33" i="84"/>
  <c r="C36" i="84" s="1"/>
  <c r="C35" i="84"/>
  <c r="C40" i="84"/>
  <c r="D40" i="84"/>
  <c r="D43" i="84" s="1"/>
  <c r="E40" i="84"/>
  <c r="E43" i="84" s="1"/>
  <c r="C42" i="84"/>
  <c r="D42" i="84"/>
  <c r="E42" i="84"/>
  <c r="C47" i="84"/>
  <c r="D47" i="84"/>
  <c r="E47" i="84"/>
  <c r="C49" i="84"/>
  <c r="D49" i="84"/>
  <c r="E49" i="84"/>
  <c r="C54" i="84"/>
  <c r="C56" i="84"/>
  <c r="C6" i="83"/>
  <c r="E2" i="83" s="1"/>
  <c r="D6" i="83"/>
  <c r="E6" i="83"/>
  <c r="F6" i="83"/>
  <c r="G6" i="83"/>
  <c r="H6" i="83"/>
  <c r="I6" i="83"/>
  <c r="J6" i="83"/>
  <c r="K6" i="83"/>
  <c r="L6" i="83"/>
  <c r="M6" i="83"/>
  <c r="N6" i="83"/>
  <c r="O6" i="83"/>
  <c r="P6" i="83"/>
  <c r="Q6" i="83"/>
  <c r="Q8" i="83" s="1"/>
  <c r="R6" i="83"/>
  <c r="C12" i="83"/>
  <c r="D12" i="83"/>
  <c r="E12" i="83"/>
  <c r="F12" i="83"/>
  <c r="G12" i="83"/>
  <c r="H12" i="83"/>
  <c r="H15" i="83" s="1"/>
  <c r="C14" i="83"/>
  <c r="D14" i="83"/>
  <c r="E14" i="83"/>
  <c r="F14" i="83"/>
  <c r="G14" i="83"/>
  <c r="H14" i="83"/>
  <c r="C19" i="83"/>
  <c r="D19" i="83"/>
  <c r="E19" i="83"/>
  <c r="F19" i="83"/>
  <c r="G19" i="83"/>
  <c r="H19" i="83"/>
  <c r="I19" i="83"/>
  <c r="J19" i="83"/>
  <c r="J22" i="83" s="1"/>
  <c r="K19" i="83"/>
  <c r="K22" i="83" s="1"/>
  <c r="L19" i="83"/>
  <c r="M19" i="83"/>
  <c r="N19" i="83"/>
  <c r="N22" i="83" s="1"/>
  <c r="O19" i="83"/>
  <c r="O22" i="83" s="1"/>
  <c r="P19" i="83"/>
  <c r="Q19" i="83"/>
  <c r="R19" i="83"/>
  <c r="R22" i="83" s="1"/>
  <c r="S19" i="83"/>
  <c r="S22" i="83" s="1"/>
  <c r="C21" i="83"/>
  <c r="D21" i="83"/>
  <c r="E21" i="83"/>
  <c r="F21" i="83"/>
  <c r="G21" i="83"/>
  <c r="H21" i="83"/>
  <c r="I21" i="83"/>
  <c r="J21" i="83"/>
  <c r="K21" i="83"/>
  <c r="L21" i="83"/>
  <c r="M21" i="83"/>
  <c r="N21" i="83"/>
  <c r="O21" i="83"/>
  <c r="P21" i="83"/>
  <c r="Q21" i="83"/>
  <c r="R21" i="83"/>
  <c r="S21" i="83"/>
  <c r="C26" i="83"/>
  <c r="D26" i="83"/>
  <c r="E26" i="83"/>
  <c r="F26" i="83"/>
  <c r="G26" i="83"/>
  <c r="H26" i="83"/>
  <c r="I26" i="83"/>
  <c r="J26" i="83"/>
  <c r="K26" i="83"/>
  <c r="L26" i="83"/>
  <c r="M26" i="83"/>
  <c r="N26" i="83"/>
  <c r="O26" i="83"/>
  <c r="O29" i="83" s="1"/>
  <c r="P26" i="83"/>
  <c r="Q26" i="83"/>
  <c r="R26" i="83"/>
  <c r="C28" i="83"/>
  <c r="D28" i="83"/>
  <c r="E28" i="83"/>
  <c r="F28" i="83"/>
  <c r="G28" i="83"/>
  <c r="H28" i="83"/>
  <c r="I28" i="83"/>
  <c r="J28" i="83"/>
  <c r="K28" i="83"/>
  <c r="L28" i="83"/>
  <c r="M28" i="83"/>
  <c r="N28" i="83"/>
  <c r="O28" i="83"/>
  <c r="P28" i="83"/>
  <c r="Q28" i="83"/>
  <c r="R28" i="83"/>
  <c r="C33" i="83"/>
  <c r="D33" i="83"/>
  <c r="E33" i="83"/>
  <c r="F33" i="83"/>
  <c r="G33" i="83"/>
  <c r="H33" i="83"/>
  <c r="I33" i="83"/>
  <c r="J33" i="83"/>
  <c r="K33" i="83"/>
  <c r="C35" i="83"/>
  <c r="D35" i="83"/>
  <c r="E35" i="83"/>
  <c r="F35" i="83"/>
  <c r="G35" i="83"/>
  <c r="H35" i="83"/>
  <c r="I35" i="83"/>
  <c r="J35" i="83"/>
  <c r="K35" i="83"/>
  <c r="C40" i="83"/>
  <c r="D40" i="83"/>
  <c r="E40" i="83"/>
  <c r="C42" i="83"/>
  <c r="D42" i="83"/>
  <c r="E42" i="83"/>
  <c r="C47" i="83"/>
  <c r="C49" i="83"/>
  <c r="C29" i="88" l="1"/>
  <c r="G43" i="88"/>
  <c r="I22" i="88"/>
  <c r="I36" i="88"/>
  <c r="F8" i="88"/>
  <c r="J8" i="88"/>
  <c r="I15" i="88"/>
  <c r="M15" i="88"/>
  <c r="D29" i="88"/>
  <c r="G36" i="88"/>
  <c r="K36" i="88"/>
  <c r="F43" i="88"/>
  <c r="J43" i="88"/>
  <c r="K43" i="88"/>
  <c r="M22" i="88"/>
  <c r="F29" i="88"/>
  <c r="D43" i="88"/>
  <c r="G8" i="88"/>
  <c r="J15" i="88"/>
  <c r="E29" i="88"/>
  <c r="H36" i="88"/>
  <c r="L36" i="88"/>
  <c r="H8" i="88"/>
  <c r="K15" i="88"/>
  <c r="M36" i="88"/>
  <c r="H43" i="88"/>
  <c r="H8" i="87"/>
  <c r="G8" i="87"/>
  <c r="K8" i="87"/>
  <c r="C36" i="87"/>
  <c r="F50" i="87"/>
  <c r="K15" i="87"/>
  <c r="E22" i="87"/>
  <c r="L29" i="87"/>
  <c r="F43" i="87"/>
  <c r="G43" i="87"/>
  <c r="E50" i="87"/>
  <c r="J15" i="87"/>
  <c r="D22" i="87"/>
  <c r="H22" i="87"/>
  <c r="D36" i="87"/>
  <c r="E43" i="87"/>
  <c r="I43" i="87"/>
  <c r="I22" i="87"/>
  <c r="H29" i="87"/>
  <c r="I29" i="87"/>
  <c r="C57" i="87"/>
  <c r="F8" i="87"/>
  <c r="J8" i="87"/>
  <c r="H15" i="87"/>
  <c r="F22" i="87"/>
  <c r="M29" i="87"/>
  <c r="J29" i="86"/>
  <c r="K29" i="86"/>
  <c r="E22" i="86"/>
  <c r="I22" i="86"/>
  <c r="G29" i="86"/>
  <c r="F22" i="86"/>
  <c r="J22" i="86"/>
  <c r="H29" i="86"/>
  <c r="L29" i="86"/>
  <c r="R8" i="86"/>
  <c r="F15" i="86"/>
  <c r="G22" i="86"/>
  <c r="K22" i="86"/>
  <c r="I29" i="86"/>
  <c r="J15" i="85"/>
  <c r="N15" i="85"/>
  <c r="G22" i="85"/>
  <c r="K22" i="85"/>
  <c r="E43" i="85"/>
  <c r="K15" i="85"/>
  <c r="O15" i="85"/>
  <c r="H22" i="85"/>
  <c r="M36" i="85"/>
  <c r="Q36" i="85"/>
  <c r="U36" i="85"/>
  <c r="F43" i="85"/>
  <c r="L15" i="85"/>
  <c r="P15" i="85"/>
  <c r="E22" i="85"/>
  <c r="I22" i="85"/>
  <c r="N36" i="85"/>
  <c r="R36" i="85"/>
  <c r="C43" i="85"/>
  <c r="J8" i="85"/>
  <c r="N8" i="85"/>
  <c r="R8" i="85"/>
  <c r="I15" i="85"/>
  <c r="M15" i="85"/>
  <c r="Q15" i="85"/>
  <c r="F22" i="85"/>
  <c r="J22" i="85"/>
  <c r="C29" i="85"/>
  <c r="O36" i="85"/>
  <c r="S36" i="85"/>
  <c r="D43" i="85"/>
  <c r="H43" i="85"/>
  <c r="F8" i="84"/>
  <c r="J8" i="84"/>
  <c r="G15" i="84"/>
  <c r="J29" i="84"/>
  <c r="E50" i="84"/>
  <c r="K29" i="84"/>
  <c r="E15" i="84"/>
  <c r="G8" i="84"/>
  <c r="K8" i="84"/>
  <c r="H15" i="84"/>
  <c r="I15" i="84"/>
  <c r="I29" i="84"/>
  <c r="H8" i="84"/>
  <c r="L8" i="84"/>
  <c r="C57" i="84"/>
  <c r="I8" i="84"/>
  <c r="M8" i="84"/>
  <c r="F15" i="84"/>
  <c r="H22" i="84"/>
  <c r="C43" i="84"/>
  <c r="M22" i="83"/>
  <c r="Q22" i="83"/>
  <c r="N29" i="83"/>
  <c r="R29" i="83"/>
  <c r="K36" i="83"/>
  <c r="Q29" i="83"/>
  <c r="J36" i="83"/>
  <c r="N8" i="83"/>
  <c r="R8" i="83"/>
  <c r="M29" i="83"/>
  <c r="O8" i="83"/>
  <c r="P29" i="83"/>
  <c r="C50" i="83"/>
  <c r="P8" i="83"/>
  <c r="L22" i="83"/>
  <c r="P22" i="83"/>
  <c r="E43" i="83"/>
  <c r="C6" i="82" l="1"/>
  <c r="D6" i="82"/>
  <c r="C2" i="82" s="1"/>
  <c r="E6" i="82"/>
  <c r="F6" i="82"/>
  <c r="G6" i="82"/>
  <c r="H6" i="82"/>
  <c r="I6" i="82"/>
  <c r="J6" i="82"/>
  <c r="K6" i="82"/>
  <c r="L6" i="82"/>
  <c r="M6" i="82"/>
  <c r="N6" i="82"/>
  <c r="O6" i="82"/>
  <c r="P6" i="82"/>
  <c r="Q6" i="82"/>
  <c r="R6" i="82"/>
  <c r="C8" i="82"/>
  <c r="D8" i="82"/>
  <c r="E8" i="82"/>
  <c r="F8" i="82"/>
  <c r="G8" i="82"/>
  <c r="H8" i="82"/>
  <c r="I8" i="82"/>
  <c r="J8" i="82"/>
  <c r="K8" i="82"/>
  <c r="L8" i="82"/>
  <c r="M8" i="82"/>
  <c r="N8" i="82"/>
  <c r="O8" i="82"/>
  <c r="P8" i="82"/>
  <c r="Q8" i="82"/>
  <c r="R8" i="82"/>
  <c r="G9" i="82"/>
  <c r="H9" i="82"/>
  <c r="I9" i="82"/>
  <c r="J9" i="82"/>
  <c r="K9" i="82"/>
  <c r="L9" i="82"/>
  <c r="M9" i="82"/>
  <c r="N9" i="82"/>
  <c r="O9" i="82"/>
  <c r="P9" i="82"/>
  <c r="Q9" i="82"/>
  <c r="R9" i="82"/>
  <c r="C14" i="82"/>
  <c r="D14" i="82"/>
  <c r="D18" i="82" s="1"/>
  <c r="E14" i="82"/>
  <c r="E18" i="82" s="1"/>
  <c r="F14" i="82"/>
  <c r="G14" i="82"/>
  <c r="H14" i="82"/>
  <c r="H18" i="82" s="1"/>
  <c r="I14" i="82"/>
  <c r="I18" i="82" s="1"/>
  <c r="J14" i="82"/>
  <c r="K14" i="82"/>
  <c r="L14" i="82"/>
  <c r="L18" i="82" s="1"/>
  <c r="M14" i="82"/>
  <c r="M18" i="82" s="1"/>
  <c r="C16" i="82"/>
  <c r="D16" i="82"/>
  <c r="E16" i="82"/>
  <c r="F16" i="82"/>
  <c r="F17" i="82" s="1"/>
  <c r="G16" i="82"/>
  <c r="G17" i="82" s="1"/>
  <c r="H16" i="82"/>
  <c r="I16" i="82"/>
  <c r="J16" i="82"/>
  <c r="J17" i="82" s="1"/>
  <c r="K16" i="82"/>
  <c r="K17" i="82" s="1"/>
  <c r="L16" i="82"/>
  <c r="M16" i="82"/>
  <c r="D17" i="82"/>
  <c r="E17" i="82"/>
  <c r="H17" i="82"/>
  <c r="I17" i="82"/>
  <c r="L17" i="82"/>
  <c r="M17" i="82"/>
  <c r="C22" i="82"/>
  <c r="D22" i="82"/>
  <c r="E22" i="82"/>
  <c r="F22" i="82"/>
  <c r="F26" i="82" s="1"/>
  <c r="G22" i="82"/>
  <c r="C24" i="82"/>
  <c r="D24" i="82"/>
  <c r="E24" i="82"/>
  <c r="E25" i="82" s="1"/>
  <c r="F24" i="82"/>
  <c r="F25" i="82" s="1"/>
  <c r="G24" i="82"/>
  <c r="G25" i="82"/>
  <c r="C30" i="82"/>
  <c r="D30" i="82"/>
  <c r="E30" i="82"/>
  <c r="F30" i="82"/>
  <c r="F34" i="82" s="1"/>
  <c r="G30" i="82"/>
  <c r="G34" i="82" s="1"/>
  <c r="C32" i="82"/>
  <c r="D32" i="82"/>
  <c r="E32" i="82"/>
  <c r="E33" i="82" s="1"/>
  <c r="F32" i="82"/>
  <c r="F33" i="82" s="1"/>
  <c r="G32" i="82"/>
  <c r="G33" i="82"/>
  <c r="C38" i="82"/>
  <c r="C42" i="82" s="1"/>
  <c r="D38" i="82"/>
  <c r="D42" i="82" s="1"/>
  <c r="E38" i="82"/>
  <c r="C40" i="82"/>
  <c r="C41" i="82" s="1"/>
  <c r="D40" i="82"/>
  <c r="D41" i="82" s="1"/>
  <c r="E40" i="82"/>
  <c r="E41" i="82"/>
  <c r="C46" i="82"/>
  <c r="D46" i="82"/>
  <c r="C48" i="82"/>
  <c r="D48" i="82"/>
  <c r="C54" i="82"/>
  <c r="C58" i="82" s="1"/>
  <c r="D54" i="82"/>
  <c r="D58" i="82" s="1"/>
  <c r="C56" i="82"/>
  <c r="D56" i="82"/>
  <c r="C57" i="82"/>
  <c r="D57" i="82"/>
  <c r="C62" i="82"/>
  <c r="D62" i="82"/>
  <c r="E62" i="82"/>
  <c r="F62" i="82"/>
  <c r="G62" i="82"/>
  <c r="G66" i="82" s="1"/>
  <c r="H62" i="82"/>
  <c r="I62" i="82"/>
  <c r="J62" i="82"/>
  <c r="K62" i="82"/>
  <c r="K66" i="82" s="1"/>
  <c r="L62" i="82"/>
  <c r="M62" i="82"/>
  <c r="C64" i="82"/>
  <c r="D64" i="82"/>
  <c r="E64" i="82"/>
  <c r="F64" i="82"/>
  <c r="G64" i="82"/>
  <c r="H64" i="82"/>
  <c r="I64" i="82"/>
  <c r="J64" i="82"/>
  <c r="K64" i="82"/>
  <c r="L64" i="82"/>
  <c r="M64" i="82"/>
  <c r="F65" i="82"/>
  <c r="G65" i="82"/>
  <c r="H65" i="82"/>
  <c r="I65" i="82"/>
  <c r="J65" i="82"/>
  <c r="K65" i="82"/>
  <c r="L65" i="82"/>
  <c r="M65" i="82"/>
  <c r="C70" i="82"/>
  <c r="D70" i="82"/>
  <c r="E70" i="82"/>
  <c r="F70" i="82"/>
  <c r="G70" i="82"/>
  <c r="H70" i="82"/>
  <c r="I70" i="82"/>
  <c r="J70" i="82"/>
  <c r="J74" i="82" s="1"/>
  <c r="K70" i="82"/>
  <c r="C72" i="82"/>
  <c r="D72" i="82"/>
  <c r="E72" i="82"/>
  <c r="F72" i="82"/>
  <c r="G72" i="82"/>
  <c r="H72" i="82"/>
  <c r="I72" i="82"/>
  <c r="J72" i="82"/>
  <c r="K72" i="82"/>
  <c r="H73" i="82"/>
  <c r="I73" i="82"/>
  <c r="J73" i="82"/>
  <c r="K73" i="82"/>
  <c r="C78" i="82"/>
  <c r="D78" i="82"/>
  <c r="E78" i="82"/>
  <c r="F78" i="82"/>
  <c r="G78" i="82"/>
  <c r="C80" i="82"/>
  <c r="D80" i="82"/>
  <c r="E80" i="82"/>
  <c r="F80" i="82"/>
  <c r="G80" i="82"/>
  <c r="C86" i="82"/>
  <c r="D86" i="82"/>
  <c r="E86" i="82"/>
  <c r="C88" i="82"/>
  <c r="D88" i="82"/>
  <c r="E88" i="82"/>
  <c r="E89" i="82"/>
  <c r="C94" i="82"/>
  <c r="C96" i="82"/>
  <c r="C6" i="81"/>
  <c r="D6" i="81"/>
  <c r="C2" i="81" s="1"/>
  <c r="E6" i="81"/>
  <c r="F6" i="81"/>
  <c r="G6" i="81"/>
  <c r="H6" i="81"/>
  <c r="I6" i="81"/>
  <c r="J6" i="81"/>
  <c r="K6" i="81"/>
  <c r="L6" i="81"/>
  <c r="M6" i="81"/>
  <c r="N6" i="81"/>
  <c r="O6" i="81"/>
  <c r="P6" i="81"/>
  <c r="Q6" i="81"/>
  <c r="R6" i="81"/>
  <c r="C8" i="81"/>
  <c r="D8" i="81"/>
  <c r="E8" i="81"/>
  <c r="F8" i="81"/>
  <c r="G8" i="81"/>
  <c r="H8" i="81"/>
  <c r="I8" i="81"/>
  <c r="J8" i="81"/>
  <c r="K8" i="81"/>
  <c r="L8" i="81"/>
  <c r="M8" i="81"/>
  <c r="N8" i="81"/>
  <c r="O8" i="81"/>
  <c r="P8" i="81"/>
  <c r="Q8" i="81"/>
  <c r="R8" i="81"/>
  <c r="G9" i="81"/>
  <c r="H9" i="81"/>
  <c r="I9" i="81"/>
  <c r="J9" i="81"/>
  <c r="K9" i="81"/>
  <c r="L9" i="81"/>
  <c r="M9" i="81"/>
  <c r="N9" i="81"/>
  <c r="O9" i="81"/>
  <c r="P9" i="81"/>
  <c r="Q9" i="81"/>
  <c r="R9" i="81"/>
  <c r="C14" i="81"/>
  <c r="D14" i="81"/>
  <c r="E14" i="81"/>
  <c r="F14" i="81"/>
  <c r="G14" i="81"/>
  <c r="H14" i="81"/>
  <c r="I14" i="81"/>
  <c r="J14" i="81"/>
  <c r="K14" i="81"/>
  <c r="L14" i="81"/>
  <c r="L18" i="81" s="1"/>
  <c r="M14" i="81"/>
  <c r="N14" i="81"/>
  <c r="O14" i="81"/>
  <c r="C16" i="81"/>
  <c r="D16" i="81"/>
  <c r="E16" i="81"/>
  <c r="F16" i="81"/>
  <c r="G16" i="81"/>
  <c r="H16" i="81"/>
  <c r="I16" i="81"/>
  <c r="J16" i="81"/>
  <c r="K16" i="81"/>
  <c r="K17" i="81" s="1"/>
  <c r="L16" i="81"/>
  <c r="M16" i="81"/>
  <c r="N16" i="81"/>
  <c r="O16" i="81"/>
  <c r="O17" i="81" s="1"/>
  <c r="I17" i="81"/>
  <c r="J17" i="81"/>
  <c r="L17" i="81"/>
  <c r="M17" i="81"/>
  <c r="N17" i="81"/>
  <c r="C22" i="81"/>
  <c r="D22" i="81"/>
  <c r="E22" i="81"/>
  <c r="F22" i="81"/>
  <c r="G22" i="81"/>
  <c r="H22" i="81"/>
  <c r="I22" i="81"/>
  <c r="J22" i="81"/>
  <c r="K22" i="81"/>
  <c r="L22" i="81"/>
  <c r="M22" i="81"/>
  <c r="C24" i="81"/>
  <c r="D24" i="81"/>
  <c r="E24" i="81"/>
  <c r="F24" i="81"/>
  <c r="G24" i="81"/>
  <c r="H24" i="81"/>
  <c r="I24" i="81"/>
  <c r="J24" i="81"/>
  <c r="J25" i="81" s="1"/>
  <c r="K24" i="81"/>
  <c r="L24" i="81"/>
  <c r="M24" i="81"/>
  <c r="H25" i="81"/>
  <c r="I25" i="81"/>
  <c r="K25" i="81"/>
  <c r="L25" i="81"/>
  <c r="M25" i="81"/>
  <c r="C30" i="81"/>
  <c r="D30" i="81"/>
  <c r="E30" i="81"/>
  <c r="F30" i="81"/>
  <c r="G30" i="81"/>
  <c r="H30" i="81"/>
  <c r="H34" i="81" s="1"/>
  <c r="I30" i="81"/>
  <c r="J30" i="81"/>
  <c r="K30" i="81"/>
  <c r="L30" i="81"/>
  <c r="L34" i="81" s="1"/>
  <c r="M30" i="81"/>
  <c r="N30" i="81"/>
  <c r="O30" i="81"/>
  <c r="C32" i="81"/>
  <c r="D32" i="81"/>
  <c r="E32" i="81"/>
  <c r="F32" i="81"/>
  <c r="G32" i="81"/>
  <c r="H32" i="81"/>
  <c r="I32" i="81"/>
  <c r="J32" i="81"/>
  <c r="K32" i="81"/>
  <c r="L32" i="81"/>
  <c r="M32" i="81"/>
  <c r="N32" i="81"/>
  <c r="O32" i="81"/>
  <c r="H33" i="81"/>
  <c r="I33" i="81"/>
  <c r="J33" i="81"/>
  <c r="K33" i="81"/>
  <c r="L33" i="81"/>
  <c r="M33" i="81"/>
  <c r="N33" i="81"/>
  <c r="O33" i="81"/>
  <c r="C38" i="81"/>
  <c r="D38" i="81"/>
  <c r="E38" i="81"/>
  <c r="F38" i="81"/>
  <c r="G38" i="81"/>
  <c r="H38" i="81"/>
  <c r="I38" i="81"/>
  <c r="J38" i="81"/>
  <c r="C40" i="81"/>
  <c r="D40" i="81"/>
  <c r="E40" i="81"/>
  <c r="F40" i="81"/>
  <c r="G40" i="81"/>
  <c r="H40" i="81"/>
  <c r="I40" i="81"/>
  <c r="J40" i="81"/>
  <c r="C41" i="81"/>
  <c r="D41" i="81"/>
  <c r="E41" i="81"/>
  <c r="F41" i="81"/>
  <c r="G41" i="81"/>
  <c r="H41" i="81"/>
  <c r="I41" i="81"/>
  <c r="J41" i="81"/>
  <c r="C46" i="81"/>
  <c r="D46" i="81"/>
  <c r="E46" i="81"/>
  <c r="C48" i="81"/>
  <c r="D48" i="81"/>
  <c r="E48" i="81"/>
  <c r="E49" i="81" s="1"/>
  <c r="C49" i="81"/>
  <c r="D49" i="81"/>
  <c r="C6" i="80"/>
  <c r="D6" i="80"/>
  <c r="E6" i="80"/>
  <c r="E10" i="80" s="1"/>
  <c r="F6" i="80"/>
  <c r="G6" i="80"/>
  <c r="H6" i="80"/>
  <c r="I6" i="80"/>
  <c r="I10" i="80" s="1"/>
  <c r="J6" i="80"/>
  <c r="K6" i="80"/>
  <c r="L6" i="80"/>
  <c r="C8" i="80"/>
  <c r="C9" i="80" s="1"/>
  <c r="D8" i="80"/>
  <c r="E8" i="80"/>
  <c r="F8" i="80"/>
  <c r="F9" i="80" s="1"/>
  <c r="G8" i="80"/>
  <c r="G9" i="80" s="1"/>
  <c r="H8" i="80"/>
  <c r="I8" i="80"/>
  <c r="J8" i="80"/>
  <c r="J9" i="80" s="1"/>
  <c r="K8" i="80"/>
  <c r="K9" i="80" s="1"/>
  <c r="L8" i="80"/>
  <c r="D9" i="80"/>
  <c r="E9" i="80"/>
  <c r="H9" i="80"/>
  <c r="I9" i="80"/>
  <c r="L9" i="80"/>
  <c r="C14" i="80"/>
  <c r="C2" i="80" s="1"/>
  <c r="D14" i="80"/>
  <c r="E14" i="80"/>
  <c r="F14" i="80"/>
  <c r="G14" i="80"/>
  <c r="C16" i="80"/>
  <c r="D16" i="80"/>
  <c r="E16" i="80"/>
  <c r="F16" i="80"/>
  <c r="G16" i="80"/>
  <c r="G17" i="80" s="1"/>
  <c r="F17" i="80"/>
  <c r="C22" i="80"/>
  <c r="D22" i="80"/>
  <c r="E22" i="80"/>
  <c r="F22" i="80"/>
  <c r="F26" i="80" s="1"/>
  <c r="G22" i="80"/>
  <c r="H22" i="80"/>
  <c r="C24" i="80"/>
  <c r="D24" i="80"/>
  <c r="D25" i="80" s="1"/>
  <c r="E24" i="80"/>
  <c r="E25" i="80" s="1"/>
  <c r="F24" i="80"/>
  <c r="G24" i="80"/>
  <c r="H24" i="80"/>
  <c r="H25" i="80" s="1"/>
  <c r="C25" i="80"/>
  <c r="F25" i="80"/>
  <c r="G25" i="80"/>
  <c r="C30" i="80"/>
  <c r="C34" i="80" s="1"/>
  <c r="D30" i="80"/>
  <c r="E30" i="80"/>
  <c r="F30" i="80"/>
  <c r="G30" i="80"/>
  <c r="G34" i="80" s="1"/>
  <c r="H30" i="80"/>
  <c r="I30" i="80"/>
  <c r="C32" i="80"/>
  <c r="C33" i="80" s="1"/>
  <c r="D32" i="80"/>
  <c r="D33" i="80" s="1"/>
  <c r="E32" i="80"/>
  <c r="F32" i="80"/>
  <c r="F33" i="80" s="1"/>
  <c r="G32" i="80"/>
  <c r="G33" i="80" s="1"/>
  <c r="H32" i="80"/>
  <c r="H33" i="80" s="1"/>
  <c r="I32" i="80"/>
  <c r="E33" i="80"/>
  <c r="I33" i="80"/>
  <c r="C38" i="80"/>
  <c r="C42" i="80" s="1"/>
  <c r="C40" i="80"/>
  <c r="C41" i="80"/>
  <c r="C46" i="80"/>
  <c r="C50" i="80" s="1"/>
  <c r="C48" i="80"/>
  <c r="C49" i="80"/>
  <c r="C54" i="80"/>
  <c r="D54" i="80"/>
  <c r="E54" i="80"/>
  <c r="F54" i="80"/>
  <c r="C56" i="80"/>
  <c r="D56" i="80"/>
  <c r="E56" i="80"/>
  <c r="F56" i="80"/>
  <c r="C57" i="80"/>
  <c r="D57" i="80"/>
  <c r="E57" i="80"/>
  <c r="F57" i="80"/>
  <c r="C62" i="80"/>
  <c r="C66" i="80" s="1"/>
  <c r="D62" i="80"/>
  <c r="E62" i="80"/>
  <c r="C64" i="80"/>
  <c r="C65" i="80" s="1"/>
  <c r="D64" i="80"/>
  <c r="D65" i="80" s="1"/>
  <c r="E64" i="80"/>
  <c r="E65" i="80"/>
  <c r="C70" i="80"/>
  <c r="C72" i="80"/>
  <c r="C73" i="80"/>
  <c r="C6" i="79"/>
  <c r="C2" i="79" s="1"/>
  <c r="D6" i="79"/>
  <c r="E6" i="79"/>
  <c r="F6" i="79"/>
  <c r="G6" i="79"/>
  <c r="H6" i="79"/>
  <c r="I6" i="79"/>
  <c r="J6" i="79"/>
  <c r="K6" i="79"/>
  <c r="L6" i="79"/>
  <c r="M6" i="79"/>
  <c r="N6" i="79"/>
  <c r="C8" i="79"/>
  <c r="D8" i="79"/>
  <c r="E8" i="79"/>
  <c r="F8" i="79"/>
  <c r="G8" i="79"/>
  <c r="H8" i="79"/>
  <c r="I8" i="79"/>
  <c r="J8" i="79"/>
  <c r="K8" i="79"/>
  <c r="L8" i="79"/>
  <c r="M8" i="79"/>
  <c r="N8" i="79"/>
  <c r="G9" i="79"/>
  <c r="H9" i="79"/>
  <c r="I9" i="79"/>
  <c r="J9" i="79"/>
  <c r="K9" i="79"/>
  <c r="L9" i="79"/>
  <c r="M9" i="79"/>
  <c r="N9" i="79"/>
  <c r="C14" i="79"/>
  <c r="D14" i="79"/>
  <c r="E14" i="79"/>
  <c r="E18" i="79" s="1"/>
  <c r="F14" i="79"/>
  <c r="G14" i="79"/>
  <c r="H14" i="79"/>
  <c r="H18" i="79" s="1"/>
  <c r="I14" i="79"/>
  <c r="I18" i="79" s="1"/>
  <c r="J14" i="79"/>
  <c r="K14" i="79"/>
  <c r="C16" i="79"/>
  <c r="D16" i="79"/>
  <c r="E16" i="79"/>
  <c r="F16" i="79"/>
  <c r="F17" i="79" s="1"/>
  <c r="G16" i="79"/>
  <c r="G17" i="79" s="1"/>
  <c r="H16" i="79"/>
  <c r="H17" i="79" s="1"/>
  <c r="I16" i="79"/>
  <c r="J16" i="79"/>
  <c r="J17" i="79" s="1"/>
  <c r="K16" i="79"/>
  <c r="K17" i="79" s="1"/>
  <c r="E17" i="79"/>
  <c r="I17" i="79"/>
  <c r="C22" i="79"/>
  <c r="D22" i="79"/>
  <c r="D26" i="79" s="1"/>
  <c r="E22" i="79"/>
  <c r="E26" i="79" s="1"/>
  <c r="F22" i="79"/>
  <c r="G22" i="79"/>
  <c r="H22" i="79"/>
  <c r="H26" i="79" s="1"/>
  <c r="C24" i="79"/>
  <c r="C25" i="79" s="1"/>
  <c r="D24" i="79"/>
  <c r="E24" i="79"/>
  <c r="F24" i="79"/>
  <c r="F25" i="79" s="1"/>
  <c r="G24" i="79"/>
  <c r="G25" i="79" s="1"/>
  <c r="H24" i="79"/>
  <c r="D25" i="79"/>
  <c r="E25" i="79"/>
  <c r="H25" i="79"/>
  <c r="C30" i="79"/>
  <c r="D30" i="79"/>
  <c r="E30" i="79"/>
  <c r="E34" i="79" s="1"/>
  <c r="C32" i="79"/>
  <c r="D32" i="79"/>
  <c r="D33" i="79" s="1"/>
  <c r="E32" i="79"/>
  <c r="E33" i="79" s="1"/>
  <c r="C33" i="79"/>
  <c r="C38" i="79"/>
  <c r="D38" i="79"/>
  <c r="E38" i="79"/>
  <c r="F38" i="79"/>
  <c r="C40" i="79"/>
  <c r="D40" i="79"/>
  <c r="E40" i="79"/>
  <c r="F40" i="79"/>
  <c r="C41" i="79"/>
  <c r="D41" i="79"/>
  <c r="E41" i="79"/>
  <c r="F41" i="79"/>
  <c r="C46" i="79"/>
  <c r="C50" i="79" s="1"/>
  <c r="C48" i="79"/>
  <c r="C49" i="79"/>
  <c r="C54" i="79"/>
  <c r="D54" i="79"/>
  <c r="E54" i="79"/>
  <c r="F54" i="79"/>
  <c r="G54" i="79"/>
  <c r="H54" i="79"/>
  <c r="I54" i="79"/>
  <c r="I58" i="79" s="1"/>
  <c r="J54" i="79"/>
  <c r="K54" i="79"/>
  <c r="L54" i="79"/>
  <c r="M54" i="79"/>
  <c r="M58" i="79" s="1"/>
  <c r="N54" i="79"/>
  <c r="O54" i="79"/>
  <c r="P54" i="79"/>
  <c r="Q54" i="79"/>
  <c r="Q58" i="79" s="1"/>
  <c r="R54" i="79"/>
  <c r="S54" i="79"/>
  <c r="T54" i="79"/>
  <c r="U54" i="79"/>
  <c r="U58" i="79" s="1"/>
  <c r="C56" i="79"/>
  <c r="D56" i="79"/>
  <c r="E56" i="79"/>
  <c r="F56" i="79"/>
  <c r="G56" i="79"/>
  <c r="H56" i="79"/>
  <c r="I56" i="79"/>
  <c r="I57" i="79" s="1"/>
  <c r="J56" i="79"/>
  <c r="J57" i="79" s="1"/>
  <c r="K56" i="79"/>
  <c r="L56" i="79"/>
  <c r="M56" i="79"/>
  <c r="M57" i="79" s="1"/>
  <c r="N56" i="79"/>
  <c r="N57" i="79" s="1"/>
  <c r="O56" i="79"/>
  <c r="P56" i="79"/>
  <c r="Q56" i="79"/>
  <c r="Q57" i="79" s="1"/>
  <c r="R56" i="79"/>
  <c r="R57" i="79" s="1"/>
  <c r="S56" i="79"/>
  <c r="T56" i="79"/>
  <c r="U56" i="79"/>
  <c r="U57" i="79" s="1"/>
  <c r="G57" i="79"/>
  <c r="H57" i="79"/>
  <c r="K57" i="79"/>
  <c r="L57" i="79"/>
  <c r="O57" i="79"/>
  <c r="P57" i="79"/>
  <c r="S57" i="79"/>
  <c r="T57" i="79"/>
  <c r="C62" i="79"/>
  <c r="D62" i="79"/>
  <c r="E62" i="79"/>
  <c r="E66" i="79" s="1"/>
  <c r="F62" i="79"/>
  <c r="G62" i="79"/>
  <c r="H62" i="79"/>
  <c r="H66" i="79" s="1"/>
  <c r="I62" i="79"/>
  <c r="I66" i="79" s="1"/>
  <c r="J62" i="79"/>
  <c r="K62" i="79"/>
  <c r="L62" i="79"/>
  <c r="L66" i="79" s="1"/>
  <c r="M62" i="79"/>
  <c r="M66" i="79" s="1"/>
  <c r="N62" i="79"/>
  <c r="O62" i="79"/>
  <c r="P62" i="79"/>
  <c r="P66" i="79" s="1"/>
  <c r="C64" i="79"/>
  <c r="D64" i="79"/>
  <c r="E64" i="79"/>
  <c r="F64" i="79"/>
  <c r="G64" i="79"/>
  <c r="H64" i="79"/>
  <c r="I64" i="79"/>
  <c r="J64" i="79"/>
  <c r="K64" i="79"/>
  <c r="L64" i="79"/>
  <c r="M64" i="79"/>
  <c r="N64" i="79"/>
  <c r="O64" i="79"/>
  <c r="P64" i="79"/>
  <c r="E65" i="79"/>
  <c r="F65" i="79"/>
  <c r="G65" i="79"/>
  <c r="H65" i="79"/>
  <c r="I65" i="79"/>
  <c r="J65" i="79"/>
  <c r="K65" i="79"/>
  <c r="L65" i="79"/>
  <c r="M65" i="79"/>
  <c r="N65" i="79"/>
  <c r="O65" i="79"/>
  <c r="P65" i="79"/>
  <c r="C70" i="79"/>
  <c r="D70" i="79"/>
  <c r="D74" i="79" s="1"/>
  <c r="E70" i="79"/>
  <c r="E74" i="79" s="1"/>
  <c r="F70" i="79"/>
  <c r="G70" i="79"/>
  <c r="H70" i="79"/>
  <c r="H74" i="79" s="1"/>
  <c r="I70" i="79"/>
  <c r="I74" i="79" s="1"/>
  <c r="J70" i="79"/>
  <c r="C72" i="79"/>
  <c r="D72" i="79"/>
  <c r="D73" i="79" s="1"/>
  <c r="E72" i="79"/>
  <c r="E73" i="79" s="1"/>
  <c r="F72" i="79"/>
  <c r="G72" i="79"/>
  <c r="H72" i="79"/>
  <c r="H73" i="79" s="1"/>
  <c r="I72" i="79"/>
  <c r="I73" i="79" s="1"/>
  <c r="J72" i="79"/>
  <c r="F73" i="79"/>
  <c r="G73" i="79"/>
  <c r="J73" i="79"/>
  <c r="C78" i="79"/>
  <c r="D78" i="79"/>
  <c r="E78" i="79"/>
  <c r="F78" i="79"/>
  <c r="F82" i="79" s="1"/>
  <c r="G78" i="79"/>
  <c r="G82" i="79" s="1"/>
  <c r="H78" i="79"/>
  <c r="I78" i="79"/>
  <c r="J78" i="79"/>
  <c r="J82" i="79" s="1"/>
  <c r="C80" i="79"/>
  <c r="D80" i="79"/>
  <c r="E80" i="79"/>
  <c r="F80" i="79"/>
  <c r="F81" i="79" s="1"/>
  <c r="G80" i="79"/>
  <c r="G81" i="79" s="1"/>
  <c r="H80" i="79"/>
  <c r="I80" i="79"/>
  <c r="J80" i="79"/>
  <c r="J81" i="79" s="1"/>
  <c r="D81" i="79"/>
  <c r="E81" i="79"/>
  <c r="H81" i="79"/>
  <c r="I81" i="79"/>
  <c r="C86" i="79"/>
  <c r="D86" i="79"/>
  <c r="E86" i="79"/>
  <c r="E90" i="79" s="1"/>
  <c r="C88" i="79"/>
  <c r="D88" i="79"/>
  <c r="E88" i="79"/>
  <c r="E89" i="79"/>
  <c r="C94" i="79"/>
  <c r="D94" i="79"/>
  <c r="D98" i="79" s="1"/>
  <c r="C96" i="79"/>
  <c r="C97" i="79" s="1"/>
  <c r="D96" i="79"/>
  <c r="D97" i="79"/>
  <c r="C102" i="79"/>
  <c r="D102" i="79"/>
  <c r="C104" i="79"/>
  <c r="D104" i="79"/>
  <c r="J10" i="82" l="1"/>
  <c r="N10" i="82"/>
  <c r="R10" i="82"/>
  <c r="G18" i="82"/>
  <c r="K18" i="82"/>
  <c r="E26" i="82"/>
  <c r="E34" i="82"/>
  <c r="M66" i="82"/>
  <c r="G10" i="82"/>
  <c r="K10" i="82"/>
  <c r="O10" i="82"/>
  <c r="F66" i="82"/>
  <c r="J66" i="82"/>
  <c r="I10" i="82"/>
  <c r="Q10" i="82"/>
  <c r="J18" i="82"/>
  <c r="H66" i="82"/>
  <c r="I74" i="82"/>
  <c r="E90" i="82"/>
  <c r="H10" i="82"/>
  <c r="L10" i="82"/>
  <c r="P10" i="82"/>
  <c r="E42" i="82"/>
  <c r="K74" i="82"/>
  <c r="M10" i="82"/>
  <c r="F18" i="82"/>
  <c r="L66" i="82"/>
  <c r="H74" i="82"/>
  <c r="I66" i="82"/>
  <c r="G26" i="82"/>
  <c r="J10" i="81"/>
  <c r="N10" i="81"/>
  <c r="R10" i="81"/>
  <c r="K18" i="81"/>
  <c r="O18" i="81"/>
  <c r="K26" i="81"/>
  <c r="K34" i="81"/>
  <c r="O34" i="81"/>
  <c r="F42" i="81"/>
  <c r="J42" i="81"/>
  <c r="E50" i="81"/>
  <c r="G10" i="81"/>
  <c r="K10" i="81"/>
  <c r="O10" i="81"/>
  <c r="C42" i="81"/>
  <c r="G42" i="81"/>
  <c r="H10" i="81"/>
  <c r="L10" i="81"/>
  <c r="P10" i="81"/>
  <c r="I18" i="81"/>
  <c r="M18" i="81"/>
  <c r="I26" i="81"/>
  <c r="M26" i="81"/>
  <c r="I34" i="81"/>
  <c r="M34" i="81"/>
  <c r="D42" i="81"/>
  <c r="H42" i="81"/>
  <c r="C50" i="81"/>
  <c r="I10" i="81"/>
  <c r="M10" i="81"/>
  <c r="Q10" i="81"/>
  <c r="J18" i="81"/>
  <c r="N18" i="81"/>
  <c r="J26" i="81"/>
  <c r="J34" i="81"/>
  <c r="N34" i="81"/>
  <c r="E42" i="81"/>
  <c r="I42" i="81"/>
  <c r="D50" i="81"/>
  <c r="L26" i="81"/>
  <c r="H26" i="81"/>
  <c r="D58" i="80"/>
  <c r="F18" i="80"/>
  <c r="D34" i="80"/>
  <c r="H34" i="80"/>
  <c r="E58" i="80"/>
  <c r="D66" i="80"/>
  <c r="F10" i="80"/>
  <c r="J10" i="80"/>
  <c r="G18" i="80"/>
  <c r="D26" i="80"/>
  <c r="H26" i="80"/>
  <c r="E34" i="80"/>
  <c r="I34" i="80"/>
  <c r="F58" i="80"/>
  <c r="E66" i="80"/>
  <c r="C10" i="80"/>
  <c r="G10" i="80"/>
  <c r="K10" i="80"/>
  <c r="E26" i="80"/>
  <c r="F34" i="80"/>
  <c r="C58" i="80"/>
  <c r="L10" i="80"/>
  <c r="H10" i="80"/>
  <c r="D10" i="80"/>
  <c r="C74" i="80"/>
  <c r="G26" i="80"/>
  <c r="C26" i="80"/>
  <c r="J10" i="79"/>
  <c r="N10" i="79"/>
  <c r="G18" i="79"/>
  <c r="K18" i="79"/>
  <c r="F42" i="79"/>
  <c r="G10" i="79"/>
  <c r="K10" i="79"/>
  <c r="C42" i="79"/>
  <c r="J58" i="79"/>
  <c r="N58" i="79"/>
  <c r="R58" i="79"/>
  <c r="H10" i="79"/>
  <c r="L10" i="79"/>
  <c r="F26" i="79"/>
  <c r="C34" i="79"/>
  <c r="D42" i="79"/>
  <c r="G58" i="79"/>
  <c r="K58" i="79"/>
  <c r="O58" i="79"/>
  <c r="S58" i="79"/>
  <c r="F66" i="79"/>
  <c r="J66" i="79"/>
  <c r="N66" i="79"/>
  <c r="F74" i="79"/>
  <c r="J74" i="79"/>
  <c r="D82" i="79"/>
  <c r="H82" i="79"/>
  <c r="I10" i="79"/>
  <c r="M10" i="79"/>
  <c r="F18" i="79"/>
  <c r="J18" i="79"/>
  <c r="C26" i="79"/>
  <c r="G26" i="79"/>
  <c r="D34" i="79"/>
  <c r="E42" i="79"/>
  <c r="H58" i="79"/>
  <c r="L58" i="79"/>
  <c r="P58" i="79"/>
  <c r="T58" i="79"/>
  <c r="G66" i="79"/>
  <c r="K66" i="79"/>
  <c r="O66" i="79"/>
  <c r="G74" i="79"/>
  <c r="E82" i="79"/>
  <c r="I82" i="79"/>
  <c r="C98" i="79"/>
  <c r="C4" i="67" l="1"/>
  <c r="D4" i="67"/>
  <c r="E4" i="67"/>
  <c r="E7" i="67" s="1"/>
  <c r="C6" i="67"/>
  <c r="D6" i="67"/>
  <c r="E6" i="67"/>
  <c r="C7" i="67"/>
  <c r="D7" i="67"/>
  <c r="C11" i="67"/>
  <c r="D11" i="67"/>
  <c r="E11" i="67"/>
  <c r="E13" i="67" s="1"/>
  <c r="F11" i="67"/>
  <c r="G11" i="67"/>
  <c r="H11" i="67"/>
  <c r="I11" i="67"/>
  <c r="I13" i="67" s="1"/>
  <c r="J11" i="67"/>
  <c r="K11" i="67"/>
  <c r="L11" i="67"/>
  <c r="M11" i="67"/>
  <c r="M13" i="67" s="1"/>
  <c r="N11" i="67"/>
  <c r="O11" i="67"/>
  <c r="P11" i="67"/>
  <c r="D13" i="67"/>
  <c r="F13" i="67"/>
  <c r="G13" i="67"/>
  <c r="H13" i="67"/>
  <c r="J13" i="67"/>
  <c r="K13" i="67"/>
  <c r="L13" i="67"/>
  <c r="N13" i="67"/>
  <c r="O13" i="67"/>
  <c r="P13" i="67"/>
  <c r="C17" i="67"/>
  <c r="D17" i="67"/>
  <c r="E17" i="67"/>
  <c r="F17" i="67"/>
  <c r="G17" i="67"/>
  <c r="H17" i="67"/>
  <c r="I17" i="67"/>
  <c r="J17" i="67"/>
  <c r="K17" i="67"/>
  <c r="L17" i="67"/>
  <c r="M17" i="67"/>
  <c r="N17" i="67"/>
  <c r="O17" i="67"/>
  <c r="P17" i="67"/>
  <c r="Q17" i="67"/>
  <c r="R17" i="67"/>
  <c r="S17" i="67"/>
  <c r="T17" i="67"/>
  <c r="U17" i="67"/>
  <c r="V17" i="67"/>
  <c r="W17" i="67"/>
  <c r="C19" i="67"/>
  <c r="D19" i="67"/>
  <c r="E19" i="67"/>
  <c r="F19" i="67"/>
  <c r="G19" i="67"/>
  <c r="H19" i="67"/>
  <c r="I19" i="67"/>
  <c r="J19" i="67"/>
  <c r="K19" i="67"/>
  <c r="L19" i="67"/>
  <c r="M19" i="67"/>
  <c r="N19" i="67"/>
  <c r="O19" i="67"/>
  <c r="P19" i="67"/>
  <c r="Q19" i="67"/>
  <c r="R19" i="67"/>
  <c r="S19" i="67"/>
  <c r="T19" i="67"/>
  <c r="U19" i="67"/>
  <c r="V19" i="67"/>
  <c r="W19" i="67"/>
  <c r="E20" i="67"/>
  <c r="F20" i="67"/>
  <c r="G20" i="67"/>
  <c r="H20" i="67"/>
  <c r="I20" i="67"/>
  <c r="J20" i="67"/>
  <c r="K20" i="67"/>
  <c r="L20" i="67"/>
  <c r="M20" i="67"/>
  <c r="N20" i="67"/>
  <c r="O20" i="67"/>
  <c r="P20" i="67"/>
  <c r="Q20" i="67"/>
  <c r="R20" i="67"/>
  <c r="S20" i="67"/>
  <c r="T20" i="67"/>
  <c r="U20" i="67"/>
  <c r="V20" i="67"/>
  <c r="W20" i="67"/>
  <c r="C24" i="67"/>
  <c r="D24" i="67"/>
  <c r="E24" i="67"/>
  <c r="F24" i="67"/>
  <c r="G24" i="67"/>
  <c r="G27" i="67" s="1"/>
  <c r="H24" i="67"/>
  <c r="H27" i="67" s="1"/>
  <c r="I24" i="67"/>
  <c r="J24" i="67"/>
  <c r="K24" i="67"/>
  <c r="K27" i="67" s="1"/>
  <c r="L24" i="67"/>
  <c r="L27" i="67" s="1"/>
  <c r="M24" i="67"/>
  <c r="N24" i="67"/>
  <c r="O24" i="67"/>
  <c r="O27" i="67" s="1"/>
  <c r="P24" i="67"/>
  <c r="P27" i="67" s="1"/>
  <c r="Q24" i="67"/>
  <c r="R24" i="67"/>
  <c r="S24" i="67"/>
  <c r="S27" i="67" s="1"/>
  <c r="C26" i="67"/>
  <c r="D26" i="67"/>
  <c r="E26" i="67"/>
  <c r="F26" i="67"/>
  <c r="G26" i="67"/>
  <c r="H26" i="67"/>
  <c r="I26" i="67"/>
  <c r="J26" i="67"/>
  <c r="K26" i="67"/>
  <c r="L26" i="67"/>
  <c r="M26" i="67"/>
  <c r="N26" i="67"/>
  <c r="O26" i="67"/>
  <c r="P26" i="67"/>
  <c r="Q26" i="67"/>
  <c r="R26" i="67"/>
  <c r="S26" i="67"/>
  <c r="F27" i="67"/>
  <c r="I27" i="67"/>
  <c r="J27" i="67"/>
  <c r="M27" i="67"/>
  <c r="N27" i="67"/>
  <c r="Q27" i="67"/>
  <c r="R27" i="67"/>
  <c r="C31" i="67"/>
  <c r="D31" i="67"/>
  <c r="D34" i="67" s="1"/>
  <c r="E31" i="67"/>
  <c r="E34" i="67" s="1"/>
  <c r="C33" i="67"/>
  <c r="D33" i="67"/>
  <c r="E33" i="67"/>
  <c r="C34" i="67"/>
  <c r="B36" i="67"/>
  <c r="C4" i="66"/>
  <c r="D4" i="66"/>
  <c r="C6" i="66"/>
  <c r="D6" i="66"/>
  <c r="C7" i="66"/>
  <c r="D7" i="66"/>
  <c r="C11" i="66"/>
  <c r="D11" i="66"/>
  <c r="D14" i="66" s="1"/>
  <c r="E11" i="66"/>
  <c r="F11" i="66"/>
  <c r="G11" i="66"/>
  <c r="H11" i="66"/>
  <c r="H14" i="66" s="1"/>
  <c r="I11" i="66"/>
  <c r="J11" i="66"/>
  <c r="K11" i="66"/>
  <c r="L11" i="66"/>
  <c r="L14" i="66" s="1"/>
  <c r="M11" i="66"/>
  <c r="C13" i="66"/>
  <c r="D13" i="66"/>
  <c r="E13" i="66"/>
  <c r="F13" i="66"/>
  <c r="G13" i="66"/>
  <c r="H13" i="66"/>
  <c r="I13" i="66"/>
  <c r="J13" i="66"/>
  <c r="K13" i="66"/>
  <c r="L13" i="66"/>
  <c r="M13" i="66"/>
  <c r="E14" i="66"/>
  <c r="F14" i="66"/>
  <c r="G14" i="66"/>
  <c r="I14" i="66"/>
  <c r="J14" i="66"/>
  <c r="K14" i="66"/>
  <c r="M14" i="66"/>
  <c r="C18" i="66"/>
  <c r="D18" i="66"/>
  <c r="E18" i="66"/>
  <c r="F18" i="66"/>
  <c r="G18" i="66"/>
  <c r="H18" i="66"/>
  <c r="I18" i="66"/>
  <c r="J18" i="66"/>
  <c r="K18" i="66"/>
  <c r="L18" i="66"/>
  <c r="M18" i="66"/>
  <c r="N18" i="66"/>
  <c r="C20" i="66"/>
  <c r="D20" i="66"/>
  <c r="E20" i="66"/>
  <c r="F20" i="66"/>
  <c r="G20" i="66"/>
  <c r="H20" i="66"/>
  <c r="I20" i="66"/>
  <c r="J20" i="66"/>
  <c r="K20" i="66"/>
  <c r="L20" i="66"/>
  <c r="M20" i="66"/>
  <c r="N20" i="66"/>
  <c r="C24" i="66"/>
  <c r="D24" i="66"/>
  <c r="E24" i="66"/>
  <c r="F24" i="66"/>
  <c r="G24" i="66"/>
  <c r="H24" i="66"/>
  <c r="I24" i="66"/>
  <c r="J24" i="66"/>
  <c r="K24" i="66"/>
  <c r="C26" i="66"/>
  <c r="D26" i="66"/>
  <c r="E26" i="66"/>
  <c r="F26" i="66"/>
  <c r="G26" i="66"/>
  <c r="H26" i="66"/>
  <c r="I26" i="66"/>
  <c r="J26" i="66"/>
  <c r="K26" i="66"/>
  <c r="E27" i="66"/>
  <c r="F27" i="66"/>
  <c r="G27" i="66"/>
  <c r="H27" i="66"/>
  <c r="I27" i="66"/>
  <c r="J27" i="66"/>
  <c r="K27" i="66"/>
  <c r="C31" i="66"/>
  <c r="D31" i="66"/>
  <c r="E31" i="66"/>
  <c r="F31" i="66"/>
  <c r="F34" i="66" s="1"/>
  <c r="C33" i="66"/>
  <c r="D33" i="66"/>
  <c r="E33" i="66"/>
  <c r="F33" i="66"/>
  <c r="E34" i="66"/>
  <c r="C38" i="66"/>
  <c r="C40" i="66"/>
  <c r="B43" i="66"/>
  <c r="C4" i="65"/>
  <c r="D4" i="65"/>
  <c r="E4" i="65"/>
  <c r="F4" i="65"/>
  <c r="G4" i="65"/>
  <c r="C6" i="65"/>
  <c r="D6" i="65"/>
  <c r="E6" i="65"/>
  <c r="F6" i="65"/>
  <c r="G6" i="65"/>
  <c r="E7" i="65"/>
  <c r="F7" i="65"/>
  <c r="G7" i="65"/>
  <c r="C11" i="65"/>
  <c r="D11" i="65"/>
  <c r="E11" i="65"/>
  <c r="F11" i="65"/>
  <c r="G11" i="65"/>
  <c r="H11" i="65"/>
  <c r="H13" i="65" s="1"/>
  <c r="I11" i="65"/>
  <c r="I13" i="65" s="1"/>
  <c r="J11" i="65"/>
  <c r="K11" i="65"/>
  <c r="L11" i="65"/>
  <c r="L13" i="65" s="1"/>
  <c r="M11" i="65"/>
  <c r="M13" i="65" s="1"/>
  <c r="N11" i="65"/>
  <c r="O11" i="65"/>
  <c r="P11" i="65"/>
  <c r="P13" i="65" s="1"/>
  <c r="Q11" i="65"/>
  <c r="Q13" i="65" s="1"/>
  <c r="R11" i="65"/>
  <c r="S11" i="65"/>
  <c r="F13" i="65"/>
  <c r="G13" i="65"/>
  <c r="J13" i="65"/>
  <c r="K13" i="65"/>
  <c r="N13" i="65"/>
  <c r="O13" i="65"/>
  <c r="R13" i="65"/>
  <c r="S13" i="65"/>
  <c r="C17" i="65"/>
  <c r="D17" i="65"/>
  <c r="E17" i="65"/>
  <c r="E20" i="65" s="1"/>
  <c r="F17" i="65"/>
  <c r="F20" i="65" s="1"/>
  <c r="G17" i="65"/>
  <c r="H17" i="65"/>
  <c r="I17" i="65"/>
  <c r="I20" i="65" s="1"/>
  <c r="J17" i="65"/>
  <c r="J20" i="65" s="1"/>
  <c r="K17" i="65"/>
  <c r="L17" i="65"/>
  <c r="M17" i="65"/>
  <c r="M20" i="65" s="1"/>
  <c r="C19" i="65"/>
  <c r="D19" i="65"/>
  <c r="E19" i="65"/>
  <c r="F19" i="65"/>
  <c r="G19" i="65"/>
  <c r="H19" i="65"/>
  <c r="I19" i="65"/>
  <c r="J19" i="65"/>
  <c r="K19" i="65"/>
  <c r="L19" i="65"/>
  <c r="M19" i="65"/>
  <c r="C20" i="65"/>
  <c r="D20" i="65"/>
  <c r="G20" i="65"/>
  <c r="H20" i="65"/>
  <c r="K20" i="65"/>
  <c r="L20" i="65"/>
  <c r="C23" i="65"/>
  <c r="D23" i="65"/>
  <c r="E23" i="65"/>
  <c r="E26" i="65" s="1"/>
  <c r="F23" i="65"/>
  <c r="G23" i="65"/>
  <c r="H23" i="65"/>
  <c r="I23" i="65"/>
  <c r="I26" i="65" s="1"/>
  <c r="C25" i="65"/>
  <c r="D25" i="65"/>
  <c r="E25" i="65"/>
  <c r="F25" i="65"/>
  <c r="G25" i="65"/>
  <c r="H25" i="65"/>
  <c r="I25" i="65"/>
  <c r="D26" i="65"/>
  <c r="F26" i="65"/>
  <c r="G26" i="65"/>
  <c r="H26" i="65"/>
  <c r="C30" i="65"/>
  <c r="B35" i="65" s="1"/>
  <c r="D30" i="65"/>
  <c r="E30" i="65"/>
  <c r="C32" i="65"/>
  <c r="D32" i="65"/>
  <c r="E32" i="65"/>
  <c r="E33" i="65"/>
  <c r="C11" i="64"/>
  <c r="C13" i="64"/>
  <c r="C14" i="64"/>
  <c r="C18" i="64"/>
  <c r="D18" i="64"/>
  <c r="E18" i="64"/>
  <c r="C20" i="64"/>
  <c r="D20" i="64"/>
  <c r="E20" i="64"/>
  <c r="D21" i="64"/>
  <c r="E21" i="64"/>
  <c r="C25" i="64"/>
  <c r="D25" i="64"/>
  <c r="E25" i="64"/>
  <c r="F25" i="64"/>
  <c r="G25" i="64"/>
  <c r="G28" i="64" s="1"/>
  <c r="H25" i="64"/>
  <c r="C27" i="64"/>
  <c r="D27" i="64"/>
  <c r="E27" i="64"/>
  <c r="F27" i="64"/>
  <c r="G27" i="64"/>
  <c r="H27" i="64"/>
  <c r="F28" i="64"/>
  <c r="H28" i="64"/>
  <c r="C32" i="64"/>
  <c r="D32" i="64"/>
  <c r="E32" i="64"/>
  <c r="F32" i="64"/>
  <c r="G32" i="64"/>
  <c r="H32" i="64"/>
  <c r="C34" i="64"/>
  <c r="D34" i="64"/>
  <c r="E34" i="64"/>
  <c r="F34" i="64"/>
  <c r="G34" i="64"/>
  <c r="H34" i="64"/>
  <c r="C35" i="64"/>
  <c r="D35" i="64"/>
  <c r="E35" i="64"/>
  <c r="F35" i="64"/>
  <c r="G35" i="64"/>
  <c r="H35" i="64"/>
  <c r="C39" i="64"/>
  <c r="D39" i="64"/>
  <c r="E39" i="64"/>
  <c r="F39" i="64"/>
  <c r="G39" i="64"/>
  <c r="H39" i="64"/>
  <c r="H42" i="64" s="1"/>
  <c r="I39" i="64"/>
  <c r="I42" i="64" s="1"/>
  <c r="J39" i="64"/>
  <c r="K39" i="64"/>
  <c r="L39" i="64"/>
  <c r="L42" i="64" s="1"/>
  <c r="M39" i="64"/>
  <c r="M42" i="64" s="1"/>
  <c r="N39" i="64"/>
  <c r="O39" i="64"/>
  <c r="P39" i="64"/>
  <c r="P42" i="64" s="1"/>
  <c r="Q39" i="64"/>
  <c r="Q42" i="64" s="1"/>
  <c r="R39" i="64"/>
  <c r="S39" i="64"/>
  <c r="T39" i="64"/>
  <c r="T42" i="64" s="1"/>
  <c r="U39" i="64"/>
  <c r="U42" i="64" s="1"/>
  <c r="C41" i="64"/>
  <c r="D41" i="64"/>
  <c r="E41" i="64"/>
  <c r="F41" i="64"/>
  <c r="G41" i="64"/>
  <c r="H41" i="64"/>
  <c r="I41" i="64"/>
  <c r="J41" i="64"/>
  <c r="K41" i="64"/>
  <c r="L41" i="64"/>
  <c r="M41" i="64"/>
  <c r="N41" i="64"/>
  <c r="O41" i="64"/>
  <c r="P41" i="64"/>
  <c r="Q41" i="64"/>
  <c r="R41" i="64"/>
  <c r="S41" i="64"/>
  <c r="T41" i="64"/>
  <c r="U41" i="64"/>
  <c r="F42" i="64"/>
  <c r="G42" i="64"/>
  <c r="J42" i="64"/>
  <c r="K42" i="64"/>
  <c r="N42" i="64"/>
  <c r="O42" i="64"/>
  <c r="R42" i="64"/>
  <c r="S42" i="64"/>
  <c r="C46" i="64"/>
  <c r="D46" i="64"/>
  <c r="E46" i="64"/>
  <c r="F46" i="64"/>
  <c r="G46" i="64"/>
  <c r="H46" i="64"/>
  <c r="I46" i="64"/>
  <c r="J46" i="64"/>
  <c r="K46" i="64"/>
  <c r="L46" i="64"/>
  <c r="M46" i="64"/>
  <c r="N46" i="64"/>
  <c r="O46" i="64"/>
  <c r="P46" i="64"/>
  <c r="Q46" i="64"/>
  <c r="R46" i="64"/>
  <c r="S46" i="64"/>
  <c r="T46" i="64"/>
  <c r="E48" i="64"/>
  <c r="F48" i="64"/>
  <c r="G48" i="64"/>
  <c r="H48" i="64"/>
  <c r="I48" i="64"/>
  <c r="J48" i="64"/>
  <c r="K48" i="64"/>
  <c r="L48" i="64"/>
  <c r="M48" i="64"/>
  <c r="N48" i="64"/>
  <c r="O48" i="64"/>
  <c r="P48" i="64"/>
  <c r="Q48" i="64"/>
  <c r="R48" i="64"/>
  <c r="S48" i="64"/>
  <c r="T48" i="64"/>
  <c r="C52" i="64"/>
  <c r="D52" i="64"/>
  <c r="B64" i="64" s="1"/>
  <c r="E52" i="64"/>
  <c r="E55" i="64" s="1"/>
  <c r="F52" i="64"/>
  <c r="F55" i="64" s="1"/>
  <c r="G52" i="64"/>
  <c r="H52" i="64"/>
  <c r="I52" i="64"/>
  <c r="I55" i="64" s="1"/>
  <c r="J52" i="64"/>
  <c r="J55" i="64" s="1"/>
  <c r="K52" i="64"/>
  <c r="L52" i="64"/>
  <c r="M52" i="64"/>
  <c r="M55" i="64" s="1"/>
  <c r="N52" i="64"/>
  <c r="N55" i="64" s="1"/>
  <c r="O52" i="64"/>
  <c r="P52" i="64"/>
  <c r="C54" i="64"/>
  <c r="D54" i="64"/>
  <c r="E54" i="64"/>
  <c r="F54" i="64"/>
  <c r="G54" i="64"/>
  <c r="H54" i="64"/>
  <c r="I54" i="64"/>
  <c r="J54" i="64"/>
  <c r="K54" i="64"/>
  <c r="L54" i="64"/>
  <c r="M54" i="64"/>
  <c r="N54" i="64"/>
  <c r="O54" i="64"/>
  <c r="P54" i="64"/>
  <c r="G55" i="64"/>
  <c r="H55" i="64"/>
  <c r="K55" i="64"/>
  <c r="L55" i="64"/>
  <c r="O55" i="64"/>
  <c r="P55" i="64"/>
  <c r="C59" i="64"/>
  <c r="D59" i="64"/>
  <c r="E59" i="64"/>
  <c r="E62" i="64" s="1"/>
  <c r="F59" i="64"/>
  <c r="G59" i="64"/>
  <c r="H59" i="64"/>
  <c r="I59" i="64"/>
  <c r="I62" i="64" s="1"/>
  <c r="J59" i="64"/>
  <c r="C61" i="64"/>
  <c r="D61" i="64"/>
  <c r="E61" i="64"/>
  <c r="F61" i="64"/>
  <c r="G61" i="64"/>
  <c r="H61" i="64"/>
  <c r="I61" i="64"/>
  <c r="J61" i="64"/>
  <c r="C62" i="64"/>
  <c r="D62" i="64"/>
  <c r="F62" i="64"/>
  <c r="G62" i="64"/>
  <c r="H62" i="64"/>
  <c r="J62" i="64"/>
  <c r="C10" i="63"/>
  <c r="D10" i="63"/>
  <c r="E10" i="63"/>
  <c r="F10" i="63"/>
  <c r="C12" i="63"/>
  <c r="D12" i="63"/>
  <c r="E12" i="63"/>
  <c r="F12" i="63"/>
  <c r="C17" i="63"/>
  <c r="D17" i="63"/>
  <c r="E17" i="63"/>
  <c r="F17" i="63"/>
  <c r="F20" i="63" s="1"/>
  <c r="G17" i="63"/>
  <c r="G20" i="63" s="1"/>
  <c r="H17" i="63"/>
  <c r="I17" i="63"/>
  <c r="J17" i="63"/>
  <c r="J20" i="63" s="1"/>
  <c r="K17" i="63"/>
  <c r="L17" i="63"/>
  <c r="M17" i="63"/>
  <c r="N17" i="63"/>
  <c r="N20" i="63" s="1"/>
  <c r="O17" i="63"/>
  <c r="P17" i="63"/>
  <c r="C19" i="63"/>
  <c r="D19" i="63"/>
  <c r="E19" i="63"/>
  <c r="F19" i="63"/>
  <c r="G19" i="63"/>
  <c r="H19" i="63"/>
  <c r="I19" i="63"/>
  <c r="J19" i="63"/>
  <c r="K19" i="63"/>
  <c r="L19" i="63"/>
  <c r="M19" i="63"/>
  <c r="N19" i="63"/>
  <c r="O19" i="63"/>
  <c r="P19" i="63"/>
  <c r="H20" i="63"/>
  <c r="I20" i="63"/>
  <c r="K20" i="63"/>
  <c r="L20" i="63"/>
  <c r="M20" i="63"/>
  <c r="O20" i="63"/>
  <c r="P20" i="63"/>
  <c r="C24" i="63"/>
  <c r="D24" i="63"/>
  <c r="E24" i="63"/>
  <c r="F24" i="63"/>
  <c r="G24" i="63"/>
  <c r="H24" i="63"/>
  <c r="I24" i="63"/>
  <c r="J24" i="63"/>
  <c r="K24" i="63"/>
  <c r="L24" i="63"/>
  <c r="M24" i="63"/>
  <c r="N24" i="63"/>
  <c r="O24" i="63"/>
  <c r="P24" i="63"/>
  <c r="Q24" i="63"/>
  <c r="R24" i="63"/>
  <c r="S24" i="63"/>
  <c r="T24" i="63"/>
  <c r="U24" i="63"/>
  <c r="V24" i="63"/>
  <c r="W24" i="63"/>
  <c r="X24" i="63"/>
  <c r="Y24" i="63"/>
  <c r="C26" i="63"/>
  <c r="D26" i="63"/>
  <c r="E26" i="63"/>
  <c r="F26" i="63"/>
  <c r="G26" i="63"/>
  <c r="H26" i="63"/>
  <c r="I26" i="63"/>
  <c r="J26" i="63"/>
  <c r="K26" i="63"/>
  <c r="L26" i="63"/>
  <c r="M26" i="63"/>
  <c r="N26" i="63"/>
  <c r="O26" i="63"/>
  <c r="P26" i="63"/>
  <c r="Q26" i="63"/>
  <c r="R26" i="63"/>
  <c r="S26" i="63"/>
  <c r="T26" i="63"/>
  <c r="U26" i="63"/>
  <c r="V26" i="63"/>
  <c r="W26" i="63"/>
  <c r="X26" i="63"/>
  <c r="Y26" i="63"/>
  <c r="I27" i="63"/>
  <c r="J27" i="63"/>
  <c r="K27" i="63"/>
  <c r="L27" i="63"/>
  <c r="M27" i="63"/>
  <c r="N27" i="63"/>
  <c r="O27" i="63"/>
  <c r="P27" i="63"/>
  <c r="Q27" i="63"/>
  <c r="R27" i="63"/>
  <c r="S27" i="63"/>
  <c r="T27" i="63"/>
  <c r="U27" i="63"/>
  <c r="V27" i="63"/>
  <c r="W27" i="63"/>
  <c r="X27" i="63"/>
  <c r="Y27" i="63"/>
  <c r="C31" i="63"/>
  <c r="D31" i="63"/>
  <c r="E31" i="63"/>
  <c r="F31" i="63"/>
  <c r="G31" i="63"/>
  <c r="H31" i="63"/>
  <c r="I31" i="63"/>
  <c r="J31" i="63"/>
  <c r="K31" i="63"/>
  <c r="L31" i="63"/>
  <c r="L34" i="63" s="1"/>
  <c r="M31" i="63"/>
  <c r="N31" i="63"/>
  <c r="O31" i="63"/>
  <c r="P31" i="63"/>
  <c r="P34" i="63" s="1"/>
  <c r="Q31" i="63"/>
  <c r="R31" i="63"/>
  <c r="S31" i="63"/>
  <c r="T31" i="63"/>
  <c r="T34" i="63" s="1"/>
  <c r="U31" i="63"/>
  <c r="V31" i="63"/>
  <c r="W31" i="63"/>
  <c r="X31" i="63"/>
  <c r="X34" i="63" s="1"/>
  <c r="Y31" i="63"/>
  <c r="Z31" i="63"/>
  <c r="AA31" i="63"/>
  <c r="AB31" i="63"/>
  <c r="AB34" i="63" s="1"/>
  <c r="AC31" i="63"/>
  <c r="AD31" i="63"/>
  <c r="AE31" i="63"/>
  <c r="AF31" i="63"/>
  <c r="AF34" i="63" s="1"/>
  <c r="AG31" i="63"/>
  <c r="C33" i="63"/>
  <c r="D33" i="63"/>
  <c r="E33" i="63"/>
  <c r="F33" i="63"/>
  <c r="G33" i="63"/>
  <c r="H33" i="63"/>
  <c r="I33" i="63"/>
  <c r="J33" i="63"/>
  <c r="K33" i="63"/>
  <c r="L33" i="63"/>
  <c r="M33" i="63"/>
  <c r="N33" i="63"/>
  <c r="O33" i="63"/>
  <c r="P33" i="63"/>
  <c r="Q33" i="63"/>
  <c r="R33" i="63"/>
  <c r="S33" i="63"/>
  <c r="T33" i="63"/>
  <c r="U33" i="63"/>
  <c r="V33" i="63"/>
  <c r="W33" i="63"/>
  <c r="X33" i="63"/>
  <c r="Y33" i="63"/>
  <c r="Z33" i="63"/>
  <c r="AA33" i="63"/>
  <c r="AB33" i="63"/>
  <c r="AC33" i="63"/>
  <c r="AD33" i="63"/>
  <c r="AE33" i="63"/>
  <c r="AF33" i="63"/>
  <c r="AG33" i="63"/>
  <c r="M34" i="63"/>
  <c r="N34" i="63"/>
  <c r="O34" i="63"/>
  <c r="Q34" i="63"/>
  <c r="R34" i="63"/>
  <c r="S34" i="63"/>
  <c r="U34" i="63"/>
  <c r="V34" i="63"/>
  <c r="W34" i="63"/>
  <c r="Y34" i="63"/>
  <c r="Z34" i="63"/>
  <c r="AA34" i="63"/>
  <c r="AC34" i="63"/>
  <c r="AD34" i="63"/>
  <c r="AE34" i="63"/>
  <c r="AG34" i="63"/>
  <c r="C38" i="63"/>
  <c r="D38" i="63"/>
  <c r="E38" i="63"/>
  <c r="F38" i="63"/>
  <c r="G38" i="63"/>
  <c r="H38" i="63"/>
  <c r="H40" i="63" s="1"/>
  <c r="I38" i="63"/>
  <c r="J38" i="63"/>
  <c r="K38" i="63"/>
  <c r="K40" i="63" s="1"/>
  <c r="L38" i="63"/>
  <c r="L40" i="63" s="1"/>
  <c r="M38" i="63"/>
  <c r="N38" i="63"/>
  <c r="O38" i="63"/>
  <c r="O40" i="63" s="1"/>
  <c r="P38" i="63"/>
  <c r="P40" i="63" s="1"/>
  <c r="Q38" i="63"/>
  <c r="R38" i="63"/>
  <c r="S38" i="63"/>
  <c r="S40" i="63" s="1"/>
  <c r="T38" i="63"/>
  <c r="T40" i="63" s="1"/>
  <c r="U38" i="63"/>
  <c r="V38" i="63"/>
  <c r="W38" i="63"/>
  <c r="W40" i="63" s="1"/>
  <c r="X38" i="63"/>
  <c r="X40" i="63" s="1"/>
  <c r="Y38" i="63"/>
  <c r="I40" i="63"/>
  <c r="J40" i="63"/>
  <c r="M40" i="63"/>
  <c r="N40" i="63"/>
  <c r="Q40" i="63"/>
  <c r="R40" i="63"/>
  <c r="U40" i="63"/>
  <c r="V40" i="63"/>
  <c r="Y40" i="63"/>
  <c r="C44" i="63"/>
  <c r="D44" i="63"/>
  <c r="E44" i="63"/>
  <c r="F44" i="63"/>
  <c r="G44" i="63"/>
  <c r="H44" i="63"/>
  <c r="I44" i="63"/>
  <c r="J44" i="63"/>
  <c r="J47" i="63" s="1"/>
  <c r="C46" i="63"/>
  <c r="D46" i="63"/>
  <c r="E46" i="63"/>
  <c r="F46" i="63"/>
  <c r="G46" i="63"/>
  <c r="H46" i="63"/>
  <c r="I46" i="63"/>
  <c r="J46" i="63"/>
  <c r="G47" i="63"/>
  <c r="H47" i="63"/>
  <c r="I47" i="63"/>
  <c r="B49" i="63"/>
  <c r="C4" i="62"/>
  <c r="D4" i="62"/>
  <c r="E4" i="62"/>
  <c r="E7" i="62" s="1"/>
  <c r="C6" i="62"/>
  <c r="D6" i="62"/>
  <c r="E6" i="62"/>
  <c r="C7" i="62"/>
  <c r="D7" i="62"/>
  <c r="C11" i="62"/>
  <c r="D11" i="62"/>
  <c r="E11" i="62"/>
  <c r="E14" i="62" s="1"/>
  <c r="F11" i="62"/>
  <c r="G11" i="62"/>
  <c r="H11" i="62"/>
  <c r="I11" i="62"/>
  <c r="I14" i="62" s="1"/>
  <c r="J11" i="62"/>
  <c r="K11" i="62"/>
  <c r="L11" i="62"/>
  <c r="M11" i="62"/>
  <c r="M14" i="62" s="1"/>
  <c r="N11" i="62"/>
  <c r="O11" i="62"/>
  <c r="P11" i="62"/>
  <c r="Q11" i="62"/>
  <c r="Q14" i="62" s="1"/>
  <c r="C13" i="62"/>
  <c r="D13" i="62"/>
  <c r="E13" i="62"/>
  <c r="F13" i="62"/>
  <c r="G13" i="62"/>
  <c r="H13" i="62"/>
  <c r="I13" i="62"/>
  <c r="J13" i="62"/>
  <c r="K13" i="62"/>
  <c r="L13" i="62"/>
  <c r="M13" i="62"/>
  <c r="N13" i="62"/>
  <c r="O13" i="62"/>
  <c r="P13" i="62"/>
  <c r="Q13" i="62"/>
  <c r="D14" i="62"/>
  <c r="F14" i="62"/>
  <c r="G14" i="62"/>
  <c r="H14" i="62"/>
  <c r="J14" i="62"/>
  <c r="K14" i="62"/>
  <c r="L14" i="62"/>
  <c r="N14" i="62"/>
  <c r="O14" i="62"/>
  <c r="P14" i="62"/>
  <c r="C18" i="62"/>
  <c r="D18" i="62"/>
  <c r="E18" i="62"/>
  <c r="F18" i="62"/>
  <c r="G18" i="62"/>
  <c r="H18" i="62"/>
  <c r="I18" i="62"/>
  <c r="J18" i="62"/>
  <c r="K18" i="62"/>
  <c r="L18" i="62"/>
  <c r="M18" i="62"/>
  <c r="N18" i="62"/>
  <c r="O18" i="62"/>
  <c r="P18" i="62"/>
  <c r="Q18" i="62"/>
  <c r="R18" i="62"/>
  <c r="S18" i="62"/>
  <c r="T18" i="62"/>
  <c r="U18" i="62"/>
  <c r="V18" i="62"/>
  <c r="W18" i="62"/>
  <c r="C20" i="62"/>
  <c r="D20" i="62"/>
  <c r="E20" i="62"/>
  <c r="F20" i="62"/>
  <c r="G20" i="62"/>
  <c r="H20" i="62"/>
  <c r="I20" i="62"/>
  <c r="J20" i="62"/>
  <c r="K20" i="62"/>
  <c r="L20" i="62"/>
  <c r="M20" i="62"/>
  <c r="N20" i="62"/>
  <c r="O20" i="62"/>
  <c r="P20" i="62"/>
  <c r="Q20" i="62"/>
  <c r="R20" i="62"/>
  <c r="S20" i="62"/>
  <c r="T20" i="62"/>
  <c r="U20" i="62"/>
  <c r="V20" i="62"/>
  <c r="W20" i="62"/>
  <c r="E21" i="62"/>
  <c r="F21" i="62"/>
  <c r="G21" i="62"/>
  <c r="H21" i="62"/>
  <c r="I21" i="62"/>
  <c r="J21" i="62"/>
  <c r="K21" i="62"/>
  <c r="L21" i="62"/>
  <c r="M21" i="62"/>
  <c r="N21" i="62"/>
  <c r="O21" i="62"/>
  <c r="P21" i="62"/>
  <c r="Q21" i="62"/>
  <c r="R21" i="62"/>
  <c r="S21" i="62"/>
  <c r="T21" i="62"/>
  <c r="U21" i="62"/>
  <c r="V21" i="62"/>
  <c r="W21" i="62"/>
  <c r="C25" i="62"/>
  <c r="D25" i="62"/>
  <c r="E25" i="62"/>
  <c r="F25" i="62"/>
  <c r="G25" i="62"/>
  <c r="H25" i="62"/>
  <c r="H28" i="62" s="1"/>
  <c r="I25" i="62"/>
  <c r="J25" i="62"/>
  <c r="K25" i="62"/>
  <c r="L25" i="62"/>
  <c r="L28" i="62" s="1"/>
  <c r="M25" i="62"/>
  <c r="N25" i="62"/>
  <c r="O25" i="62"/>
  <c r="P25" i="62"/>
  <c r="P28" i="62" s="1"/>
  <c r="C27" i="62"/>
  <c r="D27" i="62"/>
  <c r="E27" i="62"/>
  <c r="F27" i="62"/>
  <c r="G27" i="62"/>
  <c r="H27" i="62"/>
  <c r="I27" i="62"/>
  <c r="J27" i="62"/>
  <c r="K27" i="62"/>
  <c r="L27" i="62"/>
  <c r="M27" i="62"/>
  <c r="N27" i="62"/>
  <c r="O27" i="62"/>
  <c r="P27" i="62"/>
  <c r="F28" i="62"/>
  <c r="G28" i="62"/>
  <c r="I28" i="62"/>
  <c r="J28" i="62"/>
  <c r="K28" i="62"/>
  <c r="M28" i="62"/>
  <c r="N28" i="62"/>
  <c r="O28" i="62"/>
  <c r="C32" i="62"/>
  <c r="D32" i="62"/>
  <c r="E32" i="62"/>
  <c r="F32" i="62"/>
  <c r="G32" i="62"/>
  <c r="H32" i="62"/>
  <c r="I32" i="62"/>
  <c r="J32" i="62"/>
  <c r="K32" i="62"/>
  <c r="L32" i="62"/>
  <c r="M32" i="62"/>
  <c r="N32" i="62"/>
  <c r="O32" i="62"/>
  <c r="P32" i="62"/>
  <c r="Q32" i="62"/>
  <c r="R32" i="62"/>
  <c r="S32" i="62"/>
  <c r="T32" i="62"/>
  <c r="U32" i="62"/>
  <c r="V32" i="62"/>
  <c r="G34" i="62"/>
  <c r="H34" i="62"/>
  <c r="I34" i="62"/>
  <c r="J34" i="62"/>
  <c r="K34" i="62"/>
  <c r="L34" i="62"/>
  <c r="M34" i="62"/>
  <c r="N34" i="62"/>
  <c r="O34" i="62"/>
  <c r="P34" i="62"/>
  <c r="Q34" i="62"/>
  <c r="R34" i="62"/>
  <c r="S34" i="62"/>
  <c r="T34" i="62"/>
  <c r="U34" i="62"/>
  <c r="V34" i="62"/>
  <c r="C38" i="62"/>
  <c r="D38" i="62"/>
  <c r="E38" i="62"/>
  <c r="E41" i="62" s="1"/>
  <c r="F38" i="62"/>
  <c r="G38" i="62"/>
  <c r="H38" i="62"/>
  <c r="I38" i="62"/>
  <c r="I41" i="62" s="1"/>
  <c r="C40" i="62"/>
  <c r="D40" i="62"/>
  <c r="E40" i="62"/>
  <c r="F40" i="62"/>
  <c r="G40" i="62"/>
  <c r="H40" i="62"/>
  <c r="I40" i="62"/>
  <c r="D41" i="62"/>
  <c r="F41" i="62"/>
  <c r="G41" i="62"/>
  <c r="H41" i="62"/>
  <c r="C45" i="62"/>
  <c r="C48" i="62" s="1"/>
  <c r="D45" i="62"/>
  <c r="D48" i="62" s="1"/>
  <c r="C47" i="62"/>
  <c r="D47" i="62"/>
  <c r="B50" i="62"/>
  <c r="C4" i="61"/>
  <c r="C6" i="61"/>
  <c r="C7" i="61"/>
  <c r="C11" i="61"/>
  <c r="C14" i="61" s="1"/>
  <c r="D11" i="61"/>
  <c r="E11" i="61"/>
  <c r="F11" i="61"/>
  <c r="F14" i="61" s="1"/>
  <c r="G11" i="61"/>
  <c r="G14" i="61" s="1"/>
  <c r="H11" i="61"/>
  <c r="I11" i="61"/>
  <c r="J11" i="61"/>
  <c r="J14" i="61" s="1"/>
  <c r="K11" i="61"/>
  <c r="K14" i="61" s="1"/>
  <c r="L11" i="61"/>
  <c r="M11" i="61"/>
  <c r="N11" i="61"/>
  <c r="N14" i="61" s="1"/>
  <c r="O11" i="61"/>
  <c r="O14" i="61" s="1"/>
  <c r="C13" i="61"/>
  <c r="D13" i="61"/>
  <c r="E13" i="61"/>
  <c r="F13" i="61"/>
  <c r="G13" i="61"/>
  <c r="H13" i="61"/>
  <c r="I13" i="61"/>
  <c r="J13" i="61"/>
  <c r="K13" i="61"/>
  <c r="L13" i="61"/>
  <c r="M13" i="61"/>
  <c r="N13" i="61"/>
  <c r="O13" i="61"/>
  <c r="D14" i="61"/>
  <c r="E14" i="61"/>
  <c r="H14" i="61"/>
  <c r="I14" i="61"/>
  <c r="L14" i="61"/>
  <c r="M14" i="61"/>
  <c r="C18" i="61"/>
  <c r="D18" i="61"/>
  <c r="E18" i="61"/>
  <c r="F18" i="61"/>
  <c r="G18" i="61"/>
  <c r="H18" i="61"/>
  <c r="I18" i="61"/>
  <c r="J18" i="61"/>
  <c r="K18" i="61"/>
  <c r="L18" i="61"/>
  <c r="M18" i="61"/>
  <c r="N18" i="61"/>
  <c r="O18" i="61"/>
  <c r="P18" i="61"/>
  <c r="Q18" i="61"/>
  <c r="R18" i="61"/>
  <c r="S18" i="61"/>
  <c r="T18" i="61"/>
  <c r="U18" i="61"/>
  <c r="F20" i="61"/>
  <c r="G20" i="61"/>
  <c r="H20" i="61"/>
  <c r="I20" i="61"/>
  <c r="J20" i="61"/>
  <c r="K20" i="61"/>
  <c r="L20" i="61"/>
  <c r="M20" i="61"/>
  <c r="N20" i="61"/>
  <c r="O20" i="61"/>
  <c r="P20" i="61"/>
  <c r="Q20" i="61"/>
  <c r="R20" i="61"/>
  <c r="S20" i="61"/>
  <c r="T20" i="61"/>
  <c r="U20" i="61"/>
  <c r="C24" i="61"/>
  <c r="D24" i="61"/>
  <c r="E24" i="61"/>
  <c r="E27" i="61" s="1"/>
  <c r="F24" i="61"/>
  <c r="G24" i="61"/>
  <c r="H24" i="61"/>
  <c r="H27" i="61" s="1"/>
  <c r="I24" i="61"/>
  <c r="I27" i="61" s="1"/>
  <c r="J24" i="61"/>
  <c r="K24" i="61"/>
  <c r="L24" i="61"/>
  <c r="L27" i="61" s="1"/>
  <c r="M24" i="61"/>
  <c r="M27" i="61" s="1"/>
  <c r="N24" i="61"/>
  <c r="C26" i="61"/>
  <c r="D26" i="61"/>
  <c r="E26" i="61"/>
  <c r="F26" i="61"/>
  <c r="G26" i="61"/>
  <c r="H26" i="61"/>
  <c r="I26" i="61"/>
  <c r="J26" i="61"/>
  <c r="K26" i="61"/>
  <c r="L26" i="61"/>
  <c r="M26" i="61"/>
  <c r="N26" i="61"/>
  <c r="F27" i="61"/>
  <c r="G27" i="61"/>
  <c r="J27" i="61"/>
  <c r="K27" i="61"/>
  <c r="N27" i="61"/>
  <c r="C31" i="61"/>
  <c r="C34" i="61" s="1"/>
  <c r="D31" i="61"/>
  <c r="E31" i="61"/>
  <c r="F31" i="61"/>
  <c r="F34" i="61" s="1"/>
  <c r="G31" i="61"/>
  <c r="G34" i="61" s="1"/>
  <c r="H31" i="61"/>
  <c r="I31" i="61"/>
  <c r="C33" i="61"/>
  <c r="D33" i="61"/>
  <c r="E33" i="61"/>
  <c r="F33" i="61"/>
  <c r="G33" i="61"/>
  <c r="H33" i="61"/>
  <c r="I33" i="61"/>
  <c r="D34" i="61"/>
  <c r="E34" i="61"/>
  <c r="H34" i="61"/>
  <c r="I34" i="61"/>
  <c r="C38" i="61"/>
  <c r="D38" i="61"/>
  <c r="E38" i="61"/>
  <c r="C40" i="61"/>
  <c r="D40" i="61"/>
  <c r="E40" i="61"/>
  <c r="D41" i="61"/>
  <c r="E41" i="61"/>
  <c r="C45" i="61"/>
  <c r="D45" i="61"/>
  <c r="D48" i="61" s="1"/>
  <c r="C47" i="61"/>
  <c r="D47" i="61"/>
  <c r="C52" i="61"/>
  <c r="D52" i="61"/>
  <c r="C54" i="61"/>
  <c r="D54" i="61"/>
  <c r="C55" i="61"/>
  <c r="D55" i="61"/>
  <c r="C59" i="61"/>
  <c r="D59" i="61"/>
  <c r="C61" i="61"/>
  <c r="D61" i="61"/>
  <c r="B64" i="61"/>
  <c r="F6" i="51"/>
  <c r="G6" i="51"/>
  <c r="H6" i="51"/>
  <c r="I6" i="51"/>
  <c r="J6" i="51"/>
  <c r="K6" i="51"/>
  <c r="L6" i="51"/>
  <c r="M6" i="51"/>
  <c r="N6" i="51"/>
  <c r="O6" i="51"/>
  <c r="P6" i="51"/>
  <c r="Q6" i="51"/>
  <c r="R6" i="51"/>
  <c r="S6" i="51"/>
  <c r="T6" i="51"/>
  <c r="B65" i="51"/>
  <c r="C4" i="49" l="1"/>
  <c r="C6" i="49"/>
  <c r="C11" i="49"/>
  <c r="C14" i="49" s="1"/>
  <c r="C13" i="49"/>
  <c r="C18" i="49"/>
  <c r="C20" i="49"/>
  <c r="C25" i="49"/>
  <c r="C27" i="49"/>
  <c r="C32" i="49"/>
  <c r="D32" i="49"/>
  <c r="E32" i="49"/>
  <c r="F32" i="49"/>
  <c r="G32" i="49"/>
  <c r="H32" i="49"/>
  <c r="C34" i="49"/>
  <c r="D34" i="49"/>
  <c r="E34" i="49"/>
  <c r="F34" i="49"/>
  <c r="G34" i="49"/>
  <c r="H34" i="49"/>
  <c r="C35" i="49"/>
  <c r="D35" i="49"/>
  <c r="E35" i="49"/>
  <c r="F35" i="49"/>
  <c r="G35" i="49"/>
  <c r="H35" i="49"/>
  <c r="C39" i="49"/>
  <c r="D39" i="49"/>
  <c r="E39" i="49"/>
  <c r="E42" i="49" s="1"/>
  <c r="F39" i="49"/>
  <c r="F42" i="49" s="1"/>
  <c r="G39" i="49"/>
  <c r="G42" i="49" s="1"/>
  <c r="H39" i="49"/>
  <c r="I39" i="49"/>
  <c r="I42" i="49" s="1"/>
  <c r="J39" i="49"/>
  <c r="J42" i="49" s="1"/>
  <c r="K39" i="49"/>
  <c r="K42" i="49" s="1"/>
  <c r="L39" i="49"/>
  <c r="M39" i="49"/>
  <c r="M42" i="49" s="1"/>
  <c r="N39" i="49"/>
  <c r="N42" i="49" s="1"/>
  <c r="C41" i="49"/>
  <c r="D41" i="49"/>
  <c r="E41" i="49"/>
  <c r="F41" i="49"/>
  <c r="G41" i="49"/>
  <c r="H41" i="49"/>
  <c r="I41" i="49"/>
  <c r="J41" i="49"/>
  <c r="K41" i="49"/>
  <c r="L41" i="49"/>
  <c r="M41" i="49"/>
  <c r="N41" i="49"/>
  <c r="D42" i="49"/>
  <c r="H42" i="49"/>
  <c r="L42" i="49"/>
  <c r="C46" i="49"/>
  <c r="D46" i="49"/>
  <c r="D48" i="49" s="1"/>
  <c r="E46" i="49"/>
  <c r="F46" i="49"/>
  <c r="F48" i="49" s="1"/>
  <c r="G46" i="49"/>
  <c r="G48" i="49" s="1"/>
  <c r="H46" i="49"/>
  <c r="H48" i="49" s="1"/>
  <c r="I46" i="49"/>
  <c r="J46" i="49"/>
  <c r="J48" i="49" s="1"/>
  <c r="K46" i="49"/>
  <c r="K48" i="49" s="1"/>
  <c r="L46" i="49"/>
  <c r="L48" i="49" s="1"/>
  <c r="M46" i="49"/>
  <c r="N46" i="49"/>
  <c r="N48" i="49" s="1"/>
  <c r="O46" i="49"/>
  <c r="O48" i="49" s="1"/>
  <c r="P46" i="49"/>
  <c r="P48" i="49" s="1"/>
  <c r="Q46" i="49"/>
  <c r="R46" i="49"/>
  <c r="R48" i="49" s="1"/>
  <c r="E48" i="49"/>
  <c r="I48" i="49"/>
  <c r="M48" i="49"/>
  <c r="Q48" i="49"/>
  <c r="C52" i="49"/>
  <c r="D52" i="49"/>
  <c r="D55" i="49" s="1"/>
  <c r="E52" i="49"/>
  <c r="F52" i="49"/>
  <c r="G52" i="49"/>
  <c r="G55" i="49" s="1"/>
  <c r="H52" i="49"/>
  <c r="H55" i="49" s="1"/>
  <c r="I52" i="49"/>
  <c r="J52" i="49"/>
  <c r="K52" i="49"/>
  <c r="K55" i="49" s="1"/>
  <c r="L52" i="49"/>
  <c r="L55" i="49" s="1"/>
  <c r="M52" i="49"/>
  <c r="N52" i="49"/>
  <c r="O52" i="49"/>
  <c r="O55" i="49" s="1"/>
  <c r="P52" i="49"/>
  <c r="P55" i="49" s="1"/>
  <c r="C54" i="49"/>
  <c r="D54" i="49"/>
  <c r="E54" i="49"/>
  <c r="F54" i="49"/>
  <c r="G54" i="49"/>
  <c r="H54" i="49"/>
  <c r="I54" i="49"/>
  <c r="J54" i="49"/>
  <c r="K54" i="49"/>
  <c r="L54" i="49"/>
  <c r="M54" i="49"/>
  <c r="N54" i="49"/>
  <c r="O54" i="49"/>
  <c r="P54" i="49"/>
  <c r="E55" i="49"/>
  <c r="F55" i="49"/>
  <c r="I55" i="49"/>
  <c r="J55" i="49"/>
  <c r="M55" i="49"/>
  <c r="N55" i="49"/>
  <c r="C59" i="49"/>
  <c r="D59" i="49"/>
  <c r="D62" i="49" s="1"/>
  <c r="E59" i="49"/>
  <c r="F59" i="49"/>
  <c r="G59" i="49"/>
  <c r="H59" i="49"/>
  <c r="H62" i="49" s="1"/>
  <c r="I59" i="49"/>
  <c r="J59" i="49"/>
  <c r="K59" i="49"/>
  <c r="L59" i="49"/>
  <c r="L62" i="49" s="1"/>
  <c r="M59" i="49"/>
  <c r="N59" i="49"/>
  <c r="O59" i="49"/>
  <c r="P59" i="49"/>
  <c r="P62" i="49" s="1"/>
  <c r="Q59" i="49"/>
  <c r="C61" i="49"/>
  <c r="D61" i="49"/>
  <c r="E61" i="49"/>
  <c r="F61" i="49"/>
  <c r="G61" i="49"/>
  <c r="H61" i="49"/>
  <c r="I61" i="49"/>
  <c r="J61" i="49"/>
  <c r="K61" i="49"/>
  <c r="L61" i="49"/>
  <c r="M61" i="49"/>
  <c r="N61" i="49"/>
  <c r="O61" i="49"/>
  <c r="P61" i="49"/>
  <c r="Q61" i="49"/>
  <c r="E62" i="49"/>
  <c r="F62" i="49"/>
  <c r="G62" i="49"/>
  <c r="I62" i="49"/>
  <c r="J62" i="49"/>
  <c r="K62" i="49"/>
  <c r="M62" i="49"/>
  <c r="N62" i="49"/>
  <c r="O62" i="49"/>
  <c r="Q62" i="49"/>
  <c r="C66" i="49"/>
  <c r="C69" i="49" s="1"/>
  <c r="D66" i="49"/>
  <c r="D69" i="49" s="1"/>
  <c r="E66" i="49"/>
  <c r="F66" i="49"/>
  <c r="G66" i="49"/>
  <c r="G69" i="49" s="1"/>
  <c r="H66" i="49"/>
  <c r="H69" i="49" s="1"/>
  <c r="I66" i="49"/>
  <c r="J66" i="49"/>
  <c r="K66" i="49"/>
  <c r="K69" i="49" s="1"/>
  <c r="L66" i="49"/>
  <c r="L69" i="49" s="1"/>
  <c r="M66" i="49"/>
  <c r="C68" i="49"/>
  <c r="D68" i="49"/>
  <c r="E68" i="49"/>
  <c r="F68" i="49"/>
  <c r="G68" i="49"/>
  <c r="H68" i="49"/>
  <c r="I68" i="49"/>
  <c r="J68" i="49"/>
  <c r="K68" i="49"/>
  <c r="L68" i="49"/>
  <c r="M68" i="49"/>
  <c r="E69" i="49"/>
  <c r="F69" i="49"/>
  <c r="I69" i="49"/>
  <c r="J69" i="49"/>
  <c r="M69" i="49"/>
  <c r="C73" i="49"/>
  <c r="D73" i="49"/>
  <c r="C75" i="49"/>
  <c r="D75" i="49"/>
  <c r="C76" i="49"/>
  <c r="D76" i="49"/>
  <c r="B79" i="49"/>
  <c r="C4" i="48"/>
  <c r="D4" i="48"/>
  <c r="E4" i="48"/>
  <c r="F4" i="48"/>
  <c r="C6" i="48"/>
  <c r="D6" i="48"/>
  <c r="E6" i="48"/>
  <c r="F6" i="48"/>
  <c r="C7" i="48"/>
  <c r="D7" i="48"/>
  <c r="E7" i="48"/>
  <c r="F7" i="48"/>
  <c r="C11" i="48"/>
  <c r="D11" i="48"/>
  <c r="E11" i="48"/>
  <c r="F11" i="48"/>
  <c r="G11" i="48"/>
  <c r="H11" i="48"/>
  <c r="C13" i="48"/>
  <c r="D13" i="48"/>
  <c r="E13" i="48"/>
  <c r="F13" i="48"/>
  <c r="G13" i="48"/>
  <c r="H13" i="48"/>
  <c r="C14" i="48"/>
  <c r="D14" i="48"/>
  <c r="E14" i="48"/>
  <c r="F14" i="48"/>
  <c r="G14" i="48"/>
  <c r="H14" i="48"/>
  <c r="C18" i="48"/>
  <c r="B43" i="48" s="1"/>
  <c r="D18" i="48"/>
  <c r="E18" i="48"/>
  <c r="F18" i="48"/>
  <c r="G18" i="48"/>
  <c r="G20" i="48" s="1"/>
  <c r="H18" i="48"/>
  <c r="H20" i="48" s="1"/>
  <c r="I18" i="48"/>
  <c r="J18" i="48"/>
  <c r="K18" i="48"/>
  <c r="K20" i="48" s="1"/>
  <c r="L18" i="48"/>
  <c r="L20" i="48" s="1"/>
  <c r="M18" i="48"/>
  <c r="N18" i="48"/>
  <c r="O18" i="48"/>
  <c r="O20" i="48" s="1"/>
  <c r="P18" i="48"/>
  <c r="P20" i="48" s="1"/>
  <c r="Q18" i="48"/>
  <c r="R18" i="48"/>
  <c r="E20" i="48"/>
  <c r="F20" i="48"/>
  <c r="I20" i="48"/>
  <c r="J20" i="48"/>
  <c r="M20" i="48"/>
  <c r="N20" i="48"/>
  <c r="Q20" i="48"/>
  <c r="R20" i="48"/>
  <c r="C24" i="48"/>
  <c r="D24" i="48"/>
  <c r="E24" i="48"/>
  <c r="F24" i="48"/>
  <c r="F27" i="48" s="1"/>
  <c r="G24" i="48"/>
  <c r="H24" i="48"/>
  <c r="I24" i="48"/>
  <c r="J24" i="48"/>
  <c r="J27" i="48" s="1"/>
  <c r="K24" i="48"/>
  <c r="L24" i="48"/>
  <c r="M24" i="48"/>
  <c r="N24" i="48"/>
  <c r="N27" i="48" s="1"/>
  <c r="O24" i="48"/>
  <c r="P24" i="48"/>
  <c r="Q24" i="48"/>
  <c r="C26" i="48"/>
  <c r="D26" i="48"/>
  <c r="E26" i="48"/>
  <c r="F26" i="48"/>
  <c r="G26" i="48"/>
  <c r="H26" i="48"/>
  <c r="I26" i="48"/>
  <c r="J26" i="48"/>
  <c r="K26" i="48"/>
  <c r="L26" i="48"/>
  <c r="M26" i="48"/>
  <c r="N26" i="48"/>
  <c r="O26" i="48"/>
  <c r="P26" i="48"/>
  <c r="Q26" i="48"/>
  <c r="D27" i="48"/>
  <c r="E27" i="48"/>
  <c r="G27" i="48"/>
  <c r="H27" i="48"/>
  <c r="I27" i="48"/>
  <c r="K27" i="48"/>
  <c r="L27" i="48"/>
  <c r="M27" i="48"/>
  <c r="O27" i="48"/>
  <c r="P27" i="48"/>
  <c r="Q27" i="48"/>
  <c r="C31" i="48"/>
  <c r="D31" i="48"/>
  <c r="E31" i="48"/>
  <c r="E34" i="48" s="1"/>
  <c r="F31" i="48"/>
  <c r="F34" i="48" s="1"/>
  <c r="G31" i="48"/>
  <c r="H31" i="48"/>
  <c r="I31" i="48"/>
  <c r="I34" i="48" s="1"/>
  <c r="J31" i="48"/>
  <c r="J34" i="48" s="1"/>
  <c r="K31" i="48"/>
  <c r="L31" i="48"/>
  <c r="M31" i="48"/>
  <c r="M34" i="48" s="1"/>
  <c r="N31" i="48"/>
  <c r="N34" i="48" s="1"/>
  <c r="O31" i="48"/>
  <c r="C33" i="48"/>
  <c r="D33" i="48"/>
  <c r="E33" i="48"/>
  <c r="F33" i="48"/>
  <c r="G33" i="48"/>
  <c r="H33" i="48"/>
  <c r="I33" i="48"/>
  <c r="J33" i="48"/>
  <c r="K33" i="48"/>
  <c r="L33" i="48"/>
  <c r="M33" i="48"/>
  <c r="N33" i="48"/>
  <c r="O33" i="48"/>
  <c r="C34" i="48"/>
  <c r="D34" i="48"/>
  <c r="G34" i="48"/>
  <c r="H34" i="48"/>
  <c r="K34" i="48"/>
  <c r="L34" i="48"/>
  <c r="O34" i="48"/>
  <c r="C38" i="48"/>
  <c r="C41" i="48" s="1"/>
  <c r="D38" i="48"/>
  <c r="E38" i="48"/>
  <c r="F38" i="48"/>
  <c r="F41" i="48" s="1"/>
  <c r="G38" i="48"/>
  <c r="G41" i="48" s="1"/>
  <c r="H38" i="48"/>
  <c r="I38" i="48"/>
  <c r="C40" i="48"/>
  <c r="D40" i="48"/>
  <c r="E40" i="48"/>
  <c r="F40" i="48"/>
  <c r="G40" i="48"/>
  <c r="H40" i="48"/>
  <c r="I40" i="48"/>
  <c r="D41" i="48"/>
  <c r="E41" i="48"/>
  <c r="H41" i="48"/>
  <c r="I41" i="48"/>
  <c r="C4" i="47"/>
  <c r="C6" i="47"/>
  <c r="C7" i="47"/>
  <c r="C18" i="47"/>
  <c r="D18" i="47"/>
  <c r="C20" i="47"/>
  <c r="D20" i="47"/>
  <c r="C21" i="47"/>
  <c r="D21" i="47"/>
  <c r="C25" i="47"/>
  <c r="D25" i="47"/>
  <c r="D28" i="47" s="1"/>
  <c r="E25" i="47"/>
  <c r="F25" i="47"/>
  <c r="G25" i="47"/>
  <c r="G28" i="47" s="1"/>
  <c r="H25" i="47"/>
  <c r="H28" i="47" s="1"/>
  <c r="I25" i="47"/>
  <c r="J25" i="47"/>
  <c r="C27" i="47"/>
  <c r="D27" i="47"/>
  <c r="E27" i="47"/>
  <c r="F27" i="47"/>
  <c r="G27" i="47"/>
  <c r="H27" i="47"/>
  <c r="I27" i="47"/>
  <c r="J27" i="47"/>
  <c r="E28" i="47"/>
  <c r="F28" i="47"/>
  <c r="I28" i="47"/>
  <c r="J28" i="47"/>
  <c r="C32" i="47"/>
  <c r="D32" i="47"/>
  <c r="E32" i="47"/>
  <c r="E35" i="47" s="1"/>
  <c r="F32" i="47"/>
  <c r="F35" i="47" s="1"/>
  <c r="G32" i="47"/>
  <c r="H32" i="47"/>
  <c r="I32" i="47"/>
  <c r="I35" i="47" s="1"/>
  <c r="J32" i="47"/>
  <c r="J35" i="47" s="1"/>
  <c r="K32" i="47"/>
  <c r="L32" i="47"/>
  <c r="M32" i="47"/>
  <c r="M35" i="47" s="1"/>
  <c r="N32" i="47"/>
  <c r="N35" i="47" s="1"/>
  <c r="O32" i="47"/>
  <c r="P32" i="47"/>
  <c r="C34" i="47"/>
  <c r="D34" i="47"/>
  <c r="E34" i="47"/>
  <c r="F34" i="47"/>
  <c r="G34" i="47"/>
  <c r="H34" i="47"/>
  <c r="I34" i="47"/>
  <c r="J34" i="47"/>
  <c r="K34" i="47"/>
  <c r="L34" i="47"/>
  <c r="M34" i="47"/>
  <c r="N34" i="47"/>
  <c r="O34" i="47"/>
  <c r="P34" i="47"/>
  <c r="G35" i="47"/>
  <c r="H35" i="47"/>
  <c r="K35" i="47"/>
  <c r="L35" i="47"/>
  <c r="O35" i="47"/>
  <c r="P35" i="47"/>
  <c r="C39" i="47"/>
  <c r="D39" i="47"/>
  <c r="B52" i="47" s="1"/>
  <c r="E39" i="47"/>
  <c r="F39" i="47"/>
  <c r="F41" i="47" s="1"/>
  <c r="G39" i="47"/>
  <c r="H39" i="47"/>
  <c r="I39" i="47"/>
  <c r="J39" i="47"/>
  <c r="J41" i="47" s="1"/>
  <c r="K39" i="47"/>
  <c r="L39" i="47"/>
  <c r="M39" i="47"/>
  <c r="E41" i="47"/>
  <c r="G41" i="47"/>
  <c r="H41" i="47"/>
  <c r="I41" i="47"/>
  <c r="K41" i="47"/>
  <c r="L41" i="47"/>
  <c r="M41" i="47"/>
  <c r="C45" i="47"/>
  <c r="D45" i="47"/>
  <c r="E45" i="47"/>
  <c r="F45" i="47"/>
  <c r="C47" i="47"/>
  <c r="D47" i="47"/>
  <c r="E47" i="47"/>
  <c r="F47" i="47"/>
  <c r="C48" i="47"/>
  <c r="D48" i="47"/>
  <c r="E48" i="47"/>
  <c r="F48" i="47"/>
  <c r="C4" i="46"/>
  <c r="D4" i="46"/>
  <c r="C6" i="46"/>
  <c r="D6" i="46"/>
  <c r="C11" i="46"/>
  <c r="D11" i="46"/>
  <c r="E11" i="46"/>
  <c r="F11" i="46"/>
  <c r="C13" i="46"/>
  <c r="D13" i="46"/>
  <c r="E13" i="46"/>
  <c r="F13" i="46"/>
  <c r="C18" i="46"/>
  <c r="D18" i="46"/>
  <c r="C20" i="46"/>
  <c r="D20" i="46"/>
  <c r="C21" i="46"/>
  <c r="D21" i="46"/>
  <c r="C25" i="46"/>
  <c r="D25" i="46"/>
  <c r="C27" i="46"/>
  <c r="D27" i="46"/>
  <c r="C28" i="46"/>
  <c r="D28" i="46"/>
  <c r="C32" i="46"/>
  <c r="D32" i="46"/>
  <c r="E32" i="46"/>
  <c r="E35" i="46" s="1"/>
  <c r="C34" i="46"/>
  <c r="D34" i="46"/>
  <c r="E34" i="46"/>
  <c r="C35" i="46"/>
  <c r="D35" i="46"/>
  <c r="C39" i="46"/>
  <c r="D39" i="46"/>
  <c r="E39" i="46"/>
  <c r="F39" i="46"/>
  <c r="G39" i="46"/>
  <c r="H39" i="46"/>
  <c r="C41" i="46"/>
  <c r="D41" i="46"/>
  <c r="E41" i="46"/>
  <c r="F41" i="46"/>
  <c r="G41" i="46"/>
  <c r="H41" i="46"/>
  <c r="C42" i="46"/>
  <c r="D42" i="46"/>
  <c r="E42" i="46"/>
  <c r="F42" i="46"/>
  <c r="G42" i="46"/>
  <c r="H42" i="46"/>
  <c r="C46" i="46"/>
  <c r="D46" i="46"/>
  <c r="E46" i="46"/>
  <c r="F46" i="46"/>
  <c r="G46" i="46"/>
  <c r="G49" i="46" s="1"/>
  <c r="H46" i="46"/>
  <c r="I46" i="46"/>
  <c r="C48" i="46"/>
  <c r="D48" i="46"/>
  <c r="E48" i="46"/>
  <c r="F48" i="46"/>
  <c r="G48" i="46"/>
  <c r="H48" i="46"/>
  <c r="I48" i="46"/>
  <c r="D49" i="46"/>
  <c r="E49" i="46"/>
  <c r="F49" i="46"/>
  <c r="H49" i="46"/>
  <c r="I49" i="46"/>
  <c r="C53" i="46"/>
  <c r="D53" i="46"/>
  <c r="E53" i="46"/>
  <c r="F53" i="46"/>
  <c r="G53" i="46"/>
  <c r="G56" i="46" s="1"/>
  <c r="H53" i="46"/>
  <c r="I53" i="46"/>
  <c r="J53" i="46"/>
  <c r="K53" i="46"/>
  <c r="K56" i="46" s="1"/>
  <c r="L53" i="46"/>
  <c r="M53" i="46"/>
  <c r="C55" i="46"/>
  <c r="D55" i="46"/>
  <c r="E55" i="46"/>
  <c r="F55" i="46"/>
  <c r="G55" i="46"/>
  <c r="H55" i="46"/>
  <c r="I55" i="46"/>
  <c r="J55" i="46"/>
  <c r="K55" i="46"/>
  <c r="L55" i="46"/>
  <c r="M55" i="46"/>
  <c r="D56" i="46"/>
  <c r="E56" i="46"/>
  <c r="F56" i="46"/>
  <c r="H56" i="46"/>
  <c r="I56" i="46"/>
  <c r="J56" i="46"/>
  <c r="L56" i="46"/>
  <c r="M56" i="46"/>
  <c r="C60" i="46"/>
  <c r="D60" i="46"/>
  <c r="E60" i="46"/>
  <c r="F60" i="46"/>
  <c r="G60" i="46"/>
  <c r="G62" i="46" s="1"/>
  <c r="H60" i="46"/>
  <c r="I60" i="46"/>
  <c r="J60" i="46"/>
  <c r="K60" i="46"/>
  <c r="K62" i="46" s="1"/>
  <c r="L60" i="46"/>
  <c r="M60" i="46"/>
  <c r="E62" i="46"/>
  <c r="F62" i="46"/>
  <c r="H62" i="46"/>
  <c r="I62" i="46"/>
  <c r="J62" i="46"/>
  <c r="L62" i="46"/>
  <c r="M62" i="46"/>
  <c r="C66" i="46"/>
  <c r="C69" i="46" s="1"/>
  <c r="D66" i="46"/>
  <c r="E66" i="46"/>
  <c r="F66" i="46"/>
  <c r="F69" i="46" s="1"/>
  <c r="G66" i="46"/>
  <c r="G69" i="46" s="1"/>
  <c r="H66" i="46"/>
  <c r="I66" i="46"/>
  <c r="C68" i="46"/>
  <c r="D68" i="46"/>
  <c r="E68" i="46"/>
  <c r="F68" i="46"/>
  <c r="G68" i="46"/>
  <c r="H68" i="46"/>
  <c r="I68" i="46"/>
  <c r="D69" i="46"/>
  <c r="E69" i="46"/>
  <c r="H69" i="46"/>
  <c r="I69" i="46"/>
  <c r="C73" i="46"/>
  <c r="D73" i="46"/>
  <c r="D76" i="46" s="1"/>
  <c r="E73" i="46"/>
  <c r="E76" i="46" s="1"/>
  <c r="F73" i="46"/>
  <c r="G73" i="46"/>
  <c r="H73" i="46"/>
  <c r="H76" i="46" s="1"/>
  <c r="I73" i="46"/>
  <c r="I76" i="46" s="1"/>
  <c r="J73" i="46"/>
  <c r="C75" i="46"/>
  <c r="D75" i="46"/>
  <c r="E75" i="46"/>
  <c r="F75" i="46"/>
  <c r="G75" i="46"/>
  <c r="H75" i="46"/>
  <c r="I75" i="46"/>
  <c r="J75" i="46"/>
  <c r="F76" i="46"/>
  <c r="G76" i="46"/>
  <c r="J76" i="46"/>
  <c r="C80" i="46"/>
  <c r="D80" i="46"/>
  <c r="E80" i="46"/>
  <c r="F80" i="46"/>
  <c r="G80" i="46"/>
  <c r="C82" i="46"/>
  <c r="D82" i="46"/>
  <c r="E82" i="46"/>
  <c r="F82" i="46"/>
  <c r="G82" i="46"/>
  <c r="E83" i="46"/>
  <c r="F83" i="46"/>
  <c r="G83" i="46"/>
  <c r="C87" i="46"/>
  <c r="D87" i="46"/>
  <c r="C89" i="46"/>
  <c r="D89" i="46"/>
  <c r="C90" i="46"/>
  <c r="D90" i="46"/>
  <c r="B94" i="46"/>
  <c r="C4" i="45"/>
  <c r="D4" i="45"/>
  <c r="E4" i="45"/>
  <c r="F4" i="45"/>
  <c r="F7" i="45" s="1"/>
  <c r="G4" i="45"/>
  <c r="C6" i="45"/>
  <c r="D6" i="45"/>
  <c r="E6" i="45"/>
  <c r="F6" i="45"/>
  <c r="G6" i="45"/>
  <c r="D7" i="45"/>
  <c r="E7" i="45"/>
  <c r="G7" i="45"/>
  <c r="C11" i="45"/>
  <c r="D11" i="45"/>
  <c r="E11" i="45"/>
  <c r="F11" i="45"/>
  <c r="F14" i="45" s="1"/>
  <c r="G11" i="45"/>
  <c r="G14" i="45" s="1"/>
  <c r="H11" i="45"/>
  <c r="I11" i="45"/>
  <c r="J11" i="45"/>
  <c r="J14" i="45" s="1"/>
  <c r="K11" i="45"/>
  <c r="K14" i="45" s="1"/>
  <c r="L11" i="45"/>
  <c r="C13" i="45"/>
  <c r="D13" i="45"/>
  <c r="E13" i="45"/>
  <c r="F13" i="45"/>
  <c r="G13" i="45"/>
  <c r="H13" i="45"/>
  <c r="I13" i="45"/>
  <c r="J13" i="45"/>
  <c r="K13" i="45"/>
  <c r="L13" i="45"/>
  <c r="D14" i="45"/>
  <c r="E14" i="45"/>
  <c r="H14" i="45"/>
  <c r="I14" i="45"/>
  <c r="L14" i="45"/>
  <c r="C18" i="45"/>
  <c r="D18" i="45"/>
  <c r="E18" i="45"/>
  <c r="F18" i="45"/>
  <c r="F20" i="45" s="1"/>
  <c r="G18" i="45"/>
  <c r="G20" i="45" s="1"/>
  <c r="H18" i="45"/>
  <c r="I18" i="45"/>
  <c r="J18" i="45"/>
  <c r="J20" i="45" s="1"/>
  <c r="K18" i="45"/>
  <c r="K20" i="45" s="1"/>
  <c r="L18" i="45"/>
  <c r="M18" i="45"/>
  <c r="D20" i="45"/>
  <c r="E20" i="45"/>
  <c r="H20" i="45"/>
  <c r="I20" i="45"/>
  <c r="L20" i="45"/>
  <c r="M20" i="45"/>
  <c r="C25" i="45"/>
  <c r="D25" i="45"/>
  <c r="E25" i="45"/>
  <c r="E27" i="45" s="1"/>
  <c r="F25" i="45"/>
  <c r="F27" i="45" s="1"/>
  <c r="G25" i="45"/>
  <c r="H25" i="45"/>
  <c r="I25" i="45"/>
  <c r="I27" i="45" s="1"/>
  <c r="J25" i="45"/>
  <c r="J27" i="45" s="1"/>
  <c r="K25" i="45"/>
  <c r="L25" i="45"/>
  <c r="M25" i="45"/>
  <c r="M27" i="45" s="1"/>
  <c r="N25" i="45"/>
  <c r="N27" i="45" s="1"/>
  <c r="O25" i="45"/>
  <c r="P25" i="45"/>
  <c r="Q25" i="45"/>
  <c r="Q27" i="45" s="1"/>
  <c r="R25" i="45"/>
  <c r="R27" i="45" s="1"/>
  <c r="S25" i="45"/>
  <c r="T25" i="45"/>
  <c r="U25" i="45"/>
  <c r="U27" i="45" s="1"/>
  <c r="D27" i="45"/>
  <c r="G27" i="45"/>
  <c r="H27" i="45"/>
  <c r="K27" i="45"/>
  <c r="L27" i="45"/>
  <c r="O27" i="45"/>
  <c r="P27" i="45"/>
  <c r="S27" i="45"/>
  <c r="T27" i="45"/>
  <c r="C32" i="45"/>
  <c r="D32" i="45"/>
  <c r="E32" i="45"/>
  <c r="F32" i="45"/>
  <c r="G32" i="45"/>
  <c r="H32" i="45"/>
  <c r="I32" i="45"/>
  <c r="J32" i="45"/>
  <c r="K32" i="45"/>
  <c r="L32" i="45"/>
  <c r="M32" i="45"/>
  <c r="N32" i="45"/>
  <c r="O32" i="45"/>
  <c r="P32" i="45"/>
  <c r="C34" i="45"/>
  <c r="D34" i="45"/>
  <c r="E34" i="45"/>
  <c r="F34" i="45"/>
  <c r="G34" i="45"/>
  <c r="H34" i="45"/>
  <c r="I34" i="45"/>
  <c r="J34" i="45"/>
  <c r="K34" i="45"/>
  <c r="L34" i="45"/>
  <c r="M34" i="45"/>
  <c r="N34" i="45"/>
  <c r="O34" i="45"/>
  <c r="P34" i="45"/>
  <c r="C35" i="45"/>
  <c r="D35" i="45"/>
  <c r="E35" i="45"/>
  <c r="F35" i="45"/>
  <c r="G35" i="45"/>
  <c r="H35" i="45"/>
  <c r="I35" i="45"/>
  <c r="J35" i="45"/>
  <c r="K35" i="45"/>
  <c r="L35" i="45"/>
  <c r="M35" i="45"/>
  <c r="N35" i="45"/>
  <c r="O35" i="45"/>
  <c r="P35" i="45"/>
  <c r="C39" i="45"/>
  <c r="C42" i="45" s="1"/>
  <c r="D39" i="45"/>
  <c r="E39" i="45"/>
  <c r="F39" i="45"/>
  <c r="F42" i="45" s="1"/>
  <c r="G39" i="45"/>
  <c r="G42" i="45" s="1"/>
  <c r="C41" i="45"/>
  <c r="D41" i="45"/>
  <c r="E41" i="45"/>
  <c r="F41" i="45"/>
  <c r="G41" i="45"/>
  <c r="D42" i="45"/>
  <c r="E42" i="45"/>
  <c r="B45" i="45"/>
  <c r="C4" i="44"/>
  <c r="D4" i="44"/>
  <c r="C6" i="44"/>
  <c r="D6" i="44"/>
  <c r="C7" i="44"/>
  <c r="D7" i="44"/>
  <c r="C11" i="44"/>
  <c r="D11" i="44"/>
  <c r="E11" i="44"/>
  <c r="F11" i="44"/>
  <c r="G11" i="44"/>
  <c r="H11" i="44"/>
  <c r="I11" i="44"/>
  <c r="J11" i="44"/>
  <c r="K11" i="44"/>
  <c r="L11" i="44"/>
  <c r="M11" i="44"/>
  <c r="N11" i="44"/>
  <c r="O11" i="44"/>
  <c r="P11" i="44"/>
  <c r="C13" i="44"/>
  <c r="D13" i="44"/>
  <c r="E13" i="44"/>
  <c r="F13" i="44"/>
  <c r="G13" i="44"/>
  <c r="H13" i="44"/>
  <c r="I13" i="44"/>
  <c r="J13" i="44"/>
  <c r="K13" i="44"/>
  <c r="L13" i="44"/>
  <c r="M13" i="44"/>
  <c r="N13" i="44"/>
  <c r="O13" i="44"/>
  <c r="P13" i="44"/>
  <c r="C14" i="44"/>
  <c r="D14" i="44"/>
  <c r="E14" i="44"/>
  <c r="F14" i="44"/>
  <c r="G14" i="44"/>
  <c r="H14" i="44"/>
  <c r="I14" i="44"/>
  <c r="J14" i="44"/>
  <c r="K14" i="44"/>
  <c r="L14" i="44"/>
  <c r="M14" i="44"/>
  <c r="N14" i="44"/>
  <c r="O14" i="44"/>
  <c r="P14" i="44"/>
  <c r="C18" i="44"/>
  <c r="D18" i="44"/>
  <c r="E18" i="44"/>
  <c r="F18" i="44"/>
  <c r="G18" i="44"/>
  <c r="H18" i="44"/>
  <c r="I18" i="44"/>
  <c r="J18" i="44"/>
  <c r="K18" i="44"/>
  <c r="L18" i="44"/>
  <c r="M18" i="44"/>
  <c r="N18" i="44"/>
  <c r="O18" i="44"/>
  <c r="P18" i="44"/>
  <c r="Q18" i="44"/>
  <c r="R18" i="44"/>
  <c r="S18" i="44"/>
  <c r="T18" i="44"/>
  <c r="U18" i="44"/>
  <c r="V18" i="44"/>
  <c r="W18" i="44"/>
  <c r="X18" i="44"/>
  <c r="Y18" i="44"/>
  <c r="Z18" i="44"/>
  <c r="AA18" i="44"/>
  <c r="AB18" i="44"/>
  <c r="E20" i="44"/>
  <c r="F20" i="44"/>
  <c r="G20" i="44"/>
  <c r="H20" i="44"/>
  <c r="I20" i="44"/>
  <c r="J20" i="44"/>
  <c r="K20" i="44"/>
  <c r="L20" i="44"/>
  <c r="M20" i="44"/>
  <c r="N20" i="44"/>
  <c r="O20" i="44"/>
  <c r="P20" i="44"/>
  <c r="Q20" i="44"/>
  <c r="R20" i="44"/>
  <c r="S20" i="44"/>
  <c r="T20" i="44"/>
  <c r="U20" i="44"/>
  <c r="V20" i="44"/>
  <c r="W20" i="44"/>
  <c r="X20" i="44"/>
  <c r="Y20" i="44"/>
  <c r="Z20" i="44"/>
  <c r="AA20" i="44"/>
  <c r="AB20" i="44"/>
  <c r="C24" i="44"/>
  <c r="D24" i="44"/>
  <c r="E24" i="44"/>
  <c r="F24" i="44"/>
  <c r="G24" i="44"/>
  <c r="G27" i="44" s="1"/>
  <c r="H24" i="44"/>
  <c r="H27" i="44" s="1"/>
  <c r="I24" i="44"/>
  <c r="J24" i="44"/>
  <c r="K24" i="44"/>
  <c r="K27" i="44" s="1"/>
  <c r="L24" i="44"/>
  <c r="L27" i="44" s="1"/>
  <c r="M24" i="44"/>
  <c r="N24" i="44"/>
  <c r="O24" i="44"/>
  <c r="O27" i="44" s="1"/>
  <c r="P24" i="44"/>
  <c r="P27" i="44" s="1"/>
  <c r="Q24" i="44"/>
  <c r="R24" i="44"/>
  <c r="S24" i="44"/>
  <c r="S27" i="44" s="1"/>
  <c r="T24" i="44"/>
  <c r="T27" i="44" s="1"/>
  <c r="U24" i="44"/>
  <c r="V24" i="44"/>
  <c r="W24" i="44"/>
  <c r="W27" i="44" s="1"/>
  <c r="X24" i="44"/>
  <c r="X27" i="44" s="1"/>
  <c r="Y24" i="44"/>
  <c r="Z24" i="44"/>
  <c r="AA24" i="44"/>
  <c r="AA27" i="44" s="1"/>
  <c r="AB24" i="44"/>
  <c r="AB27" i="44" s="1"/>
  <c r="AC24" i="44"/>
  <c r="AD24" i="44"/>
  <c r="AE24" i="44"/>
  <c r="AE27" i="44" s="1"/>
  <c r="AF24" i="44"/>
  <c r="AF27" i="44" s="1"/>
  <c r="AG24" i="44"/>
  <c r="C26" i="44"/>
  <c r="D26" i="44"/>
  <c r="E26" i="44"/>
  <c r="F26" i="44"/>
  <c r="G26" i="44"/>
  <c r="H26" i="44"/>
  <c r="I26" i="44"/>
  <c r="J26" i="44"/>
  <c r="K26" i="44"/>
  <c r="L26" i="44"/>
  <c r="M26" i="44"/>
  <c r="N26" i="44"/>
  <c r="O26" i="44"/>
  <c r="P26" i="44"/>
  <c r="Q26" i="44"/>
  <c r="R26" i="44"/>
  <c r="S26" i="44"/>
  <c r="T26" i="44"/>
  <c r="U26" i="44"/>
  <c r="V26" i="44"/>
  <c r="W26" i="44"/>
  <c r="X26" i="44"/>
  <c r="Y26" i="44"/>
  <c r="Z26" i="44"/>
  <c r="AA26" i="44"/>
  <c r="AB26" i="44"/>
  <c r="AC26" i="44"/>
  <c r="AD26" i="44"/>
  <c r="AE26" i="44"/>
  <c r="AF26" i="44"/>
  <c r="AG26" i="44"/>
  <c r="F27" i="44"/>
  <c r="I27" i="44"/>
  <c r="J27" i="44"/>
  <c r="M27" i="44"/>
  <c r="N27" i="44"/>
  <c r="Q27" i="44"/>
  <c r="R27" i="44"/>
  <c r="U27" i="44"/>
  <c r="V27" i="44"/>
  <c r="Y27" i="44"/>
  <c r="Z27" i="44"/>
  <c r="AC27" i="44"/>
  <c r="AD27" i="44"/>
  <c r="AG27" i="44"/>
  <c r="C31" i="44"/>
  <c r="D31" i="44"/>
  <c r="E31" i="44"/>
  <c r="B85" i="44" s="1"/>
  <c r="F31" i="44"/>
  <c r="F34" i="44" s="1"/>
  <c r="G31" i="44"/>
  <c r="H31" i="44"/>
  <c r="I31" i="44"/>
  <c r="J31" i="44"/>
  <c r="J34" i="44" s="1"/>
  <c r="K31" i="44"/>
  <c r="L31" i="44"/>
  <c r="M31" i="44"/>
  <c r="N31" i="44"/>
  <c r="N34" i="44" s="1"/>
  <c r="O31" i="44"/>
  <c r="P31" i="44"/>
  <c r="Q31" i="44"/>
  <c r="R31" i="44"/>
  <c r="R34" i="44" s="1"/>
  <c r="S31" i="44"/>
  <c r="T31" i="44"/>
  <c r="U31" i="44"/>
  <c r="V31" i="44"/>
  <c r="V34" i="44" s="1"/>
  <c r="C33" i="44"/>
  <c r="D33" i="44"/>
  <c r="E33" i="44"/>
  <c r="F33" i="44"/>
  <c r="G33" i="44"/>
  <c r="H33" i="44"/>
  <c r="I33" i="44"/>
  <c r="J33" i="44"/>
  <c r="K33" i="44"/>
  <c r="L33" i="44"/>
  <c r="M33" i="44"/>
  <c r="N33" i="44"/>
  <c r="O33" i="44"/>
  <c r="P33" i="44"/>
  <c r="Q33" i="44"/>
  <c r="R33" i="44"/>
  <c r="S33" i="44"/>
  <c r="T33" i="44"/>
  <c r="U33" i="44"/>
  <c r="V33" i="44"/>
  <c r="G34" i="44"/>
  <c r="H34" i="44"/>
  <c r="I34" i="44"/>
  <c r="K34" i="44"/>
  <c r="L34" i="44"/>
  <c r="M34" i="44"/>
  <c r="O34" i="44"/>
  <c r="P34" i="44"/>
  <c r="Q34" i="44"/>
  <c r="S34" i="44"/>
  <c r="T34" i="44"/>
  <c r="U34" i="44"/>
  <c r="C38" i="44"/>
  <c r="D38" i="44"/>
  <c r="D41" i="44" s="1"/>
  <c r="E38" i="44"/>
  <c r="E41" i="44" s="1"/>
  <c r="F38" i="44"/>
  <c r="G38" i="44"/>
  <c r="H38" i="44"/>
  <c r="H41" i="44" s="1"/>
  <c r="I38" i="44"/>
  <c r="I41" i="44" s="1"/>
  <c r="J38" i="44"/>
  <c r="C40" i="44"/>
  <c r="D40" i="44"/>
  <c r="E40" i="44"/>
  <c r="F40" i="44"/>
  <c r="G40" i="44"/>
  <c r="H40" i="44"/>
  <c r="I40" i="44"/>
  <c r="J40" i="44"/>
  <c r="F41" i="44"/>
  <c r="G41" i="44"/>
  <c r="J41" i="44"/>
  <c r="C45" i="44"/>
  <c r="D45" i="44"/>
  <c r="E45" i="44"/>
  <c r="C47" i="44"/>
  <c r="D47" i="44"/>
  <c r="E47" i="44"/>
  <c r="D48" i="44"/>
  <c r="E48" i="44"/>
  <c r="C66" i="44"/>
  <c r="C68" i="44"/>
  <c r="C69" i="44"/>
  <c r="C73" i="44"/>
  <c r="C76" i="44" s="1"/>
  <c r="C75" i="44"/>
  <c r="C80" i="44"/>
  <c r="C83" i="44" s="1"/>
  <c r="C82" i="44"/>
  <c r="C4" i="43"/>
  <c r="D4" i="43"/>
  <c r="E4" i="43"/>
  <c r="C6" i="43"/>
  <c r="D6" i="43"/>
  <c r="E6" i="43"/>
  <c r="C7" i="43"/>
  <c r="D7" i="43"/>
  <c r="E7" i="43"/>
  <c r="C11" i="43"/>
  <c r="D11" i="43"/>
  <c r="E11" i="43"/>
  <c r="F11" i="43"/>
  <c r="G11" i="43"/>
  <c r="G14" i="43" s="1"/>
  <c r="C13" i="43"/>
  <c r="D13" i="43"/>
  <c r="E13" i="43"/>
  <c r="F13" i="43"/>
  <c r="G13" i="43"/>
  <c r="D14" i="43"/>
  <c r="E14" i="43"/>
  <c r="F14" i="43"/>
  <c r="C18" i="43"/>
  <c r="D18" i="43"/>
  <c r="D21" i="43" s="1"/>
  <c r="E18" i="43"/>
  <c r="E21" i="43" s="1"/>
  <c r="F18" i="43"/>
  <c r="F21" i="43" s="1"/>
  <c r="G18" i="43"/>
  <c r="H18" i="43"/>
  <c r="H21" i="43" s="1"/>
  <c r="I18" i="43"/>
  <c r="J18" i="43"/>
  <c r="C20" i="43"/>
  <c r="D20" i="43"/>
  <c r="E20" i="43"/>
  <c r="F20" i="43"/>
  <c r="G20" i="43"/>
  <c r="H20" i="43"/>
  <c r="I20" i="43"/>
  <c r="J20" i="43"/>
  <c r="G21" i="43"/>
  <c r="I21" i="43"/>
  <c r="J21" i="43"/>
  <c r="C25" i="43"/>
  <c r="D25" i="43"/>
  <c r="E25" i="43"/>
  <c r="E28" i="43" s="1"/>
  <c r="F25" i="43"/>
  <c r="G25" i="43"/>
  <c r="H25" i="43"/>
  <c r="I25" i="43"/>
  <c r="I28" i="43" s="1"/>
  <c r="J25" i="43"/>
  <c r="K25" i="43"/>
  <c r="L25" i="43"/>
  <c r="M25" i="43"/>
  <c r="M28" i="43" s="1"/>
  <c r="N25" i="43"/>
  <c r="D28" i="43"/>
  <c r="F28" i="43"/>
  <c r="G28" i="43"/>
  <c r="H28" i="43"/>
  <c r="J28" i="43"/>
  <c r="K28" i="43"/>
  <c r="L28" i="43"/>
  <c r="N28" i="43"/>
  <c r="C32" i="43"/>
  <c r="D32" i="43"/>
  <c r="E32" i="43"/>
  <c r="F32" i="43"/>
  <c r="G32" i="43"/>
  <c r="H32" i="43"/>
  <c r="I32" i="43"/>
  <c r="J32" i="43"/>
  <c r="K32" i="43"/>
  <c r="L32" i="43"/>
  <c r="M32" i="43"/>
  <c r="N32" i="43"/>
  <c r="C34" i="43"/>
  <c r="D34" i="43"/>
  <c r="E34" i="43"/>
  <c r="F34" i="43"/>
  <c r="G34" i="43"/>
  <c r="H34" i="43"/>
  <c r="I34" i="43"/>
  <c r="J34" i="43"/>
  <c r="K34" i="43"/>
  <c r="L34" i="43"/>
  <c r="M34" i="43"/>
  <c r="N34" i="43"/>
  <c r="C35" i="43"/>
  <c r="D35" i="43"/>
  <c r="E35" i="43"/>
  <c r="F35" i="43"/>
  <c r="G35" i="43"/>
  <c r="H35" i="43"/>
  <c r="I35" i="43"/>
  <c r="J35" i="43"/>
  <c r="K35" i="43"/>
  <c r="L35" i="43"/>
  <c r="M35" i="43"/>
  <c r="N35" i="43"/>
  <c r="C39" i="43"/>
  <c r="C42" i="43" s="1"/>
  <c r="D39" i="43"/>
  <c r="E39" i="43"/>
  <c r="F39" i="43"/>
  <c r="F42" i="43" s="1"/>
  <c r="G39" i="43"/>
  <c r="G42" i="43" s="1"/>
  <c r="H39" i="43"/>
  <c r="I39" i="43"/>
  <c r="J39" i="43"/>
  <c r="J42" i="43" s="1"/>
  <c r="K39" i="43"/>
  <c r="K42" i="43" s="1"/>
  <c r="L39" i="43"/>
  <c r="M39" i="43"/>
  <c r="N39" i="43"/>
  <c r="N42" i="43" s="1"/>
  <c r="O39" i="43"/>
  <c r="O42" i="43" s="1"/>
  <c r="C41" i="43"/>
  <c r="D41" i="43"/>
  <c r="E41" i="43"/>
  <c r="F41" i="43"/>
  <c r="G41" i="43"/>
  <c r="H41" i="43"/>
  <c r="I41" i="43"/>
  <c r="J41" i="43"/>
  <c r="K41" i="43"/>
  <c r="L41" i="43"/>
  <c r="M41" i="43"/>
  <c r="N41" i="43"/>
  <c r="O41" i="43"/>
  <c r="D42" i="43"/>
  <c r="E42" i="43"/>
  <c r="H42" i="43"/>
  <c r="I42" i="43"/>
  <c r="L42" i="43"/>
  <c r="M42" i="43"/>
  <c r="C46" i="43"/>
  <c r="B59" i="43" s="1"/>
  <c r="D56" i="43" s="1"/>
  <c r="D46" i="43"/>
  <c r="D49" i="43" s="1"/>
  <c r="E46" i="43"/>
  <c r="E49" i="43" s="1"/>
  <c r="F46" i="43"/>
  <c r="G46" i="43"/>
  <c r="G49" i="43" s="1"/>
  <c r="H46" i="43"/>
  <c r="H49" i="43" s="1"/>
  <c r="I46" i="43"/>
  <c r="I49" i="43" s="1"/>
  <c r="J46" i="43"/>
  <c r="K46" i="43"/>
  <c r="K49" i="43" s="1"/>
  <c r="C48" i="43"/>
  <c r="D48" i="43"/>
  <c r="E48" i="43"/>
  <c r="F48" i="43"/>
  <c r="G48" i="43"/>
  <c r="H48" i="43"/>
  <c r="I48" i="43"/>
  <c r="J48" i="43"/>
  <c r="K48" i="43"/>
  <c r="F49" i="43"/>
  <c r="J49" i="43"/>
  <c r="C53" i="43"/>
  <c r="D53" i="43"/>
  <c r="E53" i="43"/>
  <c r="E56" i="43" s="1"/>
  <c r="F53" i="43"/>
  <c r="C55" i="43"/>
  <c r="D55" i="43"/>
  <c r="E55" i="43"/>
  <c r="F55" i="43"/>
  <c r="F56" i="43"/>
  <c r="C4" i="42"/>
  <c r="D4" i="42"/>
  <c r="E4" i="42"/>
  <c r="F4" i="42"/>
  <c r="G4" i="42"/>
  <c r="B95" i="42" s="1"/>
  <c r="H4" i="42"/>
  <c r="I4" i="42"/>
  <c r="J4" i="42"/>
  <c r="K4" i="42"/>
  <c r="L4" i="42"/>
  <c r="M4" i="42"/>
  <c r="N4" i="42"/>
  <c r="N7" i="42" s="1"/>
  <c r="O4" i="42"/>
  <c r="C6" i="42"/>
  <c r="D6" i="42"/>
  <c r="E6" i="42"/>
  <c r="F6" i="42"/>
  <c r="G6" i="42"/>
  <c r="H6" i="42"/>
  <c r="I6" i="42"/>
  <c r="J6" i="42"/>
  <c r="K6" i="42"/>
  <c r="L6" i="42"/>
  <c r="M6" i="42"/>
  <c r="N6" i="42"/>
  <c r="O6" i="42"/>
  <c r="C11" i="42"/>
  <c r="D11" i="42"/>
  <c r="E11" i="42"/>
  <c r="F11" i="42"/>
  <c r="G11" i="42"/>
  <c r="H11" i="42"/>
  <c r="I11" i="42"/>
  <c r="J11" i="42"/>
  <c r="K11" i="42"/>
  <c r="K14" i="42" s="1"/>
  <c r="L11" i="42"/>
  <c r="M11" i="42"/>
  <c r="N11" i="42"/>
  <c r="O11" i="42"/>
  <c r="P11" i="42"/>
  <c r="Q11" i="42"/>
  <c r="Q14" i="42" s="1"/>
  <c r="C13" i="42"/>
  <c r="D13" i="42"/>
  <c r="E13" i="42"/>
  <c r="F13" i="42"/>
  <c r="G13" i="42"/>
  <c r="H13" i="42"/>
  <c r="I13" i="42"/>
  <c r="J13" i="42"/>
  <c r="K13" i="42"/>
  <c r="L13" i="42"/>
  <c r="M13" i="42"/>
  <c r="N13" i="42"/>
  <c r="O13" i="42"/>
  <c r="P13" i="42"/>
  <c r="Q13" i="42"/>
  <c r="C18" i="42"/>
  <c r="D18" i="42"/>
  <c r="E18" i="42"/>
  <c r="E20" i="42" s="1"/>
  <c r="F18" i="42"/>
  <c r="F20" i="42" s="1"/>
  <c r="G18" i="42"/>
  <c r="H18" i="42"/>
  <c r="I18" i="42"/>
  <c r="J18" i="42"/>
  <c r="K18" i="42"/>
  <c r="K20" i="42" s="1"/>
  <c r="L18" i="42"/>
  <c r="L20" i="42" s="1"/>
  <c r="M18" i="42"/>
  <c r="N18" i="42"/>
  <c r="O18" i="42"/>
  <c r="P18" i="42"/>
  <c r="Q18" i="42"/>
  <c r="Q20" i="42" s="1"/>
  <c r="R18" i="42"/>
  <c r="R20" i="42" s="1"/>
  <c r="S18" i="42"/>
  <c r="T18" i="42"/>
  <c r="U18" i="42"/>
  <c r="V18" i="42"/>
  <c r="W18" i="42"/>
  <c r="W20" i="42" s="1"/>
  <c r="X18" i="42"/>
  <c r="X20" i="42" s="1"/>
  <c r="Y18" i="42"/>
  <c r="Z18" i="42"/>
  <c r="AA18" i="42"/>
  <c r="AB18" i="42"/>
  <c r="AC18" i="42"/>
  <c r="AC20" i="42" s="1"/>
  <c r="AD18" i="42"/>
  <c r="AD20" i="42" s="1"/>
  <c r="AE18" i="42"/>
  <c r="AF18" i="42"/>
  <c r="C24" i="42"/>
  <c r="D24" i="42"/>
  <c r="E24" i="42"/>
  <c r="F24" i="42"/>
  <c r="F27" i="42" s="1"/>
  <c r="G24" i="42"/>
  <c r="H24" i="42"/>
  <c r="I24" i="42"/>
  <c r="J24" i="42"/>
  <c r="K24" i="42"/>
  <c r="L24" i="42"/>
  <c r="L27" i="42" s="1"/>
  <c r="M24" i="42"/>
  <c r="N24" i="42"/>
  <c r="O24" i="42"/>
  <c r="P24" i="42"/>
  <c r="Q24" i="42"/>
  <c r="R24" i="42"/>
  <c r="R27" i="42" s="1"/>
  <c r="S24" i="42"/>
  <c r="T24" i="42"/>
  <c r="U24" i="42"/>
  <c r="V24" i="42"/>
  <c r="W24" i="42"/>
  <c r="X24" i="42"/>
  <c r="X27" i="42" s="1"/>
  <c r="Y24" i="42"/>
  <c r="Z24" i="42"/>
  <c r="AA24" i="42"/>
  <c r="AB24" i="42"/>
  <c r="AC24" i="42"/>
  <c r="AD24" i="42"/>
  <c r="AD27" i="42" s="1"/>
  <c r="C26" i="42"/>
  <c r="D26" i="42"/>
  <c r="E26" i="42"/>
  <c r="F26" i="42"/>
  <c r="G26" i="42"/>
  <c r="H26" i="42"/>
  <c r="I26" i="42"/>
  <c r="J26" i="42"/>
  <c r="K26" i="42"/>
  <c r="L26" i="42"/>
  <c r="M26" i="42"/>
  <c r="N26" i="42"/>
  <c r="O26" i="42"/>
  <c r="P26" i="42"/>
  <c r="Q26" i="42"/>
  <c r="R26" i="42"/>
  <c r="S26" i="42"/>
  <c r="T26" i="42"/>
  <c r="U26" i="42"/>
  <c r="V26" i="42"/>
  <c r="W26" i="42"/>
  <c r="X26" i="42"/>
  <c r="Y26" i="42"/>
  <c r="Z26" i="42"/>
  <c r="AA26" i="42"/>
  <c r="AB26" i="42"/>
  <c r="AC26" i="42"/>
  <c r="AD26" i="42"/>
  <c r="C31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C33" i="42"/>
  <c r="D33" i="42"/>
  <c r="E33" i="42"/>
  <c r="F33" i="42"/>
  <c r="G33" i="42"/>
  <c r="H33" i="42"/>
  <c r="I33" i="42"/>
  <c r="J33" i="42"/>
  <c r="K33" i="42"/>
  <c r="L33" i="42"/>
  <c r="M33" i="42"/>
  <c r="N33" i="42"/>
  <c r="O33" i="42"/>
  <c r="P33" i="42"/>
  <c r="Q33" i="42"/>
  <c r="R33" i="42"/>
  <c r="S33" i="42"/>
  <c r="T33" i="42"/>
  <c r="U33" i="42"/>
  <c r="W33" i="42"/>
  <c r="X33" i="42"/>
  <c r="Y33" i="42"/>
  <c r="Z33" i="42"/>
  <c r="AA33" i="42"/>
  <c r="C38" i="42"/>
  <c r="D38" i="42"/>
  <c r="E38" i="42"/>
  <c r="F38" i="42"/>
  <c r="G38" i="42"/>
  <c r="H38" i="42"/>
  <c r="I38" i="42"/>
  <c r="J38" i="42"/>
  <c r="K38" i="42"/>
  <c r="L38" i="42"/>
  <c r="M38" i="42"/>
  <c r="N38" i="42"/>
  <c r="N41" i="42" s="1"/>
  <c r="O38" i="42"/>
  <c r="O41" i="42" s="1"/>
  <c r="P38" i="42"/>
  <c r="Q38" i="42"/>
  <c r="C40" i="42"/>
  <c r="D40" i="42"/>
  <c r="E40" i="42"/>
  <c r="F40" i="42"/>
  <c r="G40" i="42"/>
  <c r="H40" i="42"/>
  <c r="I40" i="42"/>
  <c r="J40" i="42"/>
  <c r="K40" i="42"/>
  <c r="L40" i="42"/>
  <c r="M40" i="42"/>
  <c r="N40" i="42"/>
  <c r="O40" i="42"/>
  <c r="P40" i="42"/>
  <c r="Q40" i="42"/>
  <c r="C45" i="42"/>
  <c r="D45" i="42"/>
  <c r="E45" i="42"/>
  <c r="F45" i="42"/>
  <c r="G45" i="42"/>
  <c r="H45" i="42"/>
  <c r="H48" i="42" s="1"/>
  <c r="C47" i="42"/>
  <c r="D47" i="42"/>
  <c r="E47" i="42"/>
  <c r="F47" i="42"/>
  <c r="G47" i="42"/>
  <c r="H47" i="42"/>
  <c r="C52" i="42"/>
  <c r="D52" i="42"/>
  <c r="C54" i="42"/>
  <c r="D54" i="42"/>
  <c r="C59" i="42"/>
  <c r="C61" i="42"/>
  <c r="C66" i="42"/>
  <c r="C68" i="42"/>
  <c r="C73" i="42"/>
  <c r="D73" i="42"/>
  <c r="C75" i="42"/>
  <c r="D75" i="42"/>
  <c r="C80" i="42"/>
  <c r="C82" i="42"/>
  <c r="C87" i="42"/>
  <c r="C89" i="42"/>
  <c r="C7" i="41"/>
  <c r="D7" i="41"/>
  <c r="D10" i="41" s="1"/>
  <c r="E7" i="41"/>
  <c r="E10" i="41" s="1"/>
  <c r="F7" i="41"/>
  <c r="G7" i="41"/>
  <c r="H7" i="41"/>
  <c r="C9" i="41"/>
  <c r="D9" i="41"/>
  <c r="E9" i="41"/>
  <c r="F9" i="41"/>
  <c r="G9" i="41"/>
  <c r="H9" i="41"/>
  <c r="F10" i="41"/>
  <c r="G10" i="41"/>
  <c r="H10" i="41"/>
  <c r="C13" i="41"/>
  <c r="D13" i="41"/>
  <c r="E13" i="41"/>
  <c r="E15" i="41" s="1"/>
  <c r="F13" i="41"/>
  <c r="F15" i="41" s="1"/>
  <c r="G13" i="41"/>
  <c r="G15" i="41" s="1"/>
  <c r="H13" i="41"/>
  <c r="H15" i="41" s="1"/>
  <c r="I13" i="41"/>
  <c r="J13" i="41"/>
  <c r="K13" i="41"/>
  <c r="K15" i="41" s="1"/>
  <c r="L13" i="41"/>
  <c r="L15" i="41" s="1"/>
  <c r="M13" i="41"/>
  <c r="M15" i="41" s="1"/>
  <c r="N13" i="41"/>
  <c r="N15" i="41" s="1"/>
  <c r="O13" i="41"/>
  <c r="P13" i="41"/>
  <c r="Q13" i="41"/>
  <c r="Q15" i="41" s="1"/>
  <c r="R13" i="41"/>
  <c r="R15" i="41" s="1"/>
  <c r="S13" i="41"/>
  <c r="S15" i="41" s="1"/>
  <c r="T13" i="41"/>
  <c r="T15" i="41" s="1"/>
  <c r="D15" i="41"/>
  <c r="I15" i="41"/>
  <c r="J15" i="41"/>
  <c r="O15" i="41"/>
  <c r="P15" i="41"/>
  <c r="C19" i="41"/>
  <c r="B39" i="41" s="1"/>
  <c r="D19" i="41"/>
  <c r="E19" i="41"/>
  <c r="F19" i="41"/>
  <c r="F22" i="41" s="1"/>
  <c r="G19" i="41"/>
  <c r="G22" i="41" s="1"/>
  <c r="H19" i="41"/>
  <c r="H22" i="41" s="1"/>
  <c r="I19" i="41"/>
  <c r="J19" i="41"/>
  <c r="K19" i="41"/>
  <c r="L19" i="41"/>
  <c r="L22" i="41" s="1"/>
  <c r="M19" i="41"/>
  <c r="M22" i="41" s="1"/>
  <c r="N19" i="41"/>
  <c r="N22" i="41" s="1"/>
  <c r="C21" i="41"/>
  <c r="D21" i="41"/>
  <c r="E21" i="41"/>
  <c r="F21" i="41"/>
  <c r="G21" i="41"/>
  <c r="H21" i="41"/>
  <c r="I21" i="41"/>
  <c r="J21" i="41"/>
  <c r="K21" i="41"/>
  <c r="L21" i="41"/>
  <c r="M21" i="41"/>
  <c r="N21" i="41"/>
  <c r="D22" i="41"/>
  <c r="E22" i="41"/>
  <c r="I22" i="41"/>
  <c r="J22" i="41"/>
  <c r="K22" i="41"/>
  <c r="C26" i="41"/>
  <c r="D26" i="41"/>
  <c r="D29" i="41" s="1"/>
  <c r="E26" i="41"/>
  <c r="E29" i="41" s="1"/>
  <c r="F26" i="41"/>
  <c r="G26" i="41"/>
  <c r="H26" i="41"/>
  <c r="I26" i="41"/>
  <c r="C28" i="41"/>
  <c r="D28" i="41"/>
  <c r="E28" i="41"/>
  <c r="F28" i="41"/>
  <c r="G28" i="41"/>
  <c r="H28" i="41"/>
  <c r="I28" i="41"/>
  <c r="C29" i="41"/>
  <c r="F29" i="41"/>
  <c r="G29" i="41"/>
  <c r="H29" i="41"/>
  <c r="I29" i="41"/>
  <c r="C33" i="41"/>
  <c r="D33" i="41"/>
  <c r="C35" i="41"/>
  <c r="D35" i="41"/>
  <c r="C36" i="41"/>
  <c r="D36" i="41"/>
  <c r="C5" i="40"/>
  <c r="D5" i="40"/>
  <c r="E5" i="40"/>
  <c r="F5" i="40"/>
  <c r="C7" i="40"/>
  <c r="D7" i="40"/>
  <c r="E7" i="40"/>
  <c r="F7" i="40"/>
  <c r="C8" i="40"/>
  <c r="D8" i="40"/>
  <c r="E8" i="40"/>
  <c r="F8" i="40"/>
  <c r="C12" i="40"/>
  <c r="D12" i="40"/>
  <c r="E12" i="40"/>
  <c r="F12" i="40"/>
  <c r="F15" i="40" s="1"/>
  <c r="G12" i="40"/>
  <c r="G15" i="40" s="1"/>
  <c r="H12" i="40"/>
  <c r="H15" i="40" s="1"/>
  <c r="I12" i="40"/>
  <c r="J12" i="40"/>
  <c r="C14" i="40"/>
  <c r="D14" i="40"/>
  <c r="E14" i="40"/>
  <c r="F14" i="40"/>
  <c r="G14" i="40"/>
  <c r="H14" i="40"/>
  <c r="I14" i="40"/>
  <c r="J14" i="40"/>
  <c r="D15" i="40"/>
  <c r="E15" i="40"/>
  <c r="I15" i="40"/>
  <c r="J15" i="40"/>
  <c r="C20" i="40"/>
  <c r="D20" i="40"/>
  <c r="E20" i="40"/>
  <c r="F20" i="40"/>
  <c r="G20" i="40"/>
  <c r="G23" i="40" s="1"/>
  <c r="H20" i="40"/>
  <c r="H23" i="40" s="1"/>
  <c r="I20" i="40"/>
  <c r="I23" i="40" s="1"/>
  <c r="J20" i="40"/>
  <c r="K20" i="40"/>
  <c r="L20" i="40"/>
  <c r="M20" i="40"/>
  <c r="M23" i="40" s="1"/>
  <c r="C22" i="40"/>
  <c r="D22" i="40"/>
  <c r="E22" i="40"/>
  <c r="F22" i="40"/>
  <c r="G22" i="40"/>
  <c r="H22" i="40"/>
  <c r="I22" i="40"/>
  <c r="J22" i="40"/>
  <c r="K22" i="40"/>
  <c r="L22" i="40"/>
  <c r="M22" i="40"/>
  <c r="D23" i="40"/>
  <c r="E23" i="40"/>
  <c r="F23" i="40"/>
  <c r="J23" i="40"/>
  <c r="K23" i="40"/>
  <c r="L23" i="40"/>
  <c r="D27" i="40"/>
  <c r="E27" i="40"/>
  <c r="F27" i="40"/>
  <c r="F30" i="40" s="1"/>
  <c r="G27" i="40"/>
  <c r="G30" i="40" s="1"/>
  <c r="H27" i="40"/>
  <c r="H30" i="40" s="1"/>
  <c r="I27" i="40"/>
  <c r="J27" i="40"/>
  <c r="K27" i="40"/>
  <c r="L27" i="40"/>
  <c r="L30" i="40" s="1"/>
  <c r="M27" i="40"/>
  <c r="M30" i="40" s="1"/>
  <c r="N27" i="40"/>
  <c r="N30" i="40" s="1"/>
  <c r="D29" i="40"/>
  <c r="E29" i="40"/>
  <c r="F29" i="40"/>
  <c r="G29" i="40"/>
  <c r="H29" i="40"/>
  <c r="I29" i="40"/>
  <c r="J29" i="40"/>
  <c r="K29" i="40"/>
  <c r="L29" i="40"/>
  <c r="M29" i="40"/>
  <c r="N29" i="40"/>
  <c r="E30" i="40"/>
  <c r="I30" i="40"/>
  <c r="J30" i="40"/>
  <c r="K30" i="40"/>
  <c r="D34" i="40"/>
  <c r="E34" i="40"/>
  <c r="F34" i="40"/>
  <c r="F37" i="40" s="1"/>
  <c r="G34" i="40"/>
  <c r="H34" i="40"/>
  <c r="H37" i="40" s="1"/>
  <c r="I34" i="40"/>
  <c r="I37" i="40" s="1"/>
  <c r="J34" i="40"/>
  <c r="J37" i="40" s="1"/>
  <c r="K34" i="40"/>
  <c r="K37" i="40" s="1"/>
  <c r="L34" i="40"/>
  <c r="L37" i="40" s="1"/>
  <c r="M34" i="40"/>
  <c r="N34" i="40"/>
  <c r="N37" i="40" s="1"/>
  <c r="O34" i="40"/>
  <c r="O37" i="40" s="1"/>
  <c r="D36" i="40"/>
  <c r="E36" i="40"/>
  <c r="F36" i="40"/>
  <c r="G36" i="40"/>
  <c r="H36" i="40"/>
  <c r="I36" i="40"/>
  <c r="J36" i="40"/>
  <c r="K36" i="40"/>
  <c r="L36" i="40"/>
  <c r="M36" i="40"/>
  <c r="N36" i="40"/>
  <c r="O36" i="40"/>
  <c r="E37" i="40"/>
  <c r="G37" i="40"/>
  <c r="M37" i="40"/>
  <c r="D41" i="40"/>
  <c r="E41" i="40"/>
  <c r="F41" i="40"/>
  <c r="G41" i="40"/>
  <c r="G44" i="40" s="1"/>
  <c r="H41" i="40"/>
  <c r="I41" i="40"/>
  <c r="J41" i="40"/>
  <c r="K41" i="40"/>
  <c r="L41" i="40"/>
  <c r="M41" i="40"/>
  <c r="M44" i="40" s="1"/>
  <c r="D43" i="40"/>
  <c r="E43" i="40"/>
  <c r="F43" i="40"/>
  <c r="G43" i="40"/>
  <c r="H43" i="40"/>
  <c r="I43" i="40"/>
  <c r="J43" i="40"/>
  <c r="K43" i="40"/>
  <c r="L43" i="40"/>
  <c r="M43" i="40"/>
  <c r="E44" i="40"/>
  <c r="F44" i="40"/>
  <c r="H44" i="40"/>
  <c r="I44" i="40"/>
  <c r="J44" i="40"/>
  <c r="K44" i="40"/>
  <c r="L44" i="40"/>
  <c r="D48" i="40"/>
  <c r="E48" i="40"/>
  <c r="E51" i="40" s="1"/>
  <c r="F48" i="40"/>
  <c r="F51" i="40" s="1"/>
  <c r="G48" i="40"/>
  <c r="G51" i="40" s="1"/>
  <c r="H48" i="40"/>
  <c r="H51" i="40" s="1"/>
  <c r="I48" i="40"/>
  <c r="J48" i="40"/>
  <c r="K48" i="40"/>
  <c r="K51" i="40" s="1"/>
  <c r="L48" i="40"/>
  <c r="L51" i="40" s="1"/>
  <c r="M48" i="40"/>
  <c r="M51" i="40" s="1"/>
  <c r="N48" i="40"/>
  <c r="N51" i="40" s="1"/>
  <c r="O48" i="40"/>
  <c r="P48" i="40"/>
  <c r="Q48" i="40"/>
  <c r="Q51" i="40" s="1"/>
  <c r="D50" i="40"/>
  <c r="E50" i="40"/>
  <c r="F50" i="40"/>
  <c r="G50" i="40"/>
  <c r="H50" i="40"/>
  <c r="I50" i="40"/>
  <c r="J50" i="40"/>
  <c r="K50" i="40"/>
  <c r="L50" i="40"/>
  <c r="M50" i="40"/>
  <c r="N50" i="40"/>
  <c r="O50" i="40"/>
  <c r="P50" i="40"/>
  <c r="Q50" i="40"/>
  <c r="D51" i="40"/>
  <c r="I51" i="40"/>
  <c r="J51" i="40"/>
  <c r="O51" i="40"/>
  <c r="P51" i="40"/>
  <c r="D55" i="40"/>
  <c r="E55" i="40"/>
  <c r="E58" i="40" s="1"/>
  <c r="F55" i="40"/>
  <c r="F58" i="40" s="1"/>
  <c r="G55" i="40"/>
  <c r="G58" i="40" s="1"/>
  <c r="H55" i="40"/>
  <c r="I55" i="40"/>
  <c r="J55" i="40"/>
  <c r="J58" i="40" s="1"/>
  <c r="K55" i="40"/>
  <c r="K58" i="40" s="1"/>
  <c r="L55" i="40"/>
  <c r="L58" i="40" s="1"/>
  <c r="M55" i="40"/>
  <c r="M58" i="40" s="1"/>
  <c r="N55" i="40"/>
  <c r="O55" i="40"/>
  <c r="P55" i="40"/>
  <c r="P58" i="40" s="1"/>
  <c r="Q55" i="40"/>
  <c r="Q58" i="40" s="1"/>
  <c r="R55" i="40"/>
  <c r="R58" i="40" s="1"/>
  <c r="S55" i="40"/>
  <c r="S58" i="40" s="1"/>
  <c r="T55" i="40"/>
  <c r="U55" i="40"/>
  <c r="D57" i="40"/>
  <c r="E57" i="40"/>
  <c r="F57" i="40"/>
  <c r="G57" i="40"/>
  <c r="H57" i="40"/>
  <c r="I57" i="40"/>
  <c r="J57" i="40"/>
  <c r="K57" i="40"/>
  <c r="L57" i="40"/>
  <c r="M57" i="40"/>
  <c r="N57" i="40"/>
  <c r="O57" i="40"/>
  <c r="P57" i="40"/>
  <c r="Q57" i="40"/>
  <c r="R57" i="40"/>
  <c r="S57" i="40"/>
  <c r="T57" i="40"/>
  <c r="U57" i="40"/>
  <c r="H58" i="40"/>
  <c r="I58" i="40"/>
  <c r="N58" i="40"/>
  <c r="O58" i="40"/>
  <c r="T58" i="40"/>
  <c r="U58" i="40"/>
  <c r="D62" i="40"/>
  <c r="E62" i="40"/>
  <c r="F62" i="40"/>
  <c r="G62" i="40"/>
  <c r="H62" i="40"/>
  <c r="I62" i="40"/>
  <c r="J62" i="40"/>
  <c r="K62" i="40"/>
  <c r="L62" i="40"/>
  <c r="M62" i="40"/>
  <c r="N62" i="40"/>
  <c r="O62" i="40"/>
  <c r="P62" i="40"/>
  <c r="Q62" i="40"/>
  <c r="R62" i="40"/>
  <c r="S62" i="40"/>
  <c r="T62" i="40"/>
  <c r="U62" i="40"/>
  <c r="V62" i="40"/>
  <c r="W62" i="40"/>
  <c r="X62" i="40"/>
  <c r="Y62" i="40"/>
  <c r="Z62" i="40"/>
  <c r="AA62" i="40"/>
  <c r="D64" i="40"/>
  <c r="E64" i="40"/>
  <c r="F64" i="40"/>
  <c r="G64" i="40"/>
  <c r="H64" i="40"/>
  <c r="I64" i="40"/>
  <c r="J64" i="40"/>
  <c r="K64" i="40"/>
  <c r="L64" i="40"/>
  <c r="M64" i="40"/>
  <c r="N64" i="40"/>
  <c r="O64" i="40"/>
  <c r="P64" i="40"/>
  <c r="Q64" i="40"/>
  <c r="R64" i="40"/>
  <c r="S64" i="40"/>
  <c r="T64" i="40"/>
  <c r="U64" i="40"/>
  <c r="V64" i="40"/>
  <c r="W64" i="40"/>
  <c r="X64" i="40"/>
  <c r="Y64" i="40"/>
  <c r="Z64" i="40"/>
  <c r="AA64" i="40"/>
  <c r="D65" i="40"/>
  <c r="E65" i="40"/>
  <c r="F65" i="40"/>
  <c r="G65" i="40"/>
  <c r="H65" i="40"/>
  <c r="I65" i="40"/>
  <c r="J65" i="40"/>
  <c r="K65" i="40"/>
  <c r="L65" i="40"/>
  <c r="M65" i="40"/>
  <c r="N65" i="40"/>
  <c r="O65" i="40"/>
  <c r="P65" i="40"/>
  <c r="Q65" i="40"/>
  <c r="R65" i="40"/>
  <c r="S65" i="40"/>
  <c r="T65" i="40"/>
  <c r="U65" i="40"/>
  <c r="V65" i="40"/>
  <c r="W65" i="40"/>
  <c r="X65" i="40"/>
  <c r="Y65" i="40"/>
  <c r="Z65" i="40"/>
  <c r="AA65" i="40"/>
  <c r="D69" i="40"/>
  <c r="E69" i="40"/>
  <c r="F69" i="40"/>
  <c r="G69" i="40"/>
  <c r="G71" i="40" s="1"/>
  <c r="H69" i="40"/>
  <c r="H71" i="40" s="1"/>
  <c r="I69" i="40"/>
  <c r="I71" i="40" s="1"/>
  <c r="J69" i="40"/>
  <c r="K69" i="40"/>
  <c r="L69" i="40"/>
  <c r="M69" i="40"/>
  <c r="M71" i="40" s="1"/>
  <c r="N69" i="40"/>
  <c r="N71" i="40" s="1"/>
  <c r="O69" i="40"/>
  <c r="O71" i="40" s="1"/>
  <c r="P69" i="40"/>
  <c r="Q69" i="40"/>
  <c r="R69" i="40"/>
  <c r="S69" i="40"/>
  <c r="S71" i="40" s="1"/>
  <c r="T69" i="40"/>
  <c r="T71" i="40" s="1"/>
  <c r="U69" i="40"/>
  <c r="U71" i="40" s="1"/>
  <c r="V69" i="40"/>
  <c r="W69" i="40"/>
  <c r="X69" i="40"/>
  <c r="Y69" i="40"/>
  <c r="Y71" i="40" s="1"/>
  <c r="E71" i="40"/>
  <c r="F71" i="40"/>
  <c r="J71" i="40"/>
  <c r="K71" i="40"/>
  <c r="L71" i="40"/>
  <c r="P71" i="40"/>
  <c r="Q71" i="40"/>
  <c r="R71" i="40"/>
  <c r="V71" i="40"/>
  <c r="W71" i="40"/>
  <c r="X71" i="40"/>
  <c r="D76" i="40"/>
  <c r="E76" i="40"/>
  <c r="F76" i="40"/>
  <c r="G76" i="40"/>
  <c r="H76" i="40"/>
  <c r="H79" i="40" s="1"/>
  <c r="I76" i="40"/>
  <c r="J76" i="40"/>
  <c r="K76" i="40"/>
  <c r="L76" i="40"/>
  <c r="M76" i="40"/>
  <c r="N76" i="40"/>
  <c r="N79" i="40" s="1"/>
  <c r="O76" i="40"/>
  <c r="P76" i="40"/>
  <c r="Q76" i="40"/>
  <c r="R76" i="40"/>
  <c r="S76" i="40"/>
  <c r="T76" i="40"/>
  <c r="T79" i="40" s="1"/>
  <c r="U76" i="40"/>
  <c r="V76" i="40"/>
  <c r="D78" i="40"/>
  <c r="E78" i="40"/>
  <c r="F78" i="40"/>
  <c r="G78" i="40"/>
  <c r="H78" i="40"/>
  <c r="I78" i="40"/>
  <c r="J78" i="40"/>
  <c r="K78" i="40"/>
  <c r="L78" i="40"/>
  <c r="M78" i="40"/>
  <c r="N78" i="40"/>
  <c r="O78" i="40"/>
  <c r="P78" i="40"/>
  <c r="Q78" i="40"/>
  <c r="R78" i="40"/>
  <c r="S78" i="40"/>
  <c r="T78" i="40"/>
  <c r="U78" i="40"/>
  <c r="V78" i="40"/>
  <c r="E79" i="40"/>
  <c r="F79" i="40"/>
  <c r="G79" i="40"/>
  <c r="I79" i="40"/>
  <c r="J79" i="40"/>
  <c r="K79" i="40"/>
  <c r="L79" i="40"/>
  <c r="M79" i="40"/>
  <c r="O79" i="40"/>
  <c r="P79" i="40"/>
  <c r="Q79" i="40"/>
  <c r="R79" i="40"/>
  <c r="S79" i="40"/>
  <c r="U79" i="40"/>
  <c r="V79" i="40"/>
  <c r="D83" i="40"/>
  <c r="D86" i="40" s="1"/>
  <c r="E83" i="40"/>
  <c r="E86" i="40" s="1"/>
  <c r="F83" i="40"/>
  <c r="F86" i="40" s="1"/>
  <c r="G83" i="40"/>
  <c r="H83" i="40"/>
  <c r="I83" i="40"/>
  <c r="I86" i="40" s="1"/>
  <c r="J83" i="40"/>
  <c r="J86" i="40" s="1"/>
  <c r="K83" i="40"/>
  <c r="K86" i="40" s="1"/>
  <c r="L83" i="40"/>
  <c r="L86" i="40" s="1"/>
  <c r="M83" i="40"/>
  <c r="N83" i="40"/>
  <c r="O83" i="40"/>
  <c r="O86" i="40" s="1"/>
  <c r="P83" i="40"/>
  <c r="P86" i="40" s="1"/>
  <c r="Q83" i="40"/>
  <c r="Q86" i="40" s="1"/>
  <c r="D85" i="40"/>
  <c r="E85" i="40"/>
  <c r="F85" i="40"/>
  <c r="G85" i="40"/>
  <c r="H85" i="40"/>
  <c r="I85" i="40"/>
  <c r="J85" i="40"/>
  <c r="K85" i="40"/>
  <c r="L85" i="40"/>
  <c r="M85" i="40"/>
  <c r="N85" i="40"/>
  <c r="O85" i="40"/>
  <c r="P85" i="40"/>
  <c r="Q85" i="40"/>
  <c r="G86" i="40"/>
  <c r="H86" i="40"/>
  <c r="M86" i="40"/>
  <c r="N86" i="40"/>
  <c r="B89" i="40"/>
  <c r="C4" i="39"/>
  <c r="D4" i="39"/>
  <c r="D7" i="39" s="1"/>
  <c r="E4" i="39"/>
  <c r="E7" i="39" s="1"/>
  <c r="C6" i="39"/>
  <c r="D6" i="39"/>
  <c r="E6" i="39"/>
  <c r="C11" i="39"/>
  <c r="D11" i="39"/>
  <c r="E11" i="39"/>
  <c r="F11" i="39"/>
  <c r="F14" i="39" s="1"/>
  <c r="G11" i="39"/>
  <c r="H11" i="39"/>
  <c r="I11" i="39"/>
  <c r="J11" i="39"/>
  <c r="K11" i="39"/>
  <c r="L11" i="39"/>
  <c r="L14" i="39" s="1"/>
  <c r="C13" i="39"/>
  <c r="D13" i="39"/>
  <c r="E13" i="39"/>
  <c r="F13" i="39"/>
  <c r="G13" i="39"/>
  <c r="H13" i="39"/>
  <c r="I13" i="39"/>
  <c r="J13" i="39"/>
  <c r="K13" i="39"/>
  <c r="L13" i="39"/>
  <c r="D14" i="39"/>
  <c r="E14" i="39"/>
  <c r="G14" i="39"/>
  <c r="H14" i="39"/>
  <c r="I14" i="39"/>
  <c r="J14" i="39"/>
  <c r="K14" i="39"/>
  <c r="C18" i="39"/>
  <c r="D18" i="39"/>
  <c r="E18" i="39"/>
  <c r="F18" i="39"/>
  <c r="F21" i="39" s="1"/>
  <c r="G18" i="39"/>
  <c r="G21" i="39" s="1"/>
  <c r="H18" i="39"/>
  <c r="I18" i="39"/>
  <c r="J18" i="39"/>
  <c r="K18" i="39"/>
  <c r="L18" i="39"/>
  <c r="L21" i="39" s="1"/>
  <c r="M18" i="39"/>
  <c r="M21" i="39" s="1"/>
  <c r="N18" i="39"/>
  <c r="O18" i="39"/>
  <c r="C20" i="39"/>
  <c r="D20" i="39"/>
  <c r="E20" i="39"/>
  <c r="F20" i="39"/>
  <c r="G20" i="39"/>
  <c r="H20" i="39"/>
  <c r="I20" i="39"/>
  <c r="J20" i="39"/>
  <c r="K20" i="39"/>
  <c r="L20" i="39"/>
  <c r="M20" i="39"/>
  <c r="N20" i="39"/>
  <c r="O20" i="39"/>
  <c r="C21" i="39"/>
  <c r="D21" i="39"/>
  <c r="E21" i="39"/>
  <c r="H21" i="39"/>
  <c r="I21" i="39"/>
  <c r="J21" i="39"/>
  <c r="K21" i="39"/>
  <c r="N21" i="39"/>
  <c r="O21" i="39"/>
  <c r="C25" i="39"/>
  <c r="C28" i="39" s="1"/>
  <c r="D25" i="39"/>
  <c r="D28" i="39" s="1"/>
  <c r="E25" i="39"/>
  <c r="F25" i="39"/>
  <c r="G25" i="39"/>
  <c r="H25" i="39"/>
  <c r="I25" i="39"/>
  <c r="I28" i="39" s="1"/>
  <c r="J25" i="39"/>
  <c r="J28" i="39" s="1"/>
  <c r="K25" i="39"/>
  <c r="L25" i="39"/>
  <c r="M25" i="39"/>
  <c r="N25" i="39"/>
  <c r="O25" i="39"/>
  <c r="O28" i="39" s="1"/>
  <c r="P25" i="39"/>
  <c r="P28" i="39" s="1"/>
  <c r="Q25" i="39"/>
  <c r="R25" i="39"/>
  <c r="S25" i="39"/>
  <c r="T25" i="39"/>
  <c r="U25" i="39"/>
  <c r="U28" i="39" s="1"/>
  <c r="C27" i="39"/>
  <c r="D27" i="39"/>
  <c r="E27" i="39"/>
  <c r="F27" i="39"/>
  <c r="G27" i="39"/>
  <c r="H27" i="39"/>
  <c r="I27" i="39"/>
  <c r="J27" i="39"/>
  <c r="K27" i="39"/>
  <c r="L27" i="39"/>
  <c r="M27" i="39"/>
  <c r="N27" i="39"/>
  <c r="O27" i="39"/>
  <c r="P27" i="39"/>
  <c r="Q27" i="39"/>
  <c r="R27" i="39"/>
  <c r="S27" i="39"/>
  <c r="T27" i="39"/>
  <c r="U27" i="39"/>
  <c r="E28" i="39"/>
  <c r="F28" i="39"/>
  <c r="G28" i="39"/>
  <c r="H28" i="39"/>
  <c r="K28" i="39"/>
  <c r="L28" i="39"/>
  <c r="M28" i="39"/>
  <c r="N28" i="39"/>
  <c r="Q28" i="39"/>
  <c r="R28" i="39"/>
  <c r="S28" i="39"/>
  <c r="T28" i="39"/>
  <c r="C32" i="39"/>
  <c r="D32" i="39"/>
  <c r="E32" i="39"/>
  <c r="F32" i="39"/>
  <c r="G32" i="39"/>
  <c r="G34" i="39" s="1"/>
  <c r="H32" i="39"/>
  <c r="I32" i="39"/>
  <c r="J32" i="39"/>
  <c r="K32" i="39"/>
  <c r="L32" i="39"/>
  <c r="M32" i="39"/>
  <c r="M34" i="39" s="1"/>
  <c r="N32" i="39"/>
  <c r="O32" i="39"/>
  <c r="C34" i="39"/>
  <c r="D34" i="39"/>
  <c r="E34" i="39"/>
  <c r="F34" i="39"/>
  <c r="H34" i="39"/>
  <c r="I34" i="39"/>
  <c r="J34" i="39"/>
  <c r="K34" i="39"/>
  <c r="L34" i="39"/>
  <c r="N34" i="39"/>
  <c r="O34" i="39"/>
  <c r="C38" i="39"/>
  <c r="D38" i="39"/>
  <c r="D41" i="39" s="1"/>
  <c r="E38" i="39"/>
  <c r="E41" i="39" s="1"/>
  <c r="F38" i="39"/>
  <c r="G38" i="39"/>
  <c r="H38" i="39"/>
  <c r="I38" i="39"/>
  <c r="J38" i="39"/>
  <c r="J41" i="39" s="1"/>
  <c r="K38" i="39"/>
  <c r="K41" i="39" s="1"/>
  <c r="L38" i="39"/>
  <c r="M38" i="39"/>
  <c r="N38" i="39"/>
  <c r="O38" i="39"/>
  <c r="P38" i="39"/>
  <c r="P41" i="39" s="1"/>
  <c r="Q38" i="39"/>
  <c r="Q41" i="39" s="1"/>
  <c r="R38" i="39"/>
  <c r="C40" i="39"/>
  <c r="D40" i="39"/>
  <c r="E40" i="39"/>
  <c r="F40" i="39"/>
  <c r="G40" i="39"/>
  <c r="H40" i="39"/>
  <c r="I40" i="39"/>
  <c r="J40" i="39"/>
  <c r="K40" i="39"/>
  <c r="L40" i="39"/>
  <c r="M40" i="39"/>
  <c r="N40" i="39"/>
  <c r="O40" i="39"/>
  <c r="P40" i="39"/>
  <c r="Q40" i="39"/>
  <c r="R40" i="39"/>
  <c r="C41" i="39"/>
  <c r="F41" i="39"/>
  <c r="G41" i="39"/>
  <c r="H41" i="39"/>
  <c r="I41" i="39"/>
  <c r="L41" i="39"/>
  <c r="M41" i="39"/>
  <c r="N41" i="39"/>
  <c r="O41" i="39"/>
  <c r="R41" i="39"/>
  <c r="C45" i="39"/>
  <c r="C48" i="39" s="1"/>
  <c r="D45" i="39"/>
  <c r="D48" i="39" s="1"/>
  <c r="E45" i="39"/>
  <c r="E48" i="39" s="1"/>
  <c r="F45" i="39"/>
  <c r="G45" i="39"/>
  <c r="H45" i="39"/>
  <c r="H48" i="39" s="1"/>
  <c r="I45" i="39"/>
  <c r="I48" i="39" s="1"/>
  <c r="J45" i="39"/>
  <c r="J48" i="39" s="1"/>
  <c r="K45" i="39"/>
  <c r="K48" i="39" s="1"/>
  <c r="L45" i="39"/>
  <c r="M45" i="39"/>
  <c r="N45" i="39"/>
  <c r="N48" i="39" s="1"/>
  <c r="O45" i="39"/>
  <c r="O48" i="39" s="1"/>
  <c r="P45" i="39"/>
  <c r="P48" i="39" s="1"/>
  <c r="C47" i="39"/>
  <c r="D47" i="39"/>
  <c r="E47" i="39"/>
  <c r="F47" i="39"/>
  <c r="G47" i="39"/>
  <c r="H47" i="39"/>
  <c r="I47" i="39"/>
  <c r="J47" i="39"/>
  <c r="K47" i="39"/>
  <c r="L47" i="39"/>
  <c r="M47" i="39"/>
  <c r="N47" i="39"/>
  <c r="O47" i="39"/>
  <c r="P47" i="39"/>
  <c r="F48" i="39"/>
  <c r="G48" i="39"/>
  <c r="L48" i="39"/>
  <c r="M48" i="39"/>
  <c r="C52" i="39"/>
  <c r="D52" i="39"/>
  <c r="D55" i="39" s="1"/>
  <c r="E52" i="39"/>
  <c r="E55" i="39" s="1"/>
  <c r="F52" i="39"/>
  <c r="G52" i="39"/>
  <c r="G55" i="39" s="1"/>
  <c r="H52" i="39"/>
  <c r="H55" i="39" s="1"/>
  <c r="I52" i="39"/>
  <c r="I55" i="39" s="1"/>
  <c r="J52" i="39"/>
  <c r="J55" i="39" s="1"/>
  <c r="K52" i="39"/>
  <c r="K55" i="39" s="1"/>
  <c r="C54" i="39"/>
  <c r="D54" i="39"/>
  <c r="E54" i="39"/>
  <c r="F54" i="39"/>
  <c r="G54" i="39"/>
  <c r="H54" i="39"/>
  <c r="I54" i="39"/>
  <c r="J54" i="39"/>
  <c r="K54" i="39"/>
  <c r="F55" i="39"/>
  <c r="C59" i="39"/>
  <c r="B65" i="39" s="1"/>
  <c r="D59" i="39"/>
  <c r="E59" i="39"/>
  <c r="F59" i="39"/>
  <c r="C61" i="39"/>
  <c r="D61" i="39"/>
  <c r="E61" i="39"/>
  <c r="F61" i="39"/>
  <c r="D62" i="39"/>
  <c r="E62" i="39"/>
  <c r="F62" i="39"/>
  <c r="C8" i="38"/>
  <c r="G2" i="38" s="1"/>
  <c r="D8" i="38"/>
  <c r="E8" i="38"/>
  <c r="F8" i="38"/>
  <c r="G8" i="38"/>
  <c r="H8" i="38"/>
  <c r="I8" i="38"/>
  <c r="J8" i="38"/>
  <c r="K8" i="38"/>
  <c r="L8" i="38"/>
  <c r="M8" i="38"/>
  <c r="N8" i="38"/>
  <c r="O8" i="38"/>
  <c r="P8" i="38"/>
  <c r="Q8" i="38"/>
  <c r="R8" i="38"/>
  <c r="S8" i="38"/>
  <c r="S10" i="38" s="1"/>
  <c r="T8" i="38"/>
  <c r="U8" i="38"/>
  <c r="V8" i="38"/>
  <c r="W8" i="38"/>
  <c r="X8" i="38"/>
  <c r="Y8" i="38"/>
  <c r="Y10" i="38" s="1"/>
  <c r="Z8" i="38"/>
  <c r="C14" i="38"/>
  <c r="D14" i="38"/>
  <c r="E14" i="38"/>
  <c r="F14" i="38"/>
  <c r="F17" i="38" s="1"/>
  <c r="G14" i="38"/>
  <c r="H14" i="38"/>
  <c r="H17" i="38" s="1"/>
  <c r="I14" i="38"/>
  <c r="I17" i="38" s="1"/>
  <c r="J14" i="38"/>
  <c r="J17" i="38" s="1"/>
  <c r="K14" i="38"/>
  <c r="K17" i="38" s="1"/>
  <c r="L14" i="38"/>
  <c r="L17" i="38" s="1"/>
  <c r="C16" i="38"/>
  <c r="D16" i="38"/>
  <c r="E16" i="38"/>
  <c r="F16" i="38"/>
  <c r="G16" i="38"/>
  <c r="H16" i="38"/>
  <c r="I16" i="38"/>
  <c r="J16" i="38"/>
  <c r="K16" i="38"/>
  <c r="L16" i="38"/>
  <c r="C21" i="38"/>
  <c r="D21" i="38"/>
  <c r="E21" i="38"/>
  <c r="F21" i="38"/>
  <c r="G21" i="38"/>
  <c r="H21" i="38"/>
  <c r="C23" i="38"/>
  <c r="D23" i="38"/>
  <c r="E23" i="38"/>
  <c r="F23" i="38"/>
  <c r="G23" i="38"/>
  <c r="H23" i="38"/>
  <c r="C28" i="38"/>
  <c r="C31" i="38" s="1"/>
  <c r="C30" i="38"/>
  <c r="C8" i="37"/>
  <c r="G2" i="37" s="1"/>
  <c r="D8" i="37"/>
  <c r="E8" i="37"/>
  <c r="F8" i="37"/>
  <c r="G8" i="37"/>
  <c r="H8" i="37"/>
  <c r="I8" i="37"/>
  <c r="J8" i="37"/>
  <c r="K8" i="37"/>
  <c r="L8" i="37"/>
  <c r="M8" i="37"/>
  <c r="M10" i="37" s="1"/>
  <c r="N8" i="37"/>
  <c r="O8" i="37"/>
  <c r="P8" i="37"/>
  <c r="Q8" i="37"/>
  <c r="R8" i="37"/>
  <c r="S8" i="37"/>
  <c r="S10" i="37" s="1"/>
  <c r="T8" i="37"/>
  <c r="U8" i="37"/>
  <c r="C14" i="37"/>
  <c r="D14" i="37"/>
  <c r="E14" i="37"/>
  <c r="E17" i="37" s="1"/>
  <c r="F14" i="37"/>
  <c r="G14" i="37"/>
  <c r="H14" i="37"/>
  <c r="I14" i="37"/>
  <c r="J14" i="37"/>
  <c r="K14" i="37"/>
  <c r="K17" i="37" s="1"/>
  <c r="L14" i="37"/>
  <c r="C16" i="37"/>
  <c r="D16" i="37"/>
  <c r="E16" i="37"/>
  <c r="F16" i="37"/>
  <c r="G16" i="37"/>
  <c r="H16" i="37"/>
  <c r="I16" i="37"/>
  <c r="J16" i="37"/>
  <c r="K16" i="37"/>
  <c r="L16" i="37"/>
  <c r="C21" i="37"/>
  <c r="C24" i="37" s="1"/>
  <c r="D21" i="37"/>
  <c r="D24" i="37" s="1"/>
  <c r="C23" i="37"/>
  <c r="D23" i="37"/>
  <c r="C28" i="37"/>
  <c r="C30" i="37"/>
  <c r="C35" i="37"/>
  <c r="C38" i="37" s="1"/>
  <c r="D35" i="37"/>
  <c r="E35" i="37"/>
  <c r="C37" i="37"/>
  <c r="D37" i="37"/>
  <c r="E37" i="37"/>
  <c r="C42" i="37"/>
  <c r="D42" i="37"/>
  <c r="E42" i="37"/>
  <c r="F42" i="37"/>
  <c r="G42" i="37"/>
  <c r="H42" i="37"/>
  <c r="I42" i="37"/>
  <c r="J42" i="37"/>
  <c r="K42" i="37"/>
  <c r="K45" i="37" s="1"/>
  <c r="L42" i="37"/>
  <c r="L45" i="37" s="1"/>
  <c r="M42" i="37"/>
  <c r="N42" i="37"/>
  <c r="O42" i="37"/>
  <c r="P42" i="37"/>
  <c r="Q42" i="37"/>
  <c r="Q45" i="37" s="1"/>
  <c r="R42" i="37"/>
  <c r="R45" i="37" s="1"/>
  <c r="S42" i="37"/>
  <c r="T42" i="37"/>
  <c r="U42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C49" i="37"/>
  <c r="C52" i="37" s="1"/>
  <c r="D49" i="37"/>
  <c r="C51" i="37"/>
  <c r="D51" i="37"/>
  <c r="C8" i="36"/>
  <c r="G2" i="36" s="1"/>
  <c r="D8" i="36"/>
  <c r="E8" i="36"/>
  <c r="E10" i="36" s="1"/>
  <c r="F8" i="36"/>
  <c r="F10" i="36" s="1"/>
  <c r="G8" i="36"/>
  <c r="G10" i="36" s="1"/>
  <c r="H8" i="36"/>
  <c r="I8" i="36"/>
  <c r="I10" i="36" s="1"/>
  <c r="C14" i="36"/>
  <c r="D14" i="36"/>
  <c r="E14" i="36"/>
  <c r="F14" i="36"/>
  <c r="G14" i="36"/>
  <c r="G17" i="36" s="1"/>
  <c r="H14" i="36"/>
  <c r="I14" i="36"/>
  <c r="J14" i="36"/>
  <c r="K14" i="36"/>
  <c r="L14" i="36"/>
  <c r="M14" i="36"/>
  <c r="M17" i="36" s="1"/>
  <c r="N14" i="36"/>
  <c r="O14" i="36"/>
  <c r="P14" i="36"/>
  <c r="C16" i="36"/>
  <c r="D16" i="36"/>
  <c r="E16" i="36"/>
  <c r="F16" i="36"/>
  <c r="G16" i="36"/>
  <c r="H16" i="36"/>
  <c r="I16" i="36"/>
  <c r="J16" i="36"/>
  <c r="K16" i="36"/>
  <c r="L16" i="36"/>
  <c r="M16" i="36"/>
  <c r="N16" i="36"/>
  <c r="O16" i="36"/>
  <c r="P16" i="36"/>
  <c r="C21" i="36"/>
  <c r="D21" i="36"/>
  <c r="D24" i="36" s="1"/>
  <c r="E21" i="36"/>
  <c r="F21" i="36"/>
  <c r="G21" i="36"/>
  <c r="H21" i="36"/>
  <c r="H24" i="36" s="1"/>
  <c r="I21" i="36"/>
  <c r="I24" i="36" s="1"/>
  <c r="J21" i="36"/>
  <c r="J24" i="36" s="1"/>
  <c r="C23" i="36"/>
  <c r="D23" i="36"/>
  <c r="E23" i="36"/>
  <c r="F23" i="36"/>
  <c r="G23" i="36"/>
  <c r="H23" i="36"/>
  <c r="I23" i="36"/>
  <c r="J23" i="36"/>
  <c r="C28" i="36"/>
  <c r="C30" i="36"/>
  <c r="C35" i="36"/>
  <c r="D35" i="36"/>
  <c r="C37" i="36"/>
  <c r="D37" i="36"/>
  <c r="C42" i="36"/>
  <c r="D42" i="36"/>
  <c r="E42" i="36"/>
  <c r="F42" i="36"/>
  <c r="G42" i="36"/>
  <c r="H42" i="36"/>
  <c r="I42" i="36"/>
  <c r="J42" i="36"/>
  <c r="K42" i="36"/>
  <c r="C44" i="36"/>
  <c r="D44" i="36"/>
  <c r="E44" i="36"/>
  <c r="F44" i="36"/>
  <c r="G44" i="36"/>
  <c r="H44" i="36"/>
  <c r="I44" i="36"/>
  <c r="J44" i="36"/>
  <c r="K44" i="36"/>
  <c r="C49" i="36"/>
  <c r="D49" i="36"/>
  <c r="E49" i="36"/>
  <c r="F49" i="36"/>
  <c r="G49" i="36"/>
  <c r="H49" i="36"/>
  <c r="I49" i="36"/>
  <c r="J49" i="36"/>
  <c r="C51" i="36"/>
  <c r="D51" i="36"/>
  <c r="E51" i="36"/>
  <c r="F51" i="36"/>
  <c r="G51" i="36"/>
  <c r="H51" i="36"/>
  <c r="I51" i="36"/>
  <c r="J51" i="36"/>
  <c r="C56" i="36"/>
  <c r="C58" i="36"/>
  <c r="C6" i="35"/>
  <c r="D6" i="35"/>
  <c r="E6" i="35"/>
  <c r="F6" i="35"/>
  <c r="G6" i="35"/>
  <c r="G9" i="35" s="1"/>
  <c r="H6" i="35"/>
  <c r="C8" i="35"/>
  <c r="D8" i="35"/>
  <c r="E8" i="35"/>
  <c r="F8" i="35"/>
  <c r="G8" i="35"/>
  <c r="H8" i="35"/>
  <c r="C13" i="35"/>
  <c r="G2" i="35" s="1"/>
  <c r="D13" i="35"/>
  <c r="E13" i="35"/>
  <c r="F13" i="35"/>
  <c r="G13" i="35"/>
  <c r="H13" i="35"/>
  <c r="I13" i="35"/>
  <c r="I15" i="35" s="1"/>
  <c r="J13" i="35"/>
  <c r="K13" i="35"/>
  <c r="L13" i="35"/>
  <c r="L15" i="35" s="1"/>
  <c r="M13" i="35"/>
  <c r="M15" i="35" s="1"/>
  <c r="N13" i="35"/>
  <c r="O13" i="35"/>
  <c r="O15" i="35" s="1"/>
  <c r="P13" i="35"/>
  <c r="Q13" i="35"/>
  <c r="R13" i="35"/>
  <c r="R15" i="35" s="1"/>
  <c r="C19" i="35"/>
  <c r="D19" i="35"/>
  <c r="E19" i="35"/>
  <c r="F19" i="35"/>
  <c r="G19" i="35"/>
  <c r="H19" i="35"/>
  <c r="I19" i="35"/>
  <c r="I22" i="35" s="1"/>
  <c r="J19" i="35"/>
  <c r="J22" i="35" s="1"/>
  <c r="K19" i="35"/>
  <c r="L19" i="35"/>
  <c r="M19" i="35"/>
  <c r="N19" i="35"/>
  <c r="O19" i="35"/>
  <c r="O22" i="35" s="1"/>
  <c r="P19" i="35"/>
  <c r="P22" i="35" s="1"/>
  <c r="Q19" i="35"/>
  <c r="R19" i="35"/>
  <c r="S19" i="35"/>
  <c r="T19" i="35"/>
  <c r="U19" i="35"/>
  <c r="U22" i="35" s="1"/>
  <c r="V19" i="35"/>
  <c r="V22" i="35" s="1"/>
  <c r="W19" i="35"/>
  <c r="H21" i="35"/>
  <c r="I21" i="35"/>
  <c r="J21" i="35"/>
  <c r="K21" i="35"/>
  <c r="L21" i="35"/>
  <c r="M21" i="35"/>
  <c r="N21" i="35"/>
  <c r="O21" i="35"/>
  <c r="P21" i="35"/>
  <c r="Q21" i="35"/>
  <c r="R21" i="35"/>
  <c r="S21" i="35"/>
  <c r="T21" i="35"/>
  <c r="U21" i="35"/>
  <c r="V21" i="35"/>
  <c r="W21" i="35"/>
  <c r="C26" i="35"/>
  <c r="D26" i="35"/>
  <c r="E26" i="35"/>
  <c r="F26" i="35"/>
  <c r="G26" i="35"/>
  <c r="H26" i="35"/>
  <c r="I26" i="35"/>
  <c r="J26" i="35"/>
  <c r="K26" i="35"/>
  <c r="L26" i="35"/>
  <c r="M26" i="35"/>
  <c r="M29" i="35" s="1"/>
  <c r="N26" i="35"/>
  <c r="F28" i="35"/>
  <c r="G28" i="35"/>
  <c r="H28" i="35"/>
  <c r="I28" i="35"/>
  <c r="J28" i="35"/>
  <c r="K28" i="35"/>
  <c r="L28" i="35"/>
  <c r="M28" i="35"/>
  <c r="N28" i="35"/>
  <c r="C33" i="35"/>
  <c r="D33" i="35"/>
  <c r="D36" i="35" s="1"/>
  <c r="E33" i="35"/>
  <c r="E36" i="35" s="1"/>
  <c r="D35" i="35"/>
  <c r="E35" i="35"/>
  <c r="C40" i="35"/>
  <c r="C42" i="35"/>
  <c r="M7" i="42" l="1"/>
  <c r="K27" i="42"/>
  <c r="Q27" i="42"/>
  <c r="W27" i="42"/>
  <c r="AC27" i="42"/>
  <c r="L41" i="42"/>
  <c r="C90" i="42"/>
  <c r="J7" i="42"/>
  <c r="AA34" i="42"/>
  <c r="I27" i="42"/>
  <c r="L14" i="42"/>
  <c r="S34" i="42"/>
  <c r="Y34" i="42"/>
  <c r="H14" i="42"/>
  <c r="O34" i="42"/>
  <c r="O14" i="42"/>
  <c r="AA27" i="42"/>
  <c r="V34" i="42"/>
  <c r="I7" i="42"/>
  <c r="O7" i="42"/>
  <c r="M14" i="42"/>
  <c r="T34" i="42"/>
  <c r="Z34" i="42"/>
  <c r="N14" i="42"/>
  <c r="U34" i="42"/>
  <c r="K7" i="42"/>
  <c r="I14" i="42"/>
  <c r="H20" i="42"/>
  <c r="N20" i="42"/>
  <c r="T20" i="42"/>
  <c r="Z20" i="42"/>
  <c r="AF20" i="42"/>
  <c r="O27" i="42"/>
  <c r="U27" i="42"/>
  <c r="P34" i="42"/>
  <c r="L7" i="42"/>
  <c r="P14" i="42"/>
  <c r="I20" i="42"/>
  <c r="O20" i="42"/>
  <c r="U20" i="42"/>
  <c r="AA20" i="42"/>
  <c r="J27" i="42"/>
  <c r="P27" i="42"/>
  <c r="V27" i="42"/>
  <c r="AB27" i="42"/>
  <c r="Q34" i="42"/>
  <c r="W34" i="42"/>
  <c r="K41" i="42"/>
  <c r="Q41" i="42"/>
  <c r="C83" i="42"/>
  <c r="G48" i="42"/>
  <c r="M41" i="42"/>
  <c r="AB20" i="42"/>
  <c r="V20" i="42"/>
  <c r="P20" i="42"/>
  <c r="J20" i="42"/>
  <c r="J14" i="42"/>
  <c r="F48" i="42"/>
  <c r="X34" i="42"/>
  <c r="R34" i="42"/>
  <c r="Z27" i="42"/>
  <c r="T27" i="42"/>
  <c r="N27" i="42"/>
  <c r="H27" i="42"/>
  <c r="P41" i="42"/>
  <c r="J41" i="42"/>
  <c r="Y27" i="42"/>
  <c r="S27" i="42"/>
  <c r="M27" i="42"/>
  <c r="G27" i="42"/>
  <c r="AE20" i="42"/>
  <c r="Y20" i="42"/>
  <c r="S20" i="42"/>
  <c r="M20" i="42"/>
  <c r="G20" i="42"/>
  <c r="D24" i="38"/>
  <c r="U10" i="38"/>
  <c r="F24" i="38"/>
  <c r="V10" i="38"/>
  <c r="Q10" i="38"/>
  <c r="H24" i="38"/>
  <c r="R10" i="38"/>
  <c r="X10" i="38"/>
  <c r="N10" i="38"/>
  <c r="T10" i="38"/>
  <c r="Z10" i="38"/>
  <c r="E24" i="38"/>
  <c r="O10" i="38"/>
  <c r="P10" i="38"/>
  <c r="G24" i="38"/>
  <c r="W10" i="38"/>
  <c r="G17" i="38"/>
  <c r="C24" i="38"/>
  <c r="D38" i="37"/>
  <c r="N10" i="37"/>
  <c r="T10" i="37"/>
  <c r="F17" i="37"/>
  <c r="L17" i="37"/>
  <c r="E38" i="37"/>
  <c r="I10" i="37"/>
  <c r="O10" i="37"/>
  <c r="U10" i="37"/>
  <c r="G17" i="37"/>
  <c r="M45" i="37"/>
  <c r="S45" i="37"/>
  <c r="J10" i="37"/>
  <c r="P10" i="37"/>
  <c r="H17" i="37"/>
  <c r="T45" i="37"/>
  <c r="K10" i="37"/>
  <c r="I45" i="37"/>
  <c r="O45" i="37"/>
  <c r="D52" i="37"/>
  <c r="D17" i="37"/>
  <c r="J45" i="37"/>
  <c r="P45" i="37"/>
  <c r="N45" i="37"/>
  <c r="Q10" i="37"/>
  <c r="I17" i="37"/>
  <c r="C31" i="37"/>
  <c r="U45" i="37"/>
  <c r="L10" i="37"/>
  <c r="R10" i="37"/>
  <c r="J17" i="37"/>
  <c r="C45" i="36"/>
  <c r="I45" i="36"/>
  <c r="H17" i="36"/>
  <c r="N17" i="36"/>
  <c r="D45" i="36"/>
  <c r="J45" i="36"/>
  <c r="F52" i="36"/>
  <c r="I17" i="36"/>
  <c r="O17" i="36"/>
  <c r="K45" i="36"/>
  <c r="G52" i="36"/>
  <c r="P17" i="36"/>
  <c r="E24" i="36"/>
  <c r="G45" i="36"/>
  <c r="I52" i="36"/>
  <c r="H10" i="36"/>
  <c r="F17" i="36"/>
  <c r="C31" i="36"/>
  <c r="E45" i="36"/>
  <c r="C59" i="36"/>
  <c r="J17" i="36"/>
  <c r="F45" i="36"/>
  <c r="H52" i="36"/>
  <c r="K17" i="36"/>
  <c r="F24" i="36"/>
  <c r="C38" i="36"/>
  <c r="L17" i="36"/>
  <c r="G24" i="36"/>
  <c r="D38" i="36"/>
  <c r="H45" i="36"/>
  <c r="J52" i="36"/>
  <c r="Q15" i="35"/>
  <c r="K15" i="35"/>
  <c r="C43" i="35"/>
  <c r="P15" i="35"/>
  <c r="J15" i="35"/>
  <c r="H9" i="35"/>
  <c r="F29" i="35"/>
  <c r="L29" i="35"/>
  <c r="G29" i="35"/>
  <c r="D9" i="35"/>
  <c r="Q22" i="35"/>
  <c r="W22" i="35"/>
  <c r="H29" i="35"/>
  <c r="N29" i="35"/>
  <c r="E9" i="35"/>
  <c r="F9" i="35"/>
  <c r="M22" i="35"/>
  <c r="J29" i="35"/>
  <c r="N15" i="35"/>
  <c r="N22" i="35"/>
  <c r="K29" i="35"/>
  <c r="K22" i="35"/>
  <c r="L22" i="35"/>
  <c r="R22" i="35"/>
  <c r="I29" i="35"/>
  <c r="S22" i="35"/>
  <c r="H15" i="35"/>
  <c r="H22" i="35"/>
  <c r="T22" i="35"/>
  <c r="C9" i="35"/>
  <c r="C8" i="34"/>
  <c r="D8" i="34"/>
  <c r="E8" i="34"/>
  <c r="E10" i="34" s="1"/>
  <c r="F8" i="34"/>
  <c r="G8" i="34"/>
  <c r="H8" i="34"/>
  <c r="I8" i="34"/>
  <c r="J8" i="34"/>
  <c r="K8" i="34"/>
  <c r="K10" i="34" s="1"/>
  <c r="C14" i="34"/>
  <c r="E4" i="34" s="1"/>
  <c r="D14" i="34"/>
  <c r="E14" i="34"/>
  <c r="F14" i="34"/>
  <c r="G14" i="34"/>
  <c r="H14" i="34"/>
  <c r="I14" i="34"/>
  <c r="I17" i="34" s="1"/>
  <c r="J14" i="34"/>
  <c r="K14" i="34"/>
  <c r="C16" i="34"/>
  <c r="D16" i="34"/>
  <c r="E16" i="34"/>
  <c r="F16" i="34"/>
  <c r="G16" i="34"/>
  <c r="H16" i="34"/>
  <c r="I16" i="34"/>
  <c r="J16" i="34"/>
  <c r="K16" i="34"/>
  <c r="C21" i="34"/>
  <c r="D21" i="34"/>
  <c r="E21" i="34"/>
  <c r="F21" i="34"/>
  <c r="G21" i="34"/>
  <c r="H21" i="34"/>
  <c r="I21" i="34"/>
  <c r="J21" i="34"/>
  <c r="K21" i="34"/>
  <c r="L21" i="34"/>
  <c r="C23" i="34"/>
  <c r="D23" i="34"/>
  <c r="E23" i="34"/>
  <c r="F23" i="34"/>
  <c r="G23" i="34"/>
  <c r="H23" i="34"/>
  <c r="I23" i="34"/>
  <c r="J23" i="34"/>
  <c r="K23" i="34"/>
  <c r="L23" i="34"/>
  <c r="C28" i="34"/>
  <c r="D28" i="34"/>
  <c r="E28" i="34"/>
  <c r="F28" i="34"/>
  <c r="C30" i="34"/>
  <c r="D30" i="34"/>
  <c r="E30" i="34"/>
  <c r="F30" i="34"/>
  <c r="C35" i="34"/>
  <c r="D35" i="34"/>
  <c r="E35" i="34"/>
  <c r="F35" i="34"/>
  <c r="C37" i="34"/>
  <c r="D37" i="34"/>
  <c r="E37" i="34"/>
  <c r="F37" i="34"/>
  <c r="C42" i="34"/>
  <c r="D42" i="34"/>
  <c r="E42" i="34"/>
  <c r="C44" i="34"/>
  <c r="D44" i="34"/>
  <c r="E44" i="34"/>
  <c r="C49" i="34"/>
  <c r="C52" i="34" s="1"/>
  <c r="D49" i="34"/>
  <c r="E49" i="34"/>
  <c r="F49" i="34"/>
  <c r="V49" i="34"/>
  <c r="W49" i="34"/>
  <c r="X49" i="34"/>
  <c r="X52" i="34" s="1"/>
  <c r="C51" i="34"/>
  <c r="D51" i="34"/>
  <c r="E51" i="34"/>
  <c r="F51" i="34"/>
  <c r="V51" i="34"/>
  <c r="W51" i="34"/>
  <c r="X51" i="34"/>
  <c r="C56" i="34"/>
  <c r="D56" i="34"/>
  <c r="E56" i="34"/>
  <c r="F56" i="34"/>
  <c r="G56" i="34"/>
  <c r="G59" i="34" s="1"/>
  <c r="H56" i="34"/>
  <c r="C58" i="34"/>
  <c r="D58" i="34"/>
  <c r="E58" i="34"/>
  <c r="F58" i="34"/>
  <c r="G58" i="34"/>
  <c r="H58" i="34"/>
  <c r="C63" i="34"/>
  <c r="D63" i="34"/>
  <c r="E63" i="34"/>
  <c r="F63" i="34"/>
  <c r="C65" i="34"/>
  <c r="D65" i="34"/>
  <c r="E65" i="34"/>
  <c r="F65" i="34"/>
  <c r="C8" i="33"/>
  <c r="E4" i="33" s="1"/>
  <c r="D8" i="33"/>
  <c r="E8" i="33"/>
  <c r="F8" i="33"/>
  <c r="G8" i="33"/>
  <c r="G10" i="33" s="1"/>
  <c r="H8" i="33"/>
  <c r="I8" i="33"/>
  <c r="J8" i="33"/>
  <c r="K8" i="33"/>
  <c r="L8" i="33"/>
  <c r="M8" i="33"/>
  <c r="M10" i="33" s="1"/>
  <c r="N8" i="33"/>
  <c r="O8" i="33"/>
  <c r="P8" i="33"/>
  <c r="Q8" i="33"/>
  <c r="C14" i="33"/>
  <c r="D14" i="33"/>
  <c r="E14" i="33"/>
  <c r="F14" i="33"/>
  <c r="G14" i="33"/>
  <c r="H14" i="33"/>
  <c r="I14" i="33"/>
  <c r="J14" i="33"/>
  <c r="K14" i="33"/>
  <c r="L14" i="33"/>
  <c r="M14" i="33"/>
  <c r="N14" i="33"/>
  <c r="C16" i="33"/>
  <c r="D16" i="33"/>
  <c r="E16" i="33"/>
  <c r="F16" i="33"/>
  <c r="G16" i="33"/>
  <c r="H16" i="33"/>
  <c r="I16" i="33"/>
  <c r="J16" i="33"/>
  <c r="K16" i="33"/>
  <c r="L16" i="33"/>
  <c r="M16" i="33"/>
  <c r="N16" i="33"/>
  <c r="C21" i="33"/>
  <c r="C24" i="33" s="1"/>
  <c r="D21" i="33"/>
  <c r="E21" i="33"/>
  <c r="F21" i="33"/>
  <c r="F24" i="33" s="1"/>
  <c r="G21" i="33"/>
  <c r="G24" i="33" s="1"/>
  <c r="H21" i="33"/>
  <c r="H24" i="33" s="1"/>
  <c r="I21" i="33"/>
  <c r="I24" i="33" s="1"/>
  <c r="J21" i="33"/>
  <c r="K21" i="33"/>
  <c r="L21" i="33"/>
  <c r="L24" i="33" s="1"/>
  <c r="M21" i="33"/>
  <c r="M24" i="33" s="1"/>
  <c r="C23" i="33"/>
  <c r="D23" i="33"/>
  <c r="E23" i="33"/>
  <c r="F23" i="33"/>
  <c r="G23" i="33"/>
  <c r="H23" i="33"/>
  <c r="I23" i="33"/>
  <c r="J23" i="33"/>
  <c r="K23" i="33"/>
  <c r="L23" i="33"/>
  <c r="M23" i="33"/>
  <c r="C28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C30" i="33"/>
  <c r="D30" i="33"/>
  <c r="E30" i="33"/>
  <c r="F30" i="33"/>
  <c r="G30" i="33"/>
  <c r="H30" i="33"/>
  <c r="I30" i="33"/>
  <c r="J30" i="33"/>
  <c r="K30" i="33"/>
  <c r="L30" i="33"/>
  <c r="M30" i="33"/>
  <c r="N30" i="33"/>
  <c r="O30" i="33"/>
  <c r="P30" i="33"/>
  <c r="Q30" i="33"/>
  <c r="C35" i="33"/>
  <c r="D35" i="33"/>
  <c r="E35" i="33"/>
  <c r="F35" i="33"/>
  <c r="G35" i="33"/>
  <c r="H35" i="33"/>
  <c r="I35" i="33"/>
  <c r="I38" i="33" s="1"/>
  <c r="C37" i="33"/>
  <c r="D37" i="33"/>
  <c r="E37" i="33"/>
  <c r="F37" i="33"/>
  <c r="G37" i="33"/>
  <c r="H37" i="33"/>
  <c r="I37" i="33"/>
  <c r="C42" i="33"/>
  <c r="D42" i="33"/>
  <c r="E42" i="33"/>
  <c r="F42" i="33"/>
  <c r="F45" i="33" s="1"/>
  <c r="C44" i="33"/>
  <c r="D44" i="33"/>
  <c r="E44" i="33"/>
  <c r="F44" i="33"/>
  <c r="C49" i="33"/>
  <c r="V49" i="33"/>
  <c r="W49" i="33"/>
  <c r="X49" i="33"/>
  <c r="X52" i="33" s="1"/>
  <c r="C51" i="33"/>
  <c r="V51" i="33"/>
  <c r="W51" i="33"/>
  <c r="X51" i="33"/>
  <c r="C8" i="32"/>
  <c r="E4" i="32" s="1"/>
  <c r="D8" i="32"/>
  <c r="E8" i="32"/>
  <c r="F8" i="32"/>
  <c r="G8" i="32"/>
  <c r="H8" i="32"/>
  <c r="I8" i="32"/>
  <c r="J8" i="32"/>
  <c r="J10" i="32" s="1"/>
  <c r="K8" i="32"/>
  <c r="K10" i="32" s="1"/>
  <c r="L8" i="32"/>
  <c r="L10" i="32" s="1"/>
  <c r="M8" i="32"/>
  <c r="M10" i="32" s="1"/>
  <c r="N8" i="32"/>
  <c r="O8" i="32"/>
  <c r="P8" i="32"/>
  <c r="P10" i="32" s="1"/>
  <c r="Q8" i="32"/>
  <c r="Q10" i="32" s="1"/>
  <c r="R8" i="32"/>
  <c r="R10" i="32" s="1"/>
  <c r="S8" i="32"/>
  <c r="S10" i="32" s="1"/>
  <c r="T8" i="32"/>
  <c r="U8" i="32"/>
  <c r="V8" i="32"/>
  <c r="V10" i="32" s="1"/>
  <c r="W8" i="32"/>
  <c r="W10" i="32" s="1"/>
  <c r="X8" i="32"/>
  <c r="X10" i="32" s="1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U14" i="32"/>
  <c r="V14" i="32"/>
  <c r="W14" i="32"/>
  <c r="X14" i="32"/>
  <c r="Y14" i="32"/>
  <c r="Z14" i="32"/>
  <c r="AA14" i="32"/>
  <c r="AB14" i="32"/>
  <c r="AC14" i="32"/>
  <c r="AD14" i="32"/>
  <c r="AE14" i="32"/>
  <c r="AF14" i="32"/>
  <c r="AG14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U16" i="32"/>
  <c r="V16" i="32"/>
  <c r="W16" i="32"/>
  <c r="X16" i="32"/>
  <c r="Y16" i="32"/>
  <c r="Z16" i="32"/>
  <c r="AA16" i="32"/>
  <c r="AB16" i="32"/>
  <c r="AC16" i="32"/>
  <c r="AD16" i="32"/>
  <c r="AE16" i="32"/>
  <c r="AF16" i="32"/>
  <c r="AG16" i="32"/>
  <c r="C21" i="32"/>
  <c r="D21" i="32"/>
  <c r="D24" i="32" s="1"/>
  <c r="E21" i="32"/>
  <c r="F21" i="32"/>
  <c r="G21" i="32"/>
  <c r="H21" i="32"/>
  <c r="I21" i="32"/>
  <c r="J21" i="32"/>
  <c r="J24" i="32" s="1"/>
  <c r="K21" i="32"/>
  <c r="L21" i="32"/>
  <c r="M21" i="32"/>
  <c r="N21" i="32"/>
  <c r="O21" i="32"/>
  <c r="P21" i="32"/>
  <c r="P24" i="32" s="1"/>
  <c r="Q21" i="32"/>
  <c r="R21" i="32"/>
  <c r="S21" i="32"/>
  <c r="T21" i="32"/>
  <c r="U21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U23" i="32"/>
  <c r="C28" i="32"/>
  <c r="D28" i="32"/>
  <c r="E28" i="32"/>
  <c r="F28" i="32"/>
  <c r="G28" i="32"/>
  <c r="H28" i="32"/>
  <c r="I28" i="32"/>
  <c r="J28" i="32"/>
  <c r="K28" i="32"/>
  <c r="C30" i="32"/>
  <c r="D30" i="32"/>
  <c r="E30" i="32"/>
  <c r="F30" i="32"/>
  <c r="G30" i="32"/>
  <c r="H30" i="32"/>
  <c r="I30" i="32"/>
  <c r="J30" i="32"/>
  <c r="K30" i="32"/>
  <c r="C35" i="32"/>
  <c r="C38" i="32" s="1"/>
  <c r="D35" i="32"/>
  <c r="D38" i="32" s="1"/>
  <c r="C37" i="32"/>
  <c r="D37" i="32"/>
  <c r="C42" i="32"/>
  <c r="D42" i="32"/>
  <c r="E42" i="32"/>
  <c r="E45" i="32" s="1"/>
  <c r="F42" i="32"/>
  <c r="G42" i="32"/>
  <c r="H42" i="32"/>
  <c r="H45" i="32" s="1"/>
  <c r="I42" i="32"/>
  <c r="I45" i="32" s="1"/>
  <c r="J42" i="32"/>
  <c r="J45" i="32" s="1"/>
  <c r="K42" i="32"/>
  <c r="K45" i="32" s="1"/>
  <c r="L42" i="32"/>
  <c r="M42" i="32"/>
  <c r="N42" i="32"/>
  <c r="N45" i="32" s="1"/>
  <c r="O42" i="32"/>
  <c r="O45" i="32" s="1"/>
  <c r="P42" i="32"/>
  <c r="P45" i="32" s="1"/>
  <c r="Q42" i="32"/>
  <c r="Q45" i="32" s="1"/>
  <c r="R42" i="32"/>
  <c r="S42" i="32"/>
  <c r="T42" i="32"/>
  <c r="T45" i="32" s="1"/>
  <c r="C44" i="32"/>
  <c r="D44" i="32"/>
  <c r="E44" i="32"/>
  <c r="F44" i="32"/>
  <c r="G44" i="32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C49" i="32"/>
  <c r="D49" i="32"/>
  <c r="E49" i="32"/>
  <c r="F49" i="32"/>
  <c r="F52" i="32" s="1"/>
  <c r="G49" i="32"/>
  <c r="H49" i="32"/>
  <c r="I49" i="32"/>
  <c r="I52" i="32" s="1"/>
  <c r="J49" i="32"/>
  <c r="J52" i="32" s="1"/>
  <c r="K49" i="32"/>
  <c r="K52" i="32" s="1"/>
  <c r="L49" i="32"/>
  <c r="L52" i="32" s="1"/>
  <c r="M49" i="32"/>
  <c r="N49" i="32"/>
  <c r="O49" i="32"/>
  <c r="O52" i="32" s="1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C56" i="32"/>
  <c r="C58" i="32"/>
  <c r="C8" i="31"/>
  <c r="E4" i="31" s="1"/>
  <c r="D8" i="31"/>
  <c r="E8" i="31"/>
  <c r="F8" i="31"/>
  <c r="G8" i="31"/>
  <c r="H8" i="31"/>
  <c r="I8" i="31"/>
  <c r="J8" i="31"/>
  <c r="J10" i="31" s="1"/>
  <c r="K8" i="31"/>
  <c r="K10" i="31" s="1"/>
  <c r="L8" i="31"/>
  <c r="L10" i="31" s="1"/>
  <c r="M8" i="31"/>
  <c r="M10" i="31" s="1"/>
  <c r="N8" i="31"/>
  <c r="O8" i="31"/>
  <c r="P8" i="31"/>
  <c r="P10" i="31" s="1"/>
  <c r="Q8" i="31"/>
  <c r="Q10" i="31" s="1"/>
  <c r="R8" i="31"/>
  <c r="R10" i="31" s="1"/>
  <c r="S8" i="31"/>
  <c r="S10" i="31" s="1"/>
  <c r="T8" i="31"/>
  <c r="U8" i="31"/>
  <c r="V8" i="31"/>
  <c r="V10" i="31" s="1"/>
  <c r="W8" i="31"/>
  <c r="W10" i="31" s="1"/>
  <c r="X8" i="31"/>
  <c r="X10" i="31" s="1"/>
  <c r="C14" i="31"/>
  <c r="D14" i="31"/>
  <c r="E14" i="31"/>
  <c r="F14" i="31"/>
  <c r="G14" i="31"/>
  <c r="H14" i="31"/>
  <c r="I14" i="31"/>
  <c r="J14" i="31"/>
  <c r="K14" i="31"/>
  <c r="K17" i="31" s="1"/>
  <c r="L14" i="31"/>
  <c r="M14" i="31"/>
  <c r="N14" i="31"/>
  <c r="O14" i="31"/>
  <c r="P14" i="31"/>
  <c r="Q14" i="31"/>
  <c r="Q17" i="31" s="1"/>
  <c r="R14" i="31"/>
  <c r="S14" i="31"/>
  <c r="T14" i="31"/>
  <c r="U14" i="31"/>
  <c r="V14" i="31"/>
  <c r="W14" i="31"/>
  <c r="W17" i="31" s="1"/>
  <c r="X14" i="31"/>
  <c r="Y14" i="31"/>
  <c r="Z14" i="31"/>
  <c r="AA14" i="31"/>
  <c r="C16" i="31"/>
  <c r="D16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Q16" i="31"/>
  <c r="R16" i="31"/>
  <c r="S16" i="31"/>
  <c r="T16" i="31"/>
  <c r="U16" i="31"/>
  <c r="V16" i="31"/>
  <c r="W16" i="31"/>
  <c r="X16" i="31"/>
  <c r="Y16" i="31"/>
  <c r="Z16" i="31"/>
  <c r="AA16" i="31"/>
  <c r="C21" i="31"/>
  <c r="D21" i="31"/>
  <c r="E21" i="31"/>
  <c r="F21" i="31"/>
  <c r="G21" i="31"/>
  <c r="G24" i="31" s="1"/>
  <c r="H21" i="31"/>
  <c r="H24" i="31" s="1"/>
  <c r="I21" i="31"/>
  <c r="I24" i="31" s="1"/>
  <c r="J21" i="31"/>
  <c r="K21" i="31"/>
  <c r="L21" i="31"/>
  <c r="M21" i="31"/>
  <c r="M24" i="31" s="1"/>
  <c r="N21" i="31"/>
  <c r="N24" i="31" s="1"/>
  <c r="C23" i="31"/>
  <c r="D23" i="31"/>
  <c r="E23" i="31"/>
  <c r="F23" i="31"/>
  <c r="G23" i="31"/>
  <c r="H23" i="31"/>
  <c r="I23" i="31"/>
  <c r="J23" i="31"/>
  <c r="K23" i="31"/>
  <c r="L23" i="31"/>
  <c r="M23" i="31"/>
  <c r="N23" i="31"/>
  <c r="C28" i="31"/>
  <c r="D28" i="31"/>
  <c r="D31" i="31" s="1"/>
  <c r="C30" i="31"/>
  <c r="D30" i="31"/>
  <c r="C8" i="30"/>
  <c r="E4" i="30" s="1"/>
  <c r="D8" i="30"/>
  <c r="D10" i="30" s="1"/>
  <c r="E8" i="30"/>
  <c r="E10" i="30" s="1"/>
  <c r="F8" i="30"/>
  <c r="F10" i="30" s="1"/>
  <c r="G8" i="30"/>
  <c r="G10" i="30" s="1"/>
  <c r="H8" i="30"/>
  <c r="I8" i="30"/>
  <c r="J8" i="30"/>
  <c r="J10" i="30" s="1"/>
  <c r="K8" i="30"/>
  <c r="K10" i="30" s="1"/>
  <c r="L8" i="30"/>
  <c r="L10" i="30" s="1"/>
  <c r="M8" i="30"/>
  <c r="M10" i="30" s="1"/>
  <c r="C14" i="30"/>
  <c r="D14" i="30"/>
  <c r="E14" i="30"/>
  <c r="F14" i="30"/>
  <c r="G14" i="30"/>
  <c r="G17" i="30" s="1"/>
  <c r="H14" i="30"/>
  <c r="H17" i="30" s="1"/>
  <c r="I14" i="30"/>
  <c r="J14" i="30"/>
  <c r="K14" i="30"/>
  <c r="L14" i="30"/>
  <c r="M14" i="30"/>
  <c r="M17" i="30" s="1"/>
  <c r="C16" i="30"/>
  <c r="D16" i="30"/>
  <c r="E16" i="30"/>
  <c r="F16" i="30"/>
  <c r="G16" i="30"/>
  <c r="H16" i="30"/>
  <c r="I16" i="30"/>
  <c r="J16" i="30"/>
  <c r="K16" i="30"/>
  <c r="L16" i="30"/>
  <c r="M16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C23" i="30"/>
  <c r="D23" i="30"/>
  <c r="E23" i="30"/>
  <c r="F23" i="30"/>
  <c r="F24" i="30" s="1"/>
  <c r="G23" i="30"/>
  <c r="H23" i="30"/>
  <c r="I23" i="30"/>
  <c r="J23" i="30"/>
  <c r="K23" i="30"/>
  <c r="L23" i="30"/>
  <c r="L24" i="30" s="1"/>
  <c r="M23" i="30"/>
  <c r="N23" i="30"/>
  <c r="O23" i="30"/>
  <c r="C24" i="30"/>
  <c r="D24" i="30"/>
  <c r="E24" i="30"/>
  <c r="G24" i="30"/>
  <c r="H24" i="30"/>
  <c r="I24" i="30"/>
  <c r="J24" i="30"/>
  <c r="K24" i="30"/>
  <c r="M24" i="30"/>
  <c r="N24" i="30"/>
  <c r="C28" i="30"/>
  <c r="C31" i="30" s="1"/>
  <c r="D28" i="30"/>
  <c r="E28" i="30"/>
  <c r="F28" i="30"/>
  <c r="G28" i="30"/>
  <c r="H28" i="30"/>
  <c r="H31" i="30" s="1"/>
  <c r="I28" i="30"/>
  <c r="I31" i="30" s="1"/>
  <c r="C30" i="30"/>
  <c r="D30" i="30"/>
  <c r="E30" i="30"/>
  <c r="F30" i="30"/>
  <c r="G30" i="30"/>
  <c r="H30" i="30"/>
  <c r="I30" i="30"/>
  <c r="C35" i="30"/>
  <c r="C37" i="30"/>
  <c r="C42" i="30"/>
  <c r="C45" i="30" s="1"/>
  <c r="D42" i="30"/>
  <c r="C44" i="30"/>
  <c r="D44" i="30"/>
  <c r="C49" i="30"/>
  <c r="D49" i="30"/>
  <c r="E49" i="30"/>
  <c r="E52" i="30" s="1"/>
  <c r="F49" i="30"/>
  <c r="F52" i="30" s="1"/>
  <c r="G49" i="30"/>
  <c r="G52" i="30" s="1"/>
  <c r="H49" i="30"/>
  <c r="H52" i="30" s="1"/>
  <c r="V49" i="30"/>
  <c r="W49" i="30"/>
  <c r="X49" i="30"/>
  <c r="X52" i="30" s="1"/>
  <c r="C51" i="30"/>
  <c r="D51" i="30"/>
  <c r="E51" i="30"/>
  <c r="F51" i="30"/>
  <c r="G51" i="30"/>
  <c r="H51" i="30"/>
  <c r="V51" i="30"/>
  <c r="W51" i="30"/>
  <c r="X51" i="30"/>
  <c r="C56" i="30"/>
  <c r="D56" i="30"/>
  <c r="E56" i="30"/>
  <c r="F56" i="30"/>
  <c r="G56" i="30"/>
  <c r="G59" i="30" s="1"/>
  <c r="H56" i="30"/>
  <c r="I56" i="30"/>
  <c r="J56" i="30"/>
  <c r="J59" i="30" s="1"/>
  <c r="K56" i="30"/>
  <c r="K59" i="30" s="1"/>
  <c r="L56" i="30"/>
  <c r="L59" i="30" s="1"/>
  <c r="C58" i="30"/>
  <c r="D58" i="30"/>
  <c r="E58" i="30"/>
  <c r="F58" i="30"/>
  <c r="G58" i="30"/>
  <c r="H58" i="30"/>
  <c r="I58" i="30"/>
  <c r="J58" i="30"/>
  <c r="K58" i="30"/>
  <c r="L58" i="30"/>
  <c r="C63" i="30"/>
  <c r="D63" i="30"/>
  <c r="D66" i="30" s="1"/>
  <c r="E63" i="30"/>
  <c r="F63" i="30"/>
  <c r="G63" i="30"/>
  <c r="G66" i="30" s="1"/>
  <c r="H63" i="30"/>
  <c r="H66" i="30" s="1"/>
  <c r="C65" i="30"/>
  <c r="D65" i="30"/>
  <c r="E65" i="30"/>
  <c r="F65" i="30"/>
  <c r="G65" i="30"/>
  <c r="H65" i="30"/>
  <c r="C70" i="30"/>
  <c r="C72" i="30"/>
  <c r="C77" i="30"/>
  <c r="C80" i="30" s="1"/>
  <c r="C79" i="30"/>
  <c r="C8" i="29"/>
  <c r="E4" i="29" s="1"/>
  <c r="D8" i="29"/>
  <c r="E8" i="29"/>
  <c r="F8" i="29"/>
  <c r="G8" i="29"/>
  <c r="G10" i="29" s="1"/>
  <c r="H8" i="29"/>
  <c r="I8" i="29"/>
  <c r="J8" i="29"/>
  <c r="K8" i="29"/>
  <c r="L8" i="29"/>
  <c r="M8" i="29"/>
  <c r="M10" i="29" s="1"/>
  <c r="N8" i="29"/>
  <c r="O8" i="29"/>
  <c r="P8" i="29"/>
  <c r="Q8" i="29"/>
  <c r="R8" i="29"/>
  <c r="S8" i="29"/>
  <c r="S10" i="29" s="1"/>
  <c r="T8" i="29"/>
  <c r="U8" i="29"/>
  <c r="V8" i="29"/>
  <c r="W8" i="29"/>
  <c r="C14" i="29"/>
  <c r="D14" i="29"/>
  <c r="E14" i="29"/>
  <c r="F14" i="29"/>
  <c r="G14" i="29"/>
  <c r="H14" i="29"/>
  <c r="H17" i="29" s="1"/>
  <c r="I14" i="29"/>
  <c r="I17" i="29" s="1"/>
  <c r="J14" i="29"/>
  <c r="K14" i="29"/>
  <c r="L14" i="29"/>
  <c r="M14" i="29"/>
  <c r="N14" i="29"/>
  <c r="N17" i="29" s="1"/>
  <c r="O14" i="29"/>
  <c r="O17" i="29" s="1"/>
  <c r="P14" i="29"/>
  <c r="Q14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C21" i="29"/>
  <c r="D21" i="29"/>
  <c r="E21" i="29"/>
  <c r="F21" i="29"/>
  <c r="G21" i="29"/>
  <c r="H21" i="29"/>
  <c r="C23" i="29"/>
  <c r="D23" i="29"/>
  <c r="E23" i="29"/>
  <c r="F23" i="29"/>
  <c r="G23" i="29"/>
  <c r="H23" i="29"/>
  <c r="C28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C30" i="29"/>
  <c r="D30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V30" i="29"/>
  <c r="C35" i="29"/>
  <c r="D35" i="29"/>
  <c r="E35" i="29"/>
  <c r="F35" i="29"/>
  <c r="F38" i="29" s="1"/>
  <c r="G35" i="29"/>
  <c r="G38" i="29" s="1"/>
  <c r="H35" i="29"/>
  <c r="H38" i="29" s="1"/>
  <c r="I35" i="29"/>
  <c r="J35" i="29"/>
  <c r="K35" i="29"/>
  <c r="L35" i="29"/>
  <c r="L38" i="29" s="1"/>
  <c r="M35" i="29"/>
  <c r="M38" i="29" s="1"/>
  <c r="N35" i="29"/>
  <c r="N38" i="29" s="1"/>
  <c r="O35" i="29"/>
  <c r="P35" i="29"/>
  <c r="Q35" i="29"/>
  <c r="R35" i="29"/>
  <c r="R38" i="29" s="1"/>
  <c r="S35" i="29"/>
  <c r="S38" i="29" s="1"/>
  <c r="T35" i="29"/>
  <c r="U35" i="29"/>
  <c r="V35" i="29"/>
  <c r="W35" i="29"/>
  <c r="C37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C42" i="29"/>
  <c r="D42" i="29"/>
  <c r="E42" i="29"/>
  <c r="F42" i="29"/>
  <c r="G42" i="29"/>
  <c r="G45" i="29" s="1"/>
  <c r="H42" i="29"/>
  <c r="H45" i="29" s="1"/>
  <c r="I42" i="29"/>
  <c r="J42" i="29"/>
  <c r="K42" i="29"/>
  <c r="L42" i="29"/>
  <c r="C44" i="29"/>
  <c r="D44" i="29"/>
  <c r="E44" i="29"/>
  <c r="F44" i="29"/>
  <c r="G44" i="29"/>
  <c r="H44" i="29"/>
  <c r="I44" i="29"/>
  <c r="J44" i="29"/>
  <c r="K44" i="29"/>
  <c r="L44" i="29"/>
  <c r="C49" i="29"/>
  <c r="C51" i="29"/>
  <c r="C56" i="29"/>
  <c r="C58" i="29"/>
  <c r="C63" i="29"/>
  <c r="C66" i="29" s="1"/>
  <c r="C65" i="29"/>
  <c r="C8" i="28"/>
  <c r="E4" i="28" s="1"/>
  <c r="D8" i="28"/>
  <c r="E8" i="28"/>
  <c r="F8" i="28"/>
  <c r="G8" i="28"/>
  <c r="G10" i="28" s="1"/>
  <c r="H8" i="28"/>
  <c r="I8" i="28"/>
  <c r="J8" i="28"/>
  <c r="K8" i="28"/>
  <c r="L8" i="28"/>
  <c r="M8" i="28"/>
  <c r="M10" i="28" s="1"/>
  <c r="N8" i="28"/>
  <c r="O8" i="28"/>
  <c r="P8" i="28"/>
  <c r="Q8" i="28"/>
  <c r="R8" i="28"/>
  <c r="S8" i="28"/>
  <c r="S10" i="28" s="1"/>
  <c r="C14" i="28"/>
  <c r="D14" i="28"/>
  <c r="E14" i="28"/>
  <c r="E17" i="28" s="1"/>
  <c r="F14" i="28"/>
  <c r="F17" i="28" s="1"/>
  <c r="G14" i="28"/>
  <c r="H14" i="28"/>
  <c r="I14" i="28"/>
  <c r="J14" i="28"/>
  <c r="J17" i="28" s="1"/>
  <c r="K14" i="28"/>
  <c r="K17" i="28" s="1"/>
  <c r="L14" i="28"/>
  <c r="L17" i="28" s="1"/>
  <c r="M14" i="28"/>
  <c r="N14" i="28"/>
  <c r="C16" i="28"/>
  <c r="D16" i="28"/>
  <c r="E16" i="28"/>
  <c r="F16" i="28"/>
  <c r="G16" i="28"/>
  <c r="H16" i="28"/>
  <c r="I16" i="28"/>
  <c r="J16" i="28"/>
  <c r="K16" i="28"/>
  <c r="L16" i="28"/>
  <c r="M16" i="28"/>
  <c r="N16" i="28"/>
  <c r="C21" i="28"/>
  <c r="D21" i="28"/>
  <c r="E21" i="28"/>
  <c r="E24" i="28" s="1"/>
  <c r="F21" i="28"/>
  <c r="F24" i="28" s="1"/>
  <c r="G21" i="28"/>
  <c r="G24" i="28" s="1"/>
  <c r="H21" i="28"/>
  <c r="C23" i="28"/>
  <c r="D23" i="28"/>
  <c r="E23" i="28"/>
  <c r="F23" i="28"/>
  <c r="G23" i="28"/>
  <c r="H23" i="28"/>
  <c r="C28" i="28"/>
  <c r="C31" i="28" s="1"/>
  <c r="D28" i="28"/>
  <c r="D31" i="28" s="1"/>
  <c r="C30" i="28"/>
  <c r="D30" i="28"/>
  <c r="C35" i="28"/>
  <c r="C38" i="28" s="1"/>
  <c r="C37" i="28"/>
  <c r="C42" i="28"/>
  <c r="D42" i="28"/>
  <c r="E42" i="28"/>
  <c r="F42" i="28"/>
  <c r="G42" i="28"/>
  <c r="H42" i="28"/>
  <c r="I42" i="28"/>
  <c r="J42" i="28"/>
  <c r="K42" i="28"/>
  <c r="C44" i="28"/>
  <c r="D44" i="28"/>
  <c r="E44" i="28"/>
  <c r="F44" i="28"/>
  <c r="G44" i="28"/>
  <c r="H44" i="28"/>
  <c r="I44" i="28"/>
  <c r="J44" i="28"/>
  <c r="K44" i="28"/>
  <c r="C49" i="28"/>
  <c r="C52" i="28" s="1"/>
  <c r="D49" i="28"/>
  <c r="D52" i="28" s="1"/>
  <c r="E49" i="28"/>
  <c r="E52" i="28" s="1"/>
  <c r="F49" i="28"/>
  <c r="F52" i="28" s="1"/>
  <c r="G49" i="28"/>
  <c r="C51" i="28"/>
  <c r="D51" i="28"/>
  <c r="E51" i="28"/>
  <c r="F51" i="28"/>
  <c r="G51" i="28"/>
  <c r="C56" i="28"/>
  <c r="D56" i="28"/>
  <c r="E56" i="28"/>
  <c r="C58" i="28"/>
  <c r="D58" i="28"/>
  <c r="E58" i="28"/>
  <c r="C8" i="27"/>
  <c r="E4" i="27" s="1"/>
  <c r="D8" i="27"/>
  <c r="E8" i="27"/>
  <c r="E10" i="27" s="1"/>
  <c r="F8" i="27"/>
  <c r="F10" i="27" s="1"/>
  <c r="G8" i="27"/>
  <c r="G10" i="27" s="1"/>
  <c r="H8" i="27"/>
  <c r="I8" i="27"/>
  <c r="I10" i="27" s="1"/>
  <c r="J8" i="27"/>
  <c r="J10" i="27" s="1"/>
  <c r="K8" i="27"/>
  <c r="K10" i="27" s="1"/>
  <c r="L8" i="27"/>
  <c r="L10" i="27" s="1"/>
  <c r="M8" i="27"/>
  <c r="M10" i="27" s="1"/>
  <c r="N8" i="27"/>
  <c r="O8" i="27"/>
  <c r="O10" i="27" s="1"/>
  <c r="C14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C16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C21" i="27"/>
  <c r="D21" i="27"/>
  <c r="D24" i="27" s="1"/>
  <c r="E21" i="27"/>
  <c r="E24" i="27" s="1"/>
  <c r="F21" i="27"/>
  <c r="G21" i="27"/>
  <c r="H21" i="27"/>
  <c r="I21" i="27"/>
  <c r="J21" i="27"/>
  <c r="J24" i="27" s="1"/>
  <c r="K21" i="27"/>
  <c r="K24" i="27" s="1"/>
  <c r="L21" i="27"/>
  <c r="C23" i="27"/>
  <c r="D23" i="27"/>
  <c r="E23" i="27"/>
  <c r="F23" i="27"/>
  <c r="G23" i="27"/>
  <c r="H23" i="27"/>
  <c r="I23" i="27"/>
  <c r="J23" i="27"/>
  <c r="K23" i="27"/>
  <c r="L23" i="27"/>
  <c r="C28" i="27"/>
  <c r="D28" i="27"/>
  <c r="D31" i="27" s="1"/>
  <c r="E28" i="27"/>
  <c r="E31" i="27" s="1"/>
  <c r="C30" i="27"/>
  <c r="D30" i="27"/>
  <c r="E30" i="27"/>
  <c r="C35" i="27"/>
  <c r="D35" i="27"/>
  <c r="C37" i="27"/>
  <c r="D37" i="27"/>
  <c r="C42" i="27"/>
  <c r="D42" i="27"/>
  <c r="E42" i="27"/>
  <c r="F42" i="27"/>
  <c r="G42" i="27"/>
  <c r="H42" i="27"/>
  <c r="I42" i="27"/>
  <c r="J42" i="27"/>
  <c r="J45" i="27" s="1"/>
  <c r="K42" i="27"/>
  <c r="L42" i="27"/>
  <c r="M42" i="27"/>
  <c r="N42" i="27"/>
  <c r="O42" i="27"/>
  <c r="P42" i="27"/>
  <c r="P45" i="27" s="1"/>
  <c r="C44" i="27"/>
  <c r="D44" i="27"/>
  <c r="E44" i="27"/>
  <c r="F44" i="27"/>
  <c r="G44" i="27"/>
  <c r="H44" i="27"/>
  <c r="I44" i="27"/>
  <c r="J44" i="27"/>
  <c r="K44" i="27"/>
  <c r="L44" i="27"/>
  <c r="M44" i="27"/>
  <c r="N44" i="27"/>
  <c r="O44" i="27"/>
  <c r="P44" i="27"/>
  <c r="C49" i="27"/>
  <c r="D49" i="27"/>
  <c r="E49" i="27"/>
  <c r="E52" i="27" s="1"/>
  <c r="F49" i="27"/>
  <c r="F52" i="27" s="1"/>
  <c r="G49" i="27"/>
  <c r="G52" i="27" s="1"/>
  <c r="H49" i="27"/>
  <c r="I49" i="27"/>
  <c r="J49" i="27"/>
  <c r="C51" i="27"/>
  <c r="D51" i="27"/>
  <c r="E51" i="27"/>
  <c r="F51" i="27"/>
  <c r="G51" i="27"/>
  <c r="H51" i="27"/>
  <c r="I51" i="27"/>
  <c r="J51" i="27"/>
  <c r="C56" i="27"/>
  <c r="D56" i="27"/>
  <c r="C58" i="27"/>
  <c r="D58" i="27"/>
  <c r="C8" i="26"/>
  <c r="D8" i="26"/>
  <c r="E8" i="26"/>
  <c r="F8" i="26"/>
  <c r="G8" i="26"/>
  <c r="H8" i="26"/>
  <c r="I8" i="26"/>
  <c r="C14" i="26"/>
  <c r="D14" i="26"/>
  <c r="E14" i="26"/>
  <c r="F14" i="26"/>
  <c r="G14" i="26"/>
  <c r="H14" i="26"/>
  <c r="I14" i="26"/>
  <c r="J14" i="26"/>
  <c r="K14" i="26"/>
  <c r="C16" i="26"/>
  <c r="D16" i="26"/>
  <c r="E16" i="26"/>
  <c r="F16" i="26"/>
  <c r="G16" i="26"/>
  <c r="H16" i="26"/>
  <c r="I16" i="26"/>
  <c r="J16" i="26"/>
  <c r="K16" i="26"/>
  <c r="C21" i="26"/>
  <c r="D21" i="26"/>
  <c r="E21" i="26"/>
  <c r="F21" i="26"/>
  <c r="G21" i="26"/>
  <c r="H21" i="26"/>
  <c r="I21" i="26"/>
  <c r="J21" i="26"/>
  <c r="K21" i="26"/>
  <c r="L21" i="26"/>
  <c r="M21" i="26"/>
  <c r="C23" i="26"/>
  <c r="D23" i="26"/>
  <c r="E23" i="26"/>
  <c r="F23" i="26"/>
  <c r="G23" i="26"/>
  <c r="H23" i="26"/>
  <c r="I23" i="26"/>
  <c r="J23" i="26"/>
  <c r="K23" i="26"/>
  <c r="L23" i="26"/>
  <c r="M23" i="26"/>
  <c r="C28" i="26"/>
  <c r="E4" i="26" s="1"/>
  <c r="D28" i="26"/>
  <c r="E28" i="26"/>
  <c r="F28" i="26"/>
  <c r="C30" i="26"/>
  <c r="D30" i="26"/>
  <c r="E30" i="26"/>
  <c r="F30" i="26"/>
  <c r="C35" i="26"/>
  <c r="D35" i="26"/>
  <c r="C37" i="26"/>
  <c r="D37" i="26"/>
  <c r="C42" i="26"/>
  <c r="C44" i="26"/>
  <c r="C49" i="26"/>
  <c r="C51" i="26"/>
  <c r="C56" i="26"/>
  <c r="D56" i="26"/>
  <c r="E56" i="26"/>
  <c r="F56" i="26"/>
  <c r="G56" i="26"/>
  <c r="C58" i="26"/>
  <c r="D58" i="26"/>
  <c r="E58" i="26"/>
  <c r="F58" i="26"/>
  <c r="G58" i="26"/>
  <c r="C63" i="26"/>
  <c r="D63" i="26"/>
  <c r="E63" i="26"/>
  <c r="F63" i="26"/>
  <c r="C65" i="26"/>
  <c r="D65" i="26"/>
  <c r="E65" i="26"/>
  <c r="F65" i="26"/>
  <c r="C8" i="25"/>
  <c r="D8" i="25"/>
  <c r="D10" i="25" s="1"/>
  <c r="E8" i="25"/>
  <c r="E10" i="25" s="1"/>
  <c r="F8" i="25"/>
  <c r="F10" i="25" s="1"/>
  <c r="G8" i="25"/>
  <c r="G10" i="25" s="1"/>
  <c r="H8" i="25"/>
  <c r="I8" i="25"/>
  <c r="J8" i="25"/>
  <c r="J10" i="25" s="1"/>
  <c r="K8" i="25"/>
  <c r="K10" i="25" s="1"/>
  <c r="L8" i="25"/>
  <c r="L10" i="25" s="1"/>
  <c r="C14" i="25"/>
  <c r="C17" i="25" s="1"/>
  <c r="D14" i="25"/>
  <c r="D17" i="25" s="1"/>
  <c r="E14" i="25"/>
  <c r="F14" i="25"/>
  <c r="G14" i="25"/>
  <c r="H14" i="25"/>
  <c r="H17" i="25" s="1"/>
  <c r="I14" i="25"/>
  <c r="I17" i="25" s="1"/>
  <c r="J14" i="25"/>
  <c r="J17" i="25" s="1"/>
  <c r="C16" i="25"/>
  <c r="D16" i="25"/>
  <c r="E16" i="25"/>
  <c r="F16" i="25"/>
  <c r="G16" i="25"/>
  <c r="H16" i="25"/>
  <c r="I16" i="25"/>
  <c r="J16" i="25"/>
  <c r="C21" i="25"/>
  <c r="C24" i="25" s="1"/>
  <c r="D21" i="25"/>
  <c r="D24" i="25" s="1"/>
  <c r="E21" i="25"/>
  <c r="E24" i="25" s="1"/>
  <c r="F21" i="25"/>
  <c r="G21" i="25"/>
  <c r="C23" i="25"/>
  <c r="D23" i="25"/>
  <c r="E23" i="25"/>
  <c r="F23" i="25"/>
  <c r="G23" i="25"/>
  <c r="C28" i="25"/>
  <c r="E4" i="25" s="1"/>
  <c r="D28" i="25"/>
  <c r="E28" i="25"/>
  <c r="E31" i="25" s="1"/>
  <c r="F28" i="25"/>
  <c r="F31" i="25" s="1"/>
  <c r="G28" i="25"/>
  <c r="G31" i="25" s="1"/>
  <c r="H28" i="25"/>
  <c r="H31" i="25" s="1"/>
  <c r="I28" i="25"/>
  <c r="J28" i="25"/>
  <c r="K28" i="25"/>
  <c r="K31" i="25" s="1"/>
  <c r="C30" i="25"/>
  <c r="D30" i="25"/>
  <c r="E30" i="25"/>
  <c r="F30" i="25"/>
  <c r="G30" i="25"/>
  <c r="H30" i="25"/>
  <c r="I30" i="25"/>
  <c r="J30" i="25"/>
  <c r="K30" i="25"/>
  <c r="C35" i="25"/>
  <c r="D35" i="25"/>
  <c r="E35" i="25"/>
  <c r="E38" i="25" s="1"/>
  <c r="F35" i="25"/>
  <c r="F38" i="25" s="1"/>
  <c r="G35" i="25"/>
  <c r="G38" i="25" s="1"/>
  <c r="C37" i="25"/>
  <c r="D37" i="25"/>
  <c r="E37" i="25"/>
  <c r="F37" i="25"/>
  <c r="G37" i="25"/>
  <c r="C8" i="24"/>
  <c r="E4" i="24" s="1"/>
  <c r="D8" i="24"/>
  <c r="E8" i="24"/>
  <c r="F8" i="24"/>
  <c r="F10" i="24" s="1"/>
  <c r="G8" i="24"/>
  <c r="G10" i="24" s="1"/>
  <c r="H8" i="24"/>
  <c r="I8" i="24"/>
  <c r="J8" i="24"/>
  <c r="J10" i="24" s="1"/>
  <c r="K8" i="24"/>
  <c r="K10" i="24" s="1"/>
  <c r="L8" i="24"/>
  <c r="L10" i="24" s="1"/>
  <c r="M8" i="24"/>
  <c r="M10" i="24" s="1"/>
  <c r="N8" i="24"/>
  <c r="O8" i="24"/>
  <c r="C14" i="24"/>
  <c r="D14" i="24"/>
  <c r="E14" i="24"/>
  <c r="F14" i="24"/>
  <c r="G14" i="24"/>
  <c r="H14" i="24"/>
  <c r="I14" i="24"/>
  <c r="C16" i="24"/>
  <c r="D16" i="24"/>
  <c r="E16" i="24"/>
  <c r="F16" i="24"/>
  <c r="G16" i="24"/>
  <c r="H16" i="24"/>
  <c r="I16" i="24"/>
  <c r="C21" i="24"/>
  <c r="D21" i="24"/>
  <c r="E21" i="24"/>
  <c r="C23" i="24"/>
  <c r="D23" i="24"/>
  <c r="E23" i="24"/>
  <c r="C28" i="24"/>
  <c r="D28" i="24"/>
  <c r="D31" i="24" s="1"/>
  <c r="E28" i="24"/>
  <c r="F28" i="24"/>
  <c r="G28" i="24"/>
  <c r="H28" i="24"/>
  <c r="H31" i="24" s="1"/>
  <c r="I28" i="24"/>
  <c r="I31" i="24" s="1"/>
  <c r="J28" i="24"/>
  <c r="J31" i="24" s="1"/>
  <c r="K28" i="24"/>
  <c r="L28" i="24"/>
  <c r="M28" i="24"/>
  <c r="C30" i="24"/>
  <c r="D30" i="24"/>
  <c r="E30" i="24"/>
  <c r="F30" i="24"/>
  <c r="G30" i="24"/>
  <c r="H30" i="24"/>
  <c r="I30" i="24"/>
  <c r="J30" i="24"/>
  <c r="K30" i="24"/>
  <c r="L30" i="24"/>
  <c r="M30" i="24"/>
  <c r="C35" i="24"/>
  <c r="D35" i="24"/>
  <c r="E35" i="24"/>
  <c r="E38" i="24" s="1"/>
  <c r="F35" i="24"/>
  <c r="F38" i="24" s="1"/>
  <c r="G35" i="24"/>
  <c r="G38" i="24" s="1"/>
  <c r="H35" i="24"/>
  <c r="H38" i="24" s="1"/>
  <c r="I35" i="24"/>
  <c r="J35" i="24"/>
  <c r="C37" i="24"/>
  <c r="D37" i="24"/>
  <c r="E37" i="24"/>
  <c r="F37" i="24"/>
  <c r="G37" i="24"/>
  <c r="H37" i="24"/>
  <c r="I37" i="24"/>
  <c r="J37" i="24"/>
  <c r="C42" i="24"/>
  <c r="D42" i="24"/>
  <c r="C44" i="24"/>
  <c r="D44" i="24"/>
  <c r="C49" i="24"/>
  <c r="C52" i="24" s="1"/>
  <c r="C51" i="24"/>
  <c r="C8" i="23"/>
  <c r="E4" i="23" s="1"/>
  <c r="D8" i="23"/>
  <c r="E8" i="23"/>
  <c r="E10" i="23" s="1"/>
  <c r="F8" i="23"/>
  <c r="F10" i="23" s="1"/>
  <c r="G8" i="23"/>
  <c r="G10" i="23" s="1"/>
  <c r="H8" i="23"/>
  <c r="I8" i="23"/>
  <c r="J8" i="23"/>
  <c r="K8" i="23"/>
  <c r="K10" i="23" s="1"/>
  <c r="L8" i="23"/>
  <c r="L10" i="23" s="1"/>
  <c r="M8" i="23"/>
  <c r="M10" i="23" s="1"/>
  <c r="C14" i="23"/>
  <c r="D14" i="23"/>
  <c r="D16" i="23" s="1"/>
  <c r="E14" i="23"/>
  <c r="E16" i="23" s="1"/>
  <c r="F14" i="23"/>
  <c r="G14" i="23"/>
  <c r="H14" i="23"/>
  <c r="I14" i="23"/>
  <c r="I16" i="23" s="1"/>
  <c r="J14" i="23"/>
  <c r="J16" i="23" s="1"/>
  <c r="K14" i="23"/>
  <c r="K16" i="23" s="1"/>
  <c r="L14" i="23"/>
  <c r="C21" i="23"/>
  <c r="C24" i="23" s="1"/>
  <c r="D21" i="23"/>
  <c r="D24" i="23" s="1"/>
  <c r="E21" i="23"/>
  <c r="F21" i="23"/>
  <c r="G21" i="23"/>
  <c r="G24" i="23" s="1"/>
  <c r="C23" i="23"/>
  <c r="D23" i="23"/>
  <c r="E23" i="23"/>
  <c r="F23" i="23"/>
  <c r="G23" i="23"/>
  <c r="C28" i="23"/>
  <c r="D28" i="23"/>
  <c r="D31" i="23" s="1"/>
  <c r="C30" i="23"/>
  <c r="D30" i="23"/>
  <c r="C35" i="23"/>
  <c r="D35" i="23"/>
  <c r="E35" i="23"/>
  <c r="F35" i="23"/>
  <c r="F38" i="23" s="1"/>
  <c r="G35" i="23"/>
  <c r="H35" i="23"/>
  <c r="I35" i="23"/>
  <c r="I38" i="23" s="1"/>
  <c r="J35" i="23"/>
  <c r="J38" i="23" s="1"/>
  <c r="K35" i="23"/>
  <c r="K38" i="23" s="1"/>
  <c r="L35" i="23"/>
  <c r="L38" i="23" s="1"/>
  <c r="C37" i="23"/>
  <c r="D37" i="23"/>
  <c r="E37" i="23"/>
  <c r="F37" i="23"/>
  <c r="G37" i="23"/>
  <c r="H37" i="23"/>
  <c r="I37" i="23"/>
  <c r="J37" i="23"/>
  <c r="K37" i="23"/>
  <c r="L37" i="23"/>
  <c r="C42" i="23"/>
  <c r="C45" i="23" s="1"/>
  <c r="D42" i="23"/>
  <c r="D45" i="23" s="1"/>
  <c r="E42" i="23"/>
  <c r="F42" i="23"/>
  <c r="C44" i="23"/>
  <c r="D44" i="23"/>
  <c r="E44" i="23"/>
  <c r="F44" i="23"/>
  <c r="V49" i="23"/>
  <c r="W49" i="23"/>
  <c r="X49" i="23"/>
  <c r="V51" i="23"/>
  <c r="W51" i="23"/>
  <c r="X51" i="23"/>
  <c r="C8" i="22"/>
  <c r="E4" i="22" s="1"/>
  <c r="D8" i="22"/>
  <c r="E8" i="22"/>
  <c r="F8" i="22"/>
  <c r="G8" i="22"/>
  <c r="H8" i="22"/>
  <c r="I8" i="22"/>
  <c r="J8" i="22"/>
  <c r="K8" i="22"/>
  <c r="L8" i="22"/>
  <c r="M8" i="22"/>
  <c r="M10" i="22" s="1"/>
  <c r="N8" i="22"/>
  <c r="N10" i="22" s="1"/>
  <c r="O8" i="22"/>
  <c r="P8" i="22"/>
  <c r="Q8" i="22"/>
  <c r="C14" i="22"/>
  <c r="D14" i="22"/>
  <c r="E14" i="22"/>
  <c r="F14" i="22"/>
  <c r="G14" i="22"/>
  <c r="H14" i="22"/>
  <c r="I14" i="22"/>
  <c r="J14" i="22"/>
  <c r="K14" i="22"/>
  <c r="L14" i="22"/>
  <c r="M14" i="22"/>
  <c r="N14" i="22"/>
  <c r="N17" i="22" s="1"/>
  <c r="O14" i="22"/>
  <c r="O17" i="22" s="1"/>
  <c r="P14" i="22"/>
  <c r="Q14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C21" i="22"/>
  <c r="D21" i="22"/>
  <c r="E21" i="22"/>
  <c r="F21" i="22"/>
  <c r="G21" i="22"/>
  <c r="H21" i="22"/>
  <c r="I21" i="22"/>
  <c r="J21" i="22"/>
  <c r="K21" i="22"/>
  <c r="L21" i="22"/>
  <c r="M21" i="22"/>
  <c r="M24" i="22" s="1"/>
  <c r="N21" i="22"/>
  <c r="N24" i="22" s="1"/>
  <c r="O21" i="22"/>
  <c r="P21" i="22"/>
  <c r="Q21" i="22"/>
  <c r="R21" i="22"/>
  <c r="S21" i="22"/>
  <c r="S24" i="22" s="1"/>
  <c r="T21" i="22"/>
  <c r="T24" i="22" s="1"/>
  <c r="U21" i="22"/>
  <c r="V21" i="22"/>
  <c r="W21" i="22"/>
  <c r="C23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C28" i="22"/>
  <c r="D28" i="22"/>
  <c r="E28" i="22"/>
  <c r="E31" i="22" s="1"/>
  <c r="F28" i="22"/>
  <c r="F31" i="22" s="1"/>
  <c r="G28" i="22"/>
  <c r="H28" i="22"/>
  <c r="C30" i="22"/>
  <c r="D30" i="22"/>
  <c r="E30" i="22"/>
  <c r="F30" i="22"/>
  <c r="G30" i="22"/>
  <c r="H30" i="22"/>
  <c r="C35" i="22"/>
  <c r="D35" i="22"/>
  <c r="E35" i="22"/>
  <c r="F35" i="22"/>
  <c r="G35" i="22"/>
  <c r="H35" i="22"/>
  <c r="I35" i="22"/>
  <c r="J35" i="22"/>
  <c r="K35" i="22"/>
  <c r="L35" i="22"/>
  <c r="M35" i="22"/>
  <c r="M38" i="22" s="1"/>
  <c r="N35" i="22"/>
  <c r="O35" i="22"/>
  <c r="P35" i="22"/>
  <c r="Q35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C42" i="22"/>
  <c r="D42" i="22"/>
  <c r="E42" i="22"/>
  <c r="C44" i="22"/>
  <c r="D44" i="22"/>
  <c r="E44" i="22"/>
  <c r="C8" i="21"/>
  <c r="E4" i="21" s="1"/>
  <c r="D8" i="21"/>
  <c r="E8" i="21"/>
  <c r="F8" i="21"/>
  <c r="G8" i="21"/>
  <c r="G10" i="21" s="1"/>
  <c r="H8" i="21"/>
  <c r="I8" i="21"/>
  <c r="J8" i="21"/>
  <c r="J10" i="21" s="1"/>
  <c r="K8" i="21"/>
  <c r="K10" i="21" s="1"/>
  <c r="L8" i="21"/>
  <c r="L10" i="21" s="1"/>
  <c r="M8" i="21"/>
  <c r="M10" i="21" s="1"/>
  <c r="N8" i="21"/>
  <c r="O8" i="21"/>
  <c r="P8" i="21"/>
  <c r="P10" i="21" s="1"/>
  <c r="C14" i="21"/>
  <c r="D14" i="21"/>
  <c r="E14" i="21"/>
  <c r="F14" i="21"/>
  <c r="G14" i="21"/>
  <c r="H14" i="21"/>
  <c r="I14" i="21"/>
  <c r="C16" i="21"/>
  <c r="D16" i="21"/>
  <c r="E16" i="21"/>
  <c r="F16" i="21"/>
  <c r="G16" i="21"/>
  <c r="H16" i="21"/>
  <c r="I16" i="21"/>
  <c r="C21" i="21"/>
  <c r="D21" i="21"/>
  <c r="E21" i="21"/>
  <c r="F21" i="21"/>
  <c r="C23" i="21"/>
  <c r="D23" i="21"/>
  <c r="E23" i="21"/>
  <c r="F23" i="21"/>
  <c r="C28" i="21"/>
  <c r="C30" i="21"/>
  <c r="C35" i="21"/>
  <c r="C38" i="21" s="1"/>
  <c r="D35" i="21"/>
  <c r="D38" i="21" s="1"/>
  <c r="C37" i="21"/>
  <c r="D37" i="21"/>
  <c r="C42" i="21"/>
  <c r="C44" i="21"/>
  <c r="C49" i="21"/>
  <c r="D49" i="21"/>
  <c r="E49" i="21"/>
  <c r="F49" i="21"/>
  <c r="G49" i="21"/>
  <c r="H49" i="21"/>
  <c r="I49" i="21"/>
  <c r="J49" i="21"/>
  <c r="K49" i="21"/>
  <c r="L49" i="21"/>
  <c r="L52" i="21" s="1"/>
  <c r="M49" i="21"/>
  <c r="M52" i="21" s="1"/>
  <c r="N49" i="21"/>
  <c r="N52" i="21" s="1"/>
  <c r="O49" i="21"/>
  <c r="O52" i="21" s="1"/>
  <c r="P49" i="21"/>
  <c r="Q49" i="21"/>
  <c r="R49" i="21"/>
  <c r="R52" i="21" s="1"/>
  <c r="S49" i="21"/>
  <c r="S52" i="21" s="1"/>
  <c r="T49" i="21"/>
  <c r="T52" i="21" s="1"/>
  <c r="U49" i="21"/>
  <c r="U52" i="21" s="1"/>
  <c r="V49" i="21"/>
  <c r="W49" i="21"/>
  <c r="X49" i="21"/>
  <c r="X52" i="21" s="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P56" i="21"/>
  <c r="P59" i="21" s="1"/>
  <c r="Q56" i="21"/>
  <c r="Q59" i="21" s="1"/>
  <c r="R56" i="21"/>
  <c r="R59" i="21" s="1"/>
  <c r="S56" i="21"/>
  <c r="T56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C63" i="21"/>
  <c r="D63" i="21"/>
  <c r="E63" i="21"/>
  <c r="F63" i="21"/>
  <c r="G63" i="21"/>
  <c r="H63" i="21"/>
  <c r="I63" i="21"/>
  <c r="J63" i="21"/>
  <c r="J66" i="21" s="1"/>
  <c r="K63" i="21"/>
  <c r="K66" i="21" s="1"/>
  <c r="L63" i="21"/>
  <c r="L66" i="21" s="1"/>
  <c r="M63" i="21"/>
  <c r="M66" i="21" s="1"/>
  <c r="C65" i="21"/>
  <c r="D65" i="21"/>
  <c r="E65" i="21"/>
  <c r="F65" i="21"/>
  <c r="G65" i="21"/>
  <c r="H65" i="21"/>
  <c r="I65" i="21"/>
  <c r="J65" i="21"/>
  <c r="K65" i="21"/>
  <c r="L65" i="21"/>
  <c r="M65" i="21"/>
  <c r="C70" i="21"/>
  <c r="D70" i="21"/>
  <c r="E70" i="21"/>
  <c r="F70" i="21"/>
  <c r="G70" i="21"/>
  <c r="H70" i="21"/>
  <c r="I70" i="21"/>
  <c r="I73" i="21" s="1"/>
  <c r="J70" i="21"/>
  <c r="J73" i="21" s="1"/>
  <c r="K70" i="21"/>
  <c r="L70" i="21"/>
  <c r="M70" i="21"/>
  <c r="M73" i="21" s="1"/>
  <c r="C72" i="21"/>
  <c r="D72" i="21"/>
  <c r="E72" i="21"/>
  <c r="F72" i="21"/>
  <c r="G72" i="21"/>
  <c r="H72" i="21"/>
  <c r="I72" i="21"/>
  <c r="J72" i="21"/>
  <c r="K72" i="21"/>
  <c r="L72" i="21"/>
  <c r="M72" i="21"/>
  <c r="C77" i="21"/>
  <c r="D77" i="21"/>
  <c r="E77" i="21"/>
  <c r="E80" i="21" s="1"/>
  <c r="F77" i="21"/>
  <c r="F80" i="21" s="1"/>
  <c r="G77" i="21"/>
  <c r="G80" i="21" s="1"/>
  <c r="C79" i="21"/>
  <c r="D79" i="21"/>
  <c r="E79" i="21"/>
  <c r="F79" i="21"/>
  <c r="G79" i="21"/>
  <c r="C8" i="20"/>
  <c r="E4" i="20" s="1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Q10" i="20" s="1"/>
  <c r="R8" i="20"/>
  <c r="R10" i="20" s="1"/>
  <c r="S8" i="20"/>
  <c r="S10" i="20" s="1"/>
  <c r="T8" i="20"/>
  <c r="U8" i="20"/>
  <c r="V8" i="20"/>
  <c r="W8" i="20"/>
  <c r="W10" i="20" s="1"/>
  <c r="X8" i="20"/>
  <c r="X10" i="20" s="1"/>
  <c r="Y8" i="20"/>
  <c r="Y10" i="20" s="1"/>
  <c r="C14" i="20"/>
  <c r="D14" i="20"/>
  <c r="E14" i="20"/>
  <c r="F14" i="20"/>
  <c r="G14" i="20"/>
  <c r="H14" i="20"/>
  <c r="I14" i="20"/>
  <c r="C16" i="20"/>
  <c r="D16" i="20"/>
  <c r="E16" i="20"/>
  <c r="F16" i="20"/>
  <c r="G16" i="20"/>
  <c r="H16" i="20"/>
  <c r="I16" i="20"/>
  <c r="C21" i="20"/>
  <c r="C23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T31" i="20" s="1"/>
  <c r="U28" i="20"/>
  <c r="V28" i="20"/>
  <c r="W28" i="20"/>
  <c r="X28" i="20"/>
  <c r="X31" i="20" s="1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C35" i="20"/>
  <c r="D35" i="20"/>
  <c r="E35" i="20"/>
  <c r="F35" i="20"/>
  <c r="G35" i="20"/>
  <c r="H35" i="20"/>
  <c r="I35" i="20"/>
  <c r="J35" i="20"/>
  <c r="K35" i="20"/>
  <c r="L35" i="20"/>
  <c r="L38" i="20" s="1"/>
  <c r="C37" i="20"/>
  <c r="D37" i="20"/>
  <c r="E37" i="20"/>
  <c r="F37" i="20"/>
  <c r="G37" i="20"/>
  <c r="H37" i="20"/>
  <c r="I37" i="20"/>
  <c r="J37" i="20"/>
  <c r="K37" i="20"/>
  <c r="L37" i="20"/>
  <c r="C42" i="20"/>
  <c r="D42" i="20"/>
  <c r="E42" i="20"/>
  <c r="E45" i="20" s="1"/>
  <c r="C44" i="20"/>
  <c r="D44" i="20"/>
  <c r="E44" i="20"/>
  <c r="C8" i="18"/>
  <c r="E4" i="18" s="1"/>
  <c r="D8" i="18"/>
  <c r="E8" i="18"/>
  <c r="F8" i="18"/>
  <c r="G8" i="18"/>
  <c r="H8" i="18"/>
  <c r="I8" i="18"/>
  <c r="J8" i="18"/>
  <c r="J10" i="18" s="1"/>
  <c r="K8" i="18"/>
  <c r="L8" i="18"/>
  <c r="L10" i="18" s="1"/>
  <c r="M8" i="18"/>
  <c r="M10" i="18" s="1"/>
  <c r="N8" i="18"/>
  <c r="O8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R17" i="18" s="1"/>
  <c r="S14" i="18"/>
  <c r="S17" i="18" s="1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C21" i="18"/>
  <c r="D21" i="18"/>
  <c r="E21" i="18"/>
  <c r="F21" i="18"/>
  <c r="G21" i="18"/>
  <c r="H21" i="18"/>
  <c r="H24" i="18" s="1"/>
  <c r="I21" i="18"/>
  <c r="I24" i="18" s="1"/>
  <c r="J21" i="18"/>
  <c r="J24" i="18" s="1"/>
  <c r="K21" i="18"/>
  <c r="K24" i="18" s="1"/>
  <c r="L21" i="18"/>
  <c r="M21" i="18"/>
  <c r="N21" i="18"/>
  <c r="N24" i="18" s="1"/>
  <c r="O21" i="18"/>
  <c r="O24" i="18" s="1"/>
  <c r="P21" i="18"/>
  <c r="P24" i="18" s="1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C28" i="18"/>
  <c r="D28" i="18"/>
  <c r="E28" i="18"/>
  <c r="F28" i="18"/>
  <c r="G28" i="18"/>
  <c r="H28" i="18"/>
  <c r="H31" i="18" s="1"/>
  <c r="I28" i="18"/>
  <c r="I31" i="18" s="1"/>
  <c r="C30" i="18"/>
  <c r="D30" i="18"/>
  <c r="E30" i="18"/>
  <c r="F30" i="18"/>
  <c r="G30" i="18"/>
  <c r="H30" i="18"/>
  <c r="I30" i="18"/>
  <c r="C35" i="18"/>
  <c r="D35" i="18"/>
  <c r="E35" i="18"/>
  <c r="E38" i="18" s="1"/>
  <c r="F35" i="18"/>
  <c r="F38" i="18" s="1"/>
  <c r="G35" i="18"/>
  <c r="C37" i="18"/>
  <c r="D37" i="18"/>
  <c r="E37" i="18"/>
  <c r="F37" i="18"/>
  <c r="G37" i="18"/>
  <c r="C42" i="18"/>
  <c r="C45" i="18" s="1"/>
  <c r="D42" i="18"/>
  <c r="D45" i="18" s="1"/>
  <c r="E42" i="18"/>
  <c r="E45" i="18" s="1"/>
  <c r="F42" i="18"/>
  <c r="G42" i="18"/>
  <c r="H42" i="18"/>
  <c r="H45" i="18" s="1"/>
  <c r="I42" i="18"/>
  <c r="I45" i="18" s="1"/>
  <c r="J42" i="18"/>
  <c r="J45" i="18" s="1"/>
  <c r="C44" i="18"/>
  <c r="D44" i="18"/>
  <c r="E44" i="18"/>
  <c r="F44" i="18"/>
  <c r="G44" i="18"/>
  <c r="H44" i="18"/>
  <c r="I44" i="18"/>
  <c r="J44" i="18"/>
  <c r="C49" i="18"/>
  <c r="D49" i="18"/>
  <c r="E49" i="18"/>
  <c r="E52" i="18" s="1"/>
  <c r="F49" i="18"/>
  <c r="G49" i="18"/>
  <c r="H49" i="18"/>
  <c r="H52" i="18" s="1"/>
  <c r="C51" i="18"/>
  <c r="D51" i="18"/>
  <c r="E51" i="18"/>
  <c r="F51" i="18"/>
  <c r="G51" i="18"/>
  <c r="H51" i="18"/>
  <c r="C56" i="18"/>
  <c r="D56" i="18"/>
  <c r="E56" i="18"/>
  <c r="F56" i="18"/>
  <c r="G56" i="18"/>
  <c r="H56" i="18"/>
  <c r="I56" i="18"/>
  <c r="J56" i="18"/>
  <c r="K56" i="18"/>
  <c r="K59" i="18" s="1"/>
  <c r="L56" i="18"/>
  <c r="L59" i="18" s="1"/>
  <c r="M56" i="18"/>
  <c r="M59" i="18" s="1"/>
  <c r="C58" i="18"/>
  <c r="D58" i="18"/>
  <c r="E58" i="18"/>
  <c r="F58" i="18"/>
  <c r="G58" i="18"/>
  <c r="H58" i="18"/>
  <c r="I58" i="18"/>
  <c r="J58" i="18"/>
  <c r="K58" i="18"/>
  <c r="L58" i="18"/>
  <c r="M58" i="18"/>
  <c r="C63" i="18"/>
  <c r="D63" i="18"/>
  <c r="E63" i="18"/>
  <c r="E66" i="18" s="1"/>
  <c r="F63" i="18"/>
  <c r="G63" i="18"/>
  <c r="C65" i="18"/>
  <c r="D65" i="18"/>
  <c r="E65" i="18"/>
  <c r="F65" i="18"/>
  <c r="G65" i="18"/>
  <c r="C70" i="18"/>
  <c r="D70" i="18"/>
  <c r="E70" i="18"/>
  <c r="F70" i="18"/>
  <c r="G70" i="18"/>
  <c r="C72" i="18"/>
  <c r="D72" i="18"/>
  <c r="E72" i="18"/>
  <c r="F72" i="18"/>
  <c r="G72" i="18"/>
  <c r="C77" i="18"/>
  <c r="D77" i="18"/>
  <c r="C79" i="18"/>
  <c r="D79" i="18"/>
  <c r="C84" i="18"/>
  <c r="D84" i="18"/>
  <c r="E84" i="18"/>
  <c r="C86" i="18"/>
  <c r="D86" i="18"/>
  <c r="E86" i="18"/>
  <c r="C91" i="18"/>
  <c r="D91" i="18"/>
  <c r="E91" i="18"/>
  <c r="F91" i="18"/>
  <c r="G91" i="18"/>
  <c r="G94" i="18" s="1"/>
  <c r="H91" i="18"/>
  <c r="H94" i="18" s="1"/>
  <c r="I91" i="18"/>
  <c r="I94" i="18" s="1"/>
  <c r="C93" i="18"/>
  <c r="D93" i="18"/>
  <c r="E93" i="18"/>
  <c r="F93" i="18"/>
  <c r="G93" i="18"/>
  <c r="H93" i="18"/>
  <c r="I93" i="18"/>
  <c r="C98" i="18"/>
  <c r="D98" i="18"/>
  <c r="D101" i="18" s="1"/>
  <c r="E98" i="18"/>
  <c r="F98" i="18"/>
  <c r="G98" i="18"/>
  <c r="H98" i="18"/>
  <c r="I98" i="18"/>
  <c r="C100" i="18"/>
  <c r="D100" i="18"/>
  <c r="E100" i="18"/>
  <c r="F100" i="18"/>
  <c r="G100" i="18"/>
  <c r="H100" i="18"/>
  <c r="I100" i="18"/>
  <c r="C105" i="18"/>
  <c r="D105" i="18"/>
  <c r="E105" i="18"/>
  <c r="F105" i="18"/>
  <c r="G105" i="18"/>
  <c r="C107" i="18"/>
  <c r="D107" i="18"/>
  <c r="E107" i="18"/>
  <c r="F107" i="18"/>
  <c r="G107" i="18"/>
  <c r="C8" i="17"/>
  <c r="E4" i="17" s="1"/>
  <c r="D8" i="17"/>
  <c r="E8" i="17"/>
  <c r="F8" i="17"/>
  <c r="G8" i="17"/>
  <c r="H8" i="17"/>
  <c r="I8" i="17"/>
  <c r="J8" i="17"/>
  <c r="K8" i="17"/>
  <c r="L8" i="17"/>
  <c r="L10" i="17" s="1"/>
  <c r="M8" i="17"/>
  <c r="M10" i="17" s="1"/>
  <c r="N8" i="17"/>
  <c r="O8" i="17"/>
  <c r="P8" i="17"/>
  <c r="P10" i="17" s="1"/>
  <c r="Q8" i="17"/>
  <c r="Q10" i="17" s="1"/>
  <c r="R8" i="17"/>
  <c r="R10" i="17" s="1"/>
  <c r="S8" i="17"/>
  <c r="S10" i="17" s="1"/>
  <c r="T8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R17" i="17" s="1"/>
  <c r="S14" i="17"/>
  <c r="S17" i="17" s="1"/>
  <c r="T14" i="17"/>
  <c r="T17" i="17" s="1"/>
  <c r="U14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O24" i="17" s="1"/>
  <c r="P21" i="17"/>
  <c r="P24" i="17" s="1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C28" i="17"/>
  <c r="D28" i="17"/>
  <c r="E28" i="17"/>
  <c r="E31" i="17" s="1"/>
  <c r="F28" i="17"/>
  <c r="F31" i="17" s="1"/>
  <c r="G28" i="17"/>
  <c r="C30" i="17"/>
  <c r="D30" i="17"/>
  <c r="E30" i="17"/>
  <c r="F30" i="17"/>
  <c r="G30" i="17"/>
  <c r="C35" i="17"/>
  <c r="D35" i="17"/>
  <c r="E35" i="17"/>
  <c r="F35" i="17"/>
  <c r="G35" i="17"/>
  <c r="H35" i="17"/>
  <c r="I35" i="17"/>
  <c r="J35" i="17"/>
  <c r="K35" i="17"/>
  <c r="K38" i="17" s="1"/>
  <c r="L35" i="17"/>
  <c r="M35" i="17"/>
  <c r="N35" i="17"/>
  <c r="N38" i="17" s="1"/>
  <c r="O35" i="17"/>
  <c r="O38" i="17" s="1"/>
  <c r="P35" i="17"/>
  <c r="P38" i="17" s="1"/>
  <c r="Q35" i="17"/>
  <c r="Q38" i="17" s="1"/>
  <c r="R35" i="17"/>
  <c r="S35" i="17"/>
  <c r="T35" i="17"/>
  <c r="T38" i="17" s="1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C42" i="17"/>
  <c r="D42" i="17"/>
  <c r="E42" i="17"/>
  <c r="F42" i="17"/>
  <c r="C44" i="17"/>
  <c r="D44" i="17"/>
  <c r="E44" i="17"/>
  <c r="F44" i="17"/>
  <c r="C8" i="16"/>
  <c r="E4" i="16" s="1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P10" i="16" s="1"/>
  <c r="Q8" i="16"/>
  <c r="R8" i="16"/>
  <c r="S8" i="16"/>
  <c r="S10" i="16" s="1"/>
  <c r="T8" i="16"/>
  <c r="U8" i="16"/>
  <c r="C14" i="16"/>
  <c r="D14" i="16"/>
  <c r="E14" i="16"/>
  <c r="F14" i="16"/>
  <c r="C16" i="16"/>
  <c r="D16" i="16"/>
  <c r="E16" i="16"/>
  <c r="F16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C28" i="16"/>
  <c r="D28" i="16"/>
  <c r="E28" i="16"/>
  <c r="F28" i="16"/>
  <c r="F31" i="16" s="1"/>
  <c r="G28" i="16"/>
  <c r="G31" i="16" s="1"/>
  <c r="H28" i="16"/>
  <c r="H31" i="16" s="1"/>
  <c r="C30" i="16"/>
  <c r="D30" i="16"/>
  <c r="E30" i="16"/>
  <c r="F30" i="16"/>
  <c r="G30" i="16"/>
  <c r="H30" i="16"/>
  <c r="C35" i="16"/>
  <c r="C37" i="16"/>
  <c r="C42" i="16"/>
  <c r="C44" i="16"/>
  <c r="C49" i="16"/>
  <c r="C51" i="16"/>
  <c r="C7" i="15"/>
  <c r="D14" i="15"/>
  <c r="C14" i="15"/>
  <c r="D21" i="15"/>
  <c r="E21" i="15"/>
  <c r="F21" i="15"/>
  <c r="G21" i="15"/>
  <c r="C21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C28" i="15"/>
  <c r="D35" i="15"/>
  <c r="E35" i="15"/>
  <c r="F35" i="15"/>
  <c r="G35" i="15"/>
  <c r="H35" i="15"/>
  <c r="I35" i="15"/>
  <c r="J35" i="15"/>
  <c r="K35" i="15"/>
  <c r="L35" i="15"/>
  <c r="M35" i="15"/>
  <c r="N35" i="15"/>
  <c r="C35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C41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C48" i="15"/>
  <c r="D55" i="15"/>
  <c r="E55" i="15"/>
  <c r="F55" i="15"/>
  <c r="G55" i="15"/>
  <c r="H55" i="15"/>
  <c r="I55" i="15"/>
  <c r="J55" i="15"/>
  <c r="C55" i="15"/>
  <c r="D62" i="15"/>
  <c r="E62" i="15"/>
  <c r="F62" i="15"/>
  <c r="G62" i="15"/>
  <c r="H62" i="15"/>
  <c r="I62" i="15"/>
  <c r="J62" i="15"/>
  <c r="C62" i="15"/>
  <c r="E69" i="15"/>
  <c r="D69" i="15"/>
  <c r="C6" i="15"/>
  <c r="C4" i="15"/>
  <c r="D13" i="15"/>
  <c r="C13" i="15"/>
  <c r="D11" i="15"/>
  <c r="C11" i="15"/>
  <c r="D20" i="15"/>
  <c r="E20" i="15"/>
  <c r="F20" i="15"/>
  <c r="G20" i="15"/>
  <c r="C20" i="15"/>
  <c r="O27" i="15"/>
  <c r="D27" i="15"/>
  <c r="E27" i="15"/>
  <c r="F27" i="15"/>
  <c r="G27" i="15"/>
  <c r="H27" i="15"/>
  <c r="I27" i="15"/>
  <c r="J27" i="15"/>
  <c r="K27" i="15"/>
  <c r="L27" i="15"/>
  <c r="M27" i="15"/>
  <c r="N27" i="15"/>
  <c r="C27" i="15"/>
  <c r="G18" i="15"/>
  <c r="F18" i="15"/>
  <c r="E18" i="15"/>
  <c r="D18" i="15"/>
  <c r="C18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D34" i="15"/>
  <c r="E34" i="15"/>
  <c r="F34" i="15"/>
  <c r="G34" i="15"/>
  <c r="H34" i="15"/>
  <c r="I34" i="15"/>
  <c r="J34" i="15"/>
  <c r="K34" i="15"/>
  <c r="L34" i="15"/>
  <c r="M34" i="15"/>
  <c r="N34" i="15"/>
  <c r="C34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D68" i="15"/>
  <c r="E68" i="15"/>
  <c r="C68" i="15"/>
  <c r="E66" i="15"/>
  <c r="D66" i="15"/>
  <c r="C66" i="15"/>
  <c r="D61" i="15"/>
  <c r="E61" i="15"/>
  <c r="F61" i="15"/>
  <c r="G61" i="15"/>
  <c r="H61" i="15"/>
  <c r="I61" i="15"/>
  <c r="J61" i="15"/>
  <c r="C61" i="15"/>
  <c r="J59" i="15"/>
  <c r="I59" i="15"/>
  <c r="H59" i="15"/>
  <c r="G59" i="15"/>
  <c r="F59" i="15"/>
  <c r="E59" i="15"/>
  <c r="D59" i="15"/>
  <c r="C59" i="15"/>
  <c r="D54" i="15"/>
  <c r="E54" i="15"/>
  <c r="F54" i="15"/>
  <c r="G54" i="15"/>
  <c r="H54" i="15"/>
  <c r="I54" i="15"/>
  <c r="J54" i="15"/>
  <c r="C54" i="15"/>
  <c r="J52" i="15"/>
  <c r="I52" i="15"/>
  <c r="H52" i="15"/>
  <c r="G52" i="15"/>
  <c r="F52" i="15"/>
  <c r="E52" i="15"/>
  <c r="D52" i="15"/>
  <c r="C52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C47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C7" i="14"/>
  <c r="D14" i="14"/>
  <c r="E14" i="14"/>
  <c r="F14" i="14"/>
  <c r="C14" i="14"/>
  <c r="D21" i="14"/>
  <c r="E21" i="14"/>
  <c r="F21" i="14"/>
  <c r="G21" i="14"/>
  <c r="H21" i="14"/>
  <c r="I21" i="14"/>
  <c r="J21" i="14"/>
  <c r="K21" i="14"/>
  <c r="C21" i="14"/>
  <c r="E27" i="14"/>
  <c r="F27" i="14"/>
  <c r="G27" i="14"/>
  <c r="H27" i="14"/>
  <c r="I27" i="14"/>
  <c r="J27" i="14"/>
  <c r="K27" i="14"/>
  <c r="L27" i="14"/>
  <c r="D27" i="14"/>
  <c r="E34" i="14"/>
  <c r="F34" i="14"/>
  <c r="G34" i="14"/>
  <c r="D34" i="14"/>
  <c r="D41" i="14"/>
  <c r="E41" i="14"/>
  <c r="F41" i="14"/>
  <c r="C41" i="14"/>
  <c r="D48" i="14"/>
  <c r="C48" i="14"/>
  <c r="B50" i="14"/>
  <c r="C6" i="14"/>
  <c r="C4" i="14"/>
  <c r="D13" i="14"/>
  <c r="E13" i="14"/>
  <c r="F13" i="14"/>
  <c r="C13" i="14"/>
  <c r="D20" i="14"/>
  <c r="E20" i="14"/>
  <c r="F20" i="14"/>
  <c r="G20" i="14"/>
  <c r="H20" i="14"/>
  <c r="I20" i="14"/>
  <c r="J20" i="14"/>
  <c r="K20" i="14"/>
  <c r="C20" i="14"/>
  <c r="F11" i="14"/>
  <c r="E11" i="14"/>
  <c r="D11" i="14"/>
  <c r="C11" i="14"/>
  <c r="K18" i="14"/>
  <c r="J18" i="14"/>
  <c r="I18" i="14"/>
  <c r="H18" i="14"/>
  <c r="G18" i="14"/>
  <c r="F18" i="14"/>
  <c r="E18" i="14"/>
  <c r="D18" i="14"/>
  <c r="C18" i="14"/>
  <c r="D47" i="14"/>
  <c r="C47" i="14"/>
  <c r="D45" i="14"/>
  <c r="C45" i="14"/>
  <c r="D40" i="14"/>
  <c r="E40" i="14"/>
  <c r="F40" i="14"/>
  <c r="C40" i="14"/>
  <c r="F38" i="14"/>
  <c r="E38" i="14"/>
  <c r="D38" i="14"/>
  <c r="C38" i="14"/>
  <c r="D33" i="14"/>
  <c r="E33" i="14"/>
  <c r="F33" i="14"/>
  <c r="G33" i="14"/>
  <c r="C33" i="14"/>
  <c r="G31" i="14"/>
  <c r="F31" i="14"/>
  <c r="E31" i="14"/>
  <c r="D31" i="14"/>
  <c r="C31" i="14"/>
  <c r="L25" i="14"/>
  <c r="K25" i="14"/>
  <c r="J25" i="14"/>
  <c r="I25" i="14"/>
  <c r="H25" i="14"/>
  <c r="G25" i="14"/>
  <c r="F25" i="14"/>
  <c r="E25" i="14"/>
  <c r="D25" i="14"/>
  <c r="C25" i="14"/>
  <c r="F7" i="13"/>
  <c r="G7" i="13"/>
  <c r="E7" i="13"/>
  <c r="D14" i="13"/>
  <c r="E14" i="13"/>
  <c r="F14" i="13"/>
  <c r="G14" i="13"/>
  <c r="H14" i="13"/>
  <c r="C14" i="13"/>
  <c r="E21" i="13"/>
  <c r="F21" i="13"/>
  <c r="G21" i="13"/>
  <c r="H21" i="13"/>
  <c r="I21" i="13"/>
  <c r="J21" i="13"/>
  <c r="K21" i="13"/>
  <c r="D21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D27" i="13"/>
  <c r="D34" i="13"/>
  <c r="E34" i="13"/>
  <c r="F34" i="13"/>
  <c r="G34" i="13"/>
  <c r="H34" i="13"/>
  <c r="I34" i="13"/>
  <c r="J34" i="13"/>
  <c r="K34" i="13"/>
  <c r="L34" i="13"/>
  <c r="C34" i="13"/>
  <c r="B36" i="13"/>
  <c r="D6" i="13"/>
  <c r="E6" i="13"/>
  <c r="F6" i="13"/>
  <c r="G6" i="13"/>
  <c r="C6" i="13"/>
  <c r="G4" i="13"/>
  <c r="F4" i="13"/>
  <c r="E4" i="13"/>
  <c r="D4" i="13"/>
  <c r="C4" i="13"/>
  <c r="D13" i="13"/>
  <c r="E13" i="13"/>
  <c r="F13" i="13"/>
  <c r="G13" i="13"/>
  <c r="H13" i="13"/>
  <c r="C13" i="13"/>
  <c r="H11" i="13"/>
  <c r="G11" i="13"/>
  <c r="F11" i="13"/>
  <c r="E11" i="13"/>
  <c r="D11" i="13"/>
  <c r="C11" i="13"/>
  <c r="D20" i="13"/>
  <c r="E20" i="13"/>
  <c r="F20" i="13"/>
  <c r="G20" i="13"/>
  <c r="H20" i="13"/>
  <c r="I20" i="13"/>
  <c r="J20" i="13"/>
  <c r="K20" i="13"/>
  <c r="C20" i="13"/>
  <c r="K18" i="13"/>
  <c r="J18" i="13"/>
  <c r="I18" i="13"/>
  <c r="H18" i="13"/>
  <c r="G18" i="13"/>
  <c r="F18" i="13"/>
  <c r="E18" i="13"/>
  <c r="D18" i="13"/>
  <c r="D33" i="13"/>
  <c r="E33" i="13"/>
  <c r="F33" i="13"/>
  <c r="G33" i="13"/>
  <c r="H33" i="13"/>
  <c r="I33" i="13"/>
  <c r="J33" i="13"/>
  <c r="K33" i="13"/>
  <c r="L33" i="13"/>
  <c r="C33" i="13"/>
  <c r="C18" i="13"/>
  <c r="L31" i="13"/>
  <c r="K31" i="13"/>
  <c r="J31" i="13"/>
  <c r="I31" i="13"/>
  <c r="H31" i="13"/>
  <c r="G31" i="13"/>
  <c r="F31" i="13"/>
  <c r="E31" i="13"/>
  <c r="D31" i="13"/>
  <c r="C31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F7" i="10"/>
  <c r="E7" i="10"/>
  <c r="D14" i="10"/>
  <c r="E14" i="10"/>
  <c r="F14" i="10"/>
  <c r="G14" i="10"/>
  <c r="H14" i="10"/>
  <c r="I14" i="10"/>
  <c r="C14" i="10"/>
  <c r="D21" i="10"/>
  <c r="E21" i="10"/>
  <c r="F21" i="10"/>
  <c r="G21" i="10"/>
  <c r="H21" i="10"/>
  <c r="I21" i="10"/>
  <c r="J21" i="10"/>
  <c r="K21" i="10"/>
  <c r="C21" i="10"/>
  <c r="G28" i="10"/>
  <c r="H28" i="10"/>
  <c r="I28" i="10"/>
  <c r="J28" i="10"/>
  <c r="K28" i="10"/>
  <c r="L28" i="10"/>
  <c r="M28" i="10"/>
  <c r="N28" i="10"/>
  <c r="O28" i="10"/>
  <c r="P28" i="10"/>
  <c r="Q28" i="10"/>
  <c r="F28" i="10"/>
  <c r="F34" i="10"/>
  <c r="G34" i="10"/>
  <c r="H34" i="10"/>
  <c r="I34" i="10"/>
  <c r="J34" i="10"/>
  <c r="K34" i="10"/>
  <c r="L34" i="10"/>
  <c r="M34" i="10"/>
  <c r="N34" i="10"/>
  <c r="O34" i="10"/>
  <c r="E34" i="10"/>
  <c r="D41" i="10"/>
  <c r="E41" i="10"/>
  <c r="F41" i="10"/>
  <c r="G41" i="10"/>
  <c r="C41" i="10"/>
  <c r="B57" i="10"/>
  <c r="D6" i="10"/>
  <c r="E6" i="10"/>
  <c r="F6" i="10"/>
  <c r="C6" i="10"/>
  <c r="F4" i="10"/>
  <c r="E4" i="10"/>
  <c r="D4" i="10"/>
  <c r="C4" i="10"/>
  <c r="D13" i="10"/>
  <c r="E13" i="10"/>
  <c r="F13" i="10"/>
  <c r="G13" i="10"/>
  <c r="H13" i="10"/>
  <c r="I13" i="10"/>
  <c r="C13" i="10"/>
  <c r="I11" i="10"/>
  <c r="H11" i="10"/>
  <c r="G11" i="10"/>
  <c r="F11" i="10"/>
  <c r="E11" i="10"/>
  <c r="D11" i="10"/>
  <c r="C11" i="10"/>
  <c r="D20" i="10"/>
  <c r="E20" i="10"/>
  <c r="F20" i="10"/>
  <c r="G20" i="10"/>
  <c r="H20" i="10"/>
  <c r="I20" i="10"/>
  <c r="J20" i="10"/>
  <c r="K20" i="10"/>
  <c r="C20" i="10"/>
  <c r="K18" i="10"/>
  <c r="J18" i="10"/>
  <c r="I18" i="10"/>
  <c r="H18" i="10"/>
  <c r="G18" i="10"/>
  <c r="F18" i="10"/>
  <c r="E18" i="10"/>
  <c r="D18" i="10"/>
  <c r="C18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27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D54" i="10"/>
  <c r="C54" i="10"/>
  <c r="D52" i="10"/>
  <c r="C52" i="10"/>
  <c r="D47" i="10"/>
  <c r="C47" i="10"/>
  <c r="D45" i="10"/>
  <c r="C45" i="10"/>
  <c r="D40" i="10"/>
  <c r="E40" i="10"/>
  <c r="F40" i="10"/>
  <c r="G40" i="10"/>
  <c r="C40" i="10"/>
  <c r="G38" i="10"/>
  <c r="F38" i="10"/>
  <c r="E38" i="10"/>
  <c r="D38" i="10"/>
  <c r="C38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E7" i="9"/>
  <c r="F7" i="9"/>
  <c r="G7" i="9"/>
  <c r="H7" i="9"/>
  <c r="I7" i="9"/>
  <c r="J7" i="9"/>
  <c r="K7" i="9"/>
  <c r="L7" i="9"/>
  <c r="M7" i="9"/>
  <c r="N7" i="9"/>
  <c r="O7" i="9"/>
  <c r="P7" i="9"/>
  <c r="D7" i="9"/>
  <c r="D14" i="9"/>
  <c r="E14" i="9"/>
  <c r="F14" i="9"/>
  <c r="G14" i="9"/>
  <c r="H14" i="9"/>
  <c r="I14" i="9"/>
  <c r="J14" i="9"/>
  <c r="K14" i="9"/>
  <c r="L14" i="9"/>
  <c r="M14" i="9"/>
  <c r="N14" i="9"/>
  <c r="C14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C21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D27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D34" i="9"/>
  <c r="D41" i="9"/>
  <c r="E41" i="9"/>
  <c r="F41" i="9"/>
  <c r="G41" i="9"/>
  <c r="C41" i="9"/>
  <c r="C48" i="9"/>
  <c r="D55" i="9"/>
  <c r="C55" i="9"/>
  <c r="C62" i="9"/>
  <c r="B64" i="9"/>
  <c r="D6" i="9"/>
  <c r="E6" i="9"/>
  <c r="F6" i="9"/>
  <c r="G6" i="9"/>
  <c r="H6" i="9"/>
  <c r="I6" i="9"/>
  <c r="J6" i="9"/>
  <c r="K6" i="9"/>
  <c r="L6" i="9"/>
  <c r="M6" i="9"/>
  <c r="N6" i="9"/>
  <c r="O6" i="9"/>
  <c r="P6" i="9"/>
  <c r="C6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D13" i="9"/>
  <c r="E13" i="9"/>
  <c r="F13" i="9"/>
  <c r="G13" i="9"/>
  <c r="H13" i="9"/>
  <c r="I13" i="9"/>
  <c r="J13" i="9"/>
  <c r="K13" i="9"/>
  <c r="L13" i="9"/>
  <c r="M13" i="9"/>
  <c r="N13" i="9"/>
  <c r="C13" i="9"/>
  <c r="N11" i="9"/>
  <c r="M11" i="9"/>
  <c r="L11" i="9"/>
  <c r="K11" i="9"/>
  <c r="J11" i="9"/>
  <c r="I11" i="9"/>
  <c r="H11" i="9"/>
  <c r="G11" i="9"/>
  <c r="F11" i="9"/>
  <c r="E11" i="9"/>
  <c r="D11" i="9"/>
  <c r="C11" i="9"/>
  <c r="P20" i="9"/>
  <c r="P18" i="9"/>
  <c r="D20" i="9"/>
  <c r="E20" i="9"/>
  <c r="F20" i="9"/>
  <c r="G20" i="9"/>
  <c r="H20" i="9"/>
  <c r="I20" i="9"/>
  <c r="J20" i="9"/>
  <c r="K20" i="9"/>
  <c r="L20" i="9"/>
  <c r="M20" i="9"/>
  <c r="N20" i="9"/>
  <c r="O20" i="9"/>
  <c r="C20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C61" i="9"/>
  <c r="C59" i="9"/>
  <c r="D54" i="9"/>
  <c r="C54" i="9"/>
  <c r="D52" i="9"/>
  <c r="C52" i="9"/>
  <c r="C47" i="9"/>
  <c r="C45" i="9"/>
  <c r="D40" i="9"/>
  <c r="E40" i="9"/>
  <c r="F40" i="9"/>
  <c r="G40" i="9"/>
  <c r="C40" i="9"/>
  <c r="G38" i="9"/>
  <c r="F38" i="9"/>
  <c r="E38" i="9"/>
  <c r="D38" i="9"/>
  <c r="C38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C33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D14" i="8"/>
  <c r="C14" i="8"/>
  <c r="D21" i="8"/>
  <c r="C21" i="8"/>
  <c r="D35" i="8"/>
  <c r="C35" i="8"/>
  <c r="D42" i="8"/>
  <c r="D49" i="8"/>
  <c r="E49" i="8"/>
  <c r="F49" i="8"/>
  <c r="G49" i="8"/>
  <c r="C49" i="8"/>
  <c r="E56" i="8"/>
  <c r="F56" i="8"/>
  <c r="G56" i="8"/>
  <c r="H56" i="8"/>
  <c r="I56" i="8"/>
  <c r="J56" i="8"/>
  <c r="K56" i="8"/>
  <c r="L56" i="8"/>
  <c r="D56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G63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E69" i="8"/>
  <c r="E76" i="8"/>
  <c r="F76" i="8"/>
  <c r="G76" i="8"/>
  <c r="H76" i="8"/>
  <c r="I76" i="8"/>
  <c r="J76" i="8"/>
  <c r="K76" i="8"/>
  <c r="L76" i="8"/>
  <c r="M76" i="8"/>
  <c r="N76" i="8"/>
  <c r="D76" i="8"/>
  <c r="D83" i="8"/>
  <c r="E83" i="8"/>
  <c r="C83" i="8"/>
  <c r="B85" i="8"/>
  <c r="C6" i="8"/>
  <c r="C4" i="8"/>
  <c r="D13" i="8"/>
  <c r="C13" i="8"/>
  <c r="D11" i="8"/>
  <c r="C11" i="8"/>
  <c r="D20" i="8"/>
  <c r="C20" i="8"/>
  <c r="D18" i="8"/>
  <c r="C18" i="8"/>
  <c r="D27" i="8"/>
  <c r="E27" i="8"/>
  <c r="C27" i="8"/>
  <c r="E25" i="8"/>
  <c r="D25" i="8"/>
  <c r="C25" i="8"/>
  <c r="D34" i="8"/>
  <c r="C34" i="8"/>
  <c r="D32" i="8"/>
  <c r="C32" i="8"/>
  <c r="D41" i="8"/>
  <c r="C41" i="8"/>
  <c r="D39" i="8"/>
  <c r="C39" i="8"/>
  <c r="D48" i="8"/>
  <c r="E48" i="8"/>
  <c r="F48" i="8"/>
  <c r="G48" i="8"/>
  <c r="C48" i="8"/>
  <c r="G46" i="8"/>
  <c r="F46" i="8"/>
  <c r="E46" i="8"/>
  <c r="D46" i="8"/>
  <c r="C46" i="8"/>
  <c r="D55" i="8"/>
  <c r="E55" i="8"/>
  <c r="F55" i="8"/>
  <c r="G55" i="8"/>
  <c r="H55" i="8"/>
  <c r="I55" i="8"/>
  <c r="J55" i="8"/>
  <c r="K55" i="8"/>
  <c r="L55" i="8"/>
  <c r="C55" i="8"/>
  <c r="L53" i="8"/>
  <c r="K53" i="8"/>
  <c r="J53" i="8"/>
  <c r="I53" i="8"/>
  <c r="H53" i="8"/>
  <c r="G53" i="8"/>
  <c r="F53" i="8"/>
  <c r="E53" i="8"/>
  <c r="D53" i="8"/>
  <c r="C53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C62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D82" i="8"/>
  <c r="E82" i="8"/>
  <c r="C82" i="8"/>
  <c r="E80" i="8"/>
  <c r="D80" i="8"/>
  <c r="C80" i="8"/>
  <c r="D75" i="8"/>
  <c r="E75" i="8"/>
  <c r="F75" i="8"/>
  <c r="G75" i="8"/>
  <c r="H75" i="8"/>
  <c r="I75" i="8"/>
  <c r="J75" i="8"/>
  <c r="K75" i="8"/>
  <c r="L75" i="8"/>
  <c r="M75" i="8"/>
  <c r="N75" i="8"/>
  <c r="C75" i="8"/>
  <c r="N73" i="8"/>
  <c r="M73" i="8"/>
  <c r="L73" i="8"/>
  <c r="K73" i="8"/>
  <c r="J73" i="8"/>
  <c r="I73" i="8"/>
  <c r="H73" i="8"/>
  <c r="G73" i="8"/>
  <c r="F73" i="8"/>
  <c r="E73" i="8"/>
  <c r="D73" i="8"/>
  <c r="C73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D21" i="6"/>
  <c r="C21" i="6"/>
  <c r="D42" i="6"/>
  <c r="C42" i="6"/>
  <c r="D49" i="6"/>
  <c r="E49" i="6"/>
  <c r="F49" i="6"/>
  <c r="G49" i="6"/>
  <c r="H49" i="6"/>
  <c r="C49" i="6"/>
  <c r="E56" i="6"/>
  <c r="F56" i="6"/>
  <c r="G56" i="6"/>
  <c r="H56" i="6"/>
  <c r="I56" i="6"/>
  <c r="J56" i="6"/>
  <c r="K56" i="6"/>
  <c r="L56" i="6"/>
  <c r="M56" i="6"/>
  <c r="N56" i="6"/>
  <c r="O56" i="6"/>
  <c r="D56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C63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C69" i="6"/>
  <c r="D76" i="6"/>
  <c r="E76" i="6"/>
  <c r="F76" i="6"/>
  <c r="G76" i="6"/>
  <c r="H76" i="6"/>
  <c r="I76" i="6"/>
  <c r="C76" i="6"/>
  <c r="D83" i="6"/>
  <c r="E83" i="6"/>
  <c r="F83" i="6"/>
  <c r="G83" i="6"/>
  <c r="H83" i="6"/>
  <c r="I83" i="6"/>
  <c r="C83" i="6"/>
  <c r="D90" i="6"/>
  <c r="E90" i="6"/>
  <c r="C90" i="6"/>
  <c r="B92" i="6"/>
  <c r="C6" i="6"/>
  <c r="C4" i="6"/>
  <c r="D20" i="6"/>
  <c r="C20" i="6"/>
  <c r="D18" i="6"/>
  <c r="C18" i="6"/>
  <c r="C27" i="6"/>
  <c r="C25" i="6"/>
  <c r="C34" i="6"/>
  <c r="C32" i="6"/>
  <c r="D41" i="6"/>
  <c r="C41" i="6"/>
  <c r="D39" i="6"/>
  <c r="D48" i="6"/>
  <c r="E48" i="6"/>
  <c r="F48" i="6"/>
  <c r="G48" i="6"/>
  <c r="H48" i="6"/>
  <c r="C48" i="6"/>
  <c r="C39" i="6"/>
  <c r="H46" i="6"/>
  <c r="G46" i="6"/>
  <c r="F46" i="6"/>
  <c r="E46" i="6"/>
  <c r="D46" i="6"/>
  <c r="C46" i="6"/>
  <c r="D55" i="6"/>
  <c r="E55" i="6"/>
  <c r="F55" i="6"/>
  <c r="G55" i="6"/>
  <c r="H55" i="6"/>
  <c r="I55" i="6"/>
  <c r="J55" i="6"/>
  <c r="K55" i="6"/>
  <c r="L55" i="6"/>
  <c r="M55" i="6"/>
  <c r="N55" i="6"/>
  <c r="O55" i="6"/>
  <c r="C55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C62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D89" i="6"/>
  <c r="E89" i="6"/>
  <c r="C89" i="6"/>
  <c r="E87" i="6"/>
  <c r="D87" i="6"/>
  <c r="C87" i="6"/>
  <c r="D82" i="6"/>
  <c r="E82" i="6"/>
  <c r="F82" i="6"/>
  <c r="G82" i="6"/>
  <c r="H82" i="6"/>
  <c r="I82" i="6"/>
  <c r="C82" i="6"/>
  <c r="I80" i="6"/>
  <c r="H80" i="6"/>
  <c r="G80" i="6"/>
  <c r="F80" i="6"/>
  <c r="E80" i="6"/>
  <c r="D80" i="6"/>
  <c r="C80" i="6"/>
  <c r="D75" i="6"/>
  <c r="E75" i="6"/>
  <c r="F75" i="6"/>
  <c r="G75" i="6"/>
  <c r="H75" i="6"/>
  <c r="I75" i="6"/>
  <c r="C75" i="6"/>
  <c r="I73" i="6"/>
  <c r="H73" i="6"/>
  <c r="G73" i="6"/>
  <c r="F73" i="6"/>
  <c r="E73" i="6"/>
  <c r="D73" i="6"/>
  <c r="C73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D7" i="5"/>
  <c r="C7" i="5"/>
  <c r="D14" i="5"/>
  <c r="E14" i="5"/>
  <c r="C14" i="5"/>
  <c r="E21" i="5"/>
  <c r="F21" i="5"/>
  <c r="G21" i="5"/>
  <c r="H21" i="5"/>
  <c r="I21" i="5"/>
  <c r="D21" i="5"/>
  <c r="E28" i="5"/>
  <c r="F28" i="5"/>
  <c r="G28" i="5"/>
  <c r="H28" i="5"/>
  <c r="I28" i="5"/>
  <c r="J28" i="5"/>
  <c r="K28" i="5"/>
  <c r="L28" i="5"/>
  <c r="D28" i="5"/>
  <c r="G34" i="5"/>
  <c r="H34" i="5"/>
  <c r="I34" i="5"/>
  <c r="J34" i="5"/>
  <c r="K34" i="5"/>
  <c r="L34" i="5"/>
  <c r="M34" i="5"/>
  <c r="N34" i="5"/>
  <c r="O34" i="5"/>
  <c r="P34" i="5"/>
  <c r="Q34" i="5"/>
  <c r="R34" i="5"/>
  <c r="F34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D41" i="5"/>
  <c r="F48" i="5"/>
  <c r="G48" i="5"/>
  <c r="H48" i="5"/>
  <c r="I48" i="5"/>
  <c r="J48" i="5"/>
  <c r="K48" i="5"/>
  <c r="E48" i="5"/>
  <c r="D55" i="5"/>
  <c r="E55" i="5"/>
  <c r="C55" i="5"/>
  <c r="B64" i="5"/>
  <c r="D6" i="5"/>
  <c r="C6" i="5"/>
  <c r="D4" i="5"/>
  <c r="C4" i="5"/>
  <c r="D13" i="5"/>
  <c r="E13" i="5"/>
  <c r="C13" i="5"/>
  <c r="E11" i="5"/>
  <c r="D11" i="5"/>
  <c r="C11" i="5"/>
  <c r="D20" i="5"/>
  <c r="E20" i="5"/>
  <c r="F20" i="5"/>
  <c r="G20" i="5"/>
  <c r="H20" i="5"/>
  <c r="I20" i="5"/>
  <c r="C20" i="5"/>
  <c r="I18" i="5"/>
  <c r="H18" i="5"/>
  <c r="G18" i="5"/>
  <c r="F18" i="5"/>
  <c r="E18" i="5"/>
  <c r="D18" i="5"/>
  <c r="C18" i="5"/>
  <c r="D27" i="5"/>
  <c r="E27" i="5"/>
  <c r="F27" i="5"/>
  <c r="G27" i="5"/>
  <c r="H27" i="5"/>
  <c r="I27" i="5"/>
  <c r="J27" i="5"/>
  <c r="K27" i="5"/>
  <c r="L27" i="5"/>
  <c r="C27" i="5"/>
  <c r="L25" i="5"/>
  <c r="K25" i="5"/>
  <c r="J25" i="5"/>
  <c r="I25" i="5"/>
  <c r="H25" i="5"/>
  <c r="G25" i="5"/>
  <c r="F25" i="5"/>
  <c r="E25" i="5"/>
  <c r="D25" i="5"/>
  <c r="C25" i="5"/>
  <c r="C61" i="5"/>
  <c r="C59" i="5"/>
  <c r="D54" i="5"/>
  <c r="E54" i="5"/>
  <c r="C54" i="5"/>
  <c r="E52" i="5"/>
  <c r="D52" i="5"/>
  <c r="C52" i="5"/>
  <c r="D47" i="5"/>
  <c r="E47" i="5"/>
  <c r="F47" i="5"/>
  <c r="G47" i="5"/>
  <c r="H47" i="5"/>
  <c r="I47" i="5"/>
  <c r="J47" i="5"/>
  <c r="K47" i="5"/>
  <c r="C47" i="5"/>
  <c r="K45" i="5"/>
  <c r="J45" i="5"/>
  <c r="I45" i="5"/>
  <c r="H45" i="5"/>
  <c r="G45" i="5"/>
  <c r="F45" i="5"/>
  <c r="E45" i="5"/>
  <c r="D45" i="5"/>
  <c r="C45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0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F7" i="4"/>
  <c r="D14" i="4"/>
  <c r="E14" i="4"/>
  <c r="F14" i="4"/>
  <c r="G14" i="4"/>
  <c r="C14" i="4"/>
  <c r="G21" i="4"/>
  <c r="H21" i="4"/>
  <c r="I21" i="4"/>
  <c r="J21" i="4"/>
  <c r="K21" i="4"/>
  <c r="F21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F27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F34" i="4"/>
  <c r="F41" i="4"/>
  <c r="G41" i="4"/>
  <c r="H41" i="4"/>
  <c r="I41" i="4"/>
  <c r="J41" i="4"/>
  <c r="K41" i="4"/>
  <c r="L41" i="4"/>
  <c r="M41" i="4"/>
  <c r="E41" i="4"/>
  <c r="E48" i="4"/>
  <c r="F48" i="4"/>
  <c r="G48" i="4"/>
  <c r="D48" i="4"/>
  <c r="I55" i="4"/>
  <c r="J55" i="4"/>
  <c r="H55" i="4"/>
  <c r="F62" i="4"/>
  <c r="G62" i="4"/>
  <c r="H62" i="4"/>
  <c r="I62" i="4"/>
  <c r="J62" i="4"/>
  <c r="E62" i="4"/>
  <c r="B64" i="4"/>
  <c r="D6" i="4"/>
  <c r="E6" i="4"/>
  <c r="F6" i="4"/>
  <c r="C6" i="4"/>
  <c r="F4" i="4"/>
  <c r="E4" i="4"/>
  <c r="D4" i="4"/>
  <c r="C4" i="4"/>
  <c r="D13" i="4"/>
  <c r="E13" i="4"/>
  <c r="F13" i="4"/>
  <c r="G13" i="4"/>
  <c r="C13" i="4"/>
  <c r="G11" i="4"/>
  <c r="F11" i="4"/>
  <c r="E11" i="4"/>
  <c r="D11" i="4"/>
  <c r="C11" i="4"/>
  <c r="D20" i="4"/>
  <c r="E20" i="4"/>
  <c r="F20" i="4"/>
  <c r="G20" i="4"/>
  <c r="H20" i="4"/>
  <c r="I20" i="4"/>
  <c r="J20" i="4"/>
  <c r="K20" i="4"/>
  <c r="C20" i="4"/>
  <c r="K18" i="4"/>
  <c r="J18" i="4"/>
  <c r="I18" i="4"/>
  <c r="H18" i="4"/>
  <c r="G18" i="4"/>
  <c r="F18" i="4"/>
  <c r="E18" i="4"/>
  <c r="D18" i="4"/>
  <c r="C18" i="4"/>
  <c r="D61" i="4"/>
  <c r="E61" i="4"/>
  <c r="F61" i="4"/>
  <c r="G61" i="4"/>
  <c r="H61" i="4"/>
  <c r="I61" i="4"/>
  <c r="J61" i="4"/>
  <c r="C61" i="4"/>
  <c r="J59" i="4"/>
  <c r="I59" i="4"/>
  <c r="H59" i="4"/>
  <c r="G59" i="4"/>
  <c r="F59" i="4"/>
  <c r="E59" i="4"/>
  <c r="D59" i="4"/>
  <c r="C59" i="4"/>
  <c r="D54" i="4"/>
  <c r="E54" i="4"/>
  <c r="F54" i="4"/>
  <c r="G54" i="4"/>
  <c r="H54" i="4"/>
  <c r="I54" i="4"/>
  <c r="J54" i="4"/>
  <c r="C54" i="4"/>
  <c r="J52" i="4"/>
  <c r="I52" i="4"/>
  <c r="H52" i="4"/>
  <c r="G52" i="4"/>
  <c r="F52" i="4"/>
  <c r="E52" i="4"/>
  <c r="D52" i="4"/>
  <c r="C52" i="4"/>
  <c r="D47" i="4"/>
  <c r="E47" i="4"/>
  <c r="F47" i="4"/>
  <c r="G47" i="4"/>
  <c r="C47" i="4"/>
  <c r="G45" i="4"/>
  <c r="F45" i="4"/>
  <c r="E45" i="4"/>
  <c r="C45" i="4"/>
  <c r="D45" i="4"/>
  <c r="D40" i="4"/>
  <c r="E40" i="4"/>
  <c r="F40" i="4"/>
  <c r="G40" i="4"/>
  <c r="H40" i="4"/>
  <c r="I40" i="4"/>
  <c r="J40" i="4"/>
  <c r="K40" i="4"/>
  <c r="L40" i="4"/>
  <c r="M40" i="4"/>
  <c r="C40" i="4"/>
  <c r="M38" i="4"/>
  <c r="L38" i="4"/>
  <c r="K38" i="4"/>
  <c r="J38" i="4"/>
  <c r="I38" i="4"/>
  <c r="H38" i="4"/>
  <c r="G38" i="4"/>
  <c r="F38" i="4"/>
  <c r="E38" i="4"/>
  <c r="D38" i="4"/>
  <c r="C38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C33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D7" i="3"/>
  <c r="E7" i="3"/>
  <c r="F7" i="3"/>
  <c r="G7" i="3"/>
  <c r="H7" i="3"/>
  <c r="C7" i="3"/>
  <c r="F14" i="3"/>
  <c r="G14" i="3"/>
  <c r="H14" i="3"/>
  <c r="I14" i="3"/>
  <c r="J14" i="3"/>
  <c r="K14" i="3"/>
  <c r="L14" i="3"/>
  <c r="M14" i="3"/>
  <c r="E14" i="3"/>
  <c r="E20" i="3"/>
  <c r="F20" i="3"/>
  <c r="G20" i="3"/>
  <c r="H20" i="3"/>
  <c r="I20" i="3"/>
  <c r="J20" i="3"/>
  <c r="K20" i="3"/>
  <c r="L20" i="3"/>
  <c r="D20" i="3"/>
  <c r="D27" i="3"/>
  <c r="E27" i="3"/>
  <c r="F27" i="3"/>
  <c r="G27" i="3"/>
  <c r="H27" i="3"/>
  <c r="I27" i="3"/>
  <c r="J27" i="3"/>
  <c r="K27" i="3"/>
  <c r="C27" i="3"/>
  <c r="F34" i="3"/>
  <c r="G34" i="3"/>
  <c r="H34" i="3"/>
  <c r="I34" i="3"/>
  <c r="J34" i="3"/>
  <c r="K34" i="3"/>
  <c r="L34" i="3"/>
  <c r="M34" i="3"/>
  <c r="N34" i="3"/>
  <c r="O34" i="3"/>
  <c r="E34" i="3"/>
  <c r="D41" i="3"/>
  <c r="E41" i="3"/>
  <c r="F41" i="3"/>
  <c r="G41" i="3"/>
  <c r="C41" i="3"/>
  <c r="D48" i="3"/>
  <c r="E48" i="3"/>
  <c r="F48" i="3"/>
  <c r="C48" i="3"/>
  <c r="C55" i="3"/>
  <c r="B57" i="3"/>
  <c r="D6" i="3"/>
  <c r="E6" i="3"/>
  <c r="F6" i="3"/>
  <c r="G6" i="3"/>
  <c r="H6" i="3"/>
  <c r="C6" i="3"/>
  <c r="H4" i="3"/>
  <c r="G4" i="3"/>
  <c r="F4" i="3"/>
  <c r="E4" i="3"/>
  <c r="D4" i="3"/>
  <c r="C4" i="3"/>
  <c r="D13" i="3"/>
  <c r="E13" i="3"/>
  <c r="F13" i="3"/>
  <c r="G13" i="3"/>
  <c r="H13" i="3"/>
  <c r="I13" i="3"/>
  <c r="J13" i="3"/>
  <c r="K13" i="3"/>
  <c r="L13" i="3"/>
  <c r="M13" i="3"/>
  <c r="C13" i="3"/>
  <c r="M11" i="3"/>
  <c r="L11" i="3"/>
  <c r="K11" i="3"/>
  <c r="J11" i="3"/>
  <c r="I11" i="3"/>
  <c r="H11" i="3"/>
  <c r="G11" i="3"/>
  <c r="F11" i="3"/>
  <c r="E11" i="3"/>
  <c r="D11" i="3"/>
  <c r="C11" i="3"/>
  <c r="C54" i="3"/>
  <c r="C52" i="3"/>
  <c r="D47" i="3"/>
  <c r="E47" i="3"/>
  <c r="F47" i="3"/>
  <c r="C47" i="3"/>
  <c r="F45" i="3"/>
  <c r="E45" i="3"/>
  <c r="D45" i="3"/>
  <c r="C45" i="3"/>
  <c r="D40" i="3"/>
  <c r="E40" i="3"/>
  <c r="F40" i="3"/>
  <c r="G40" i="3"/>
  <c r="C40" i="3"/>
  <c r="G38" i="3"/>
  <c r="F38" i="3"/>
  <c r="E38" i="3"/>
  <c r="D38" i="3"/>
  <c r="C38" i="3"/>
  <c r="D33" i="3"/>
  <c r="E33" i="3"/>
  <c r="F33" i="3"/>
  <c r="G33" i="3"/>
  <c r="H33" i="3"/>
  <c r="I33" i="3"/>
  <c r="J33" i="3"/>
  <c r="K33" i="3"/>
  <c r="L33" i="3"/>
  <c r="M33" i="3"/>
  <c r="N33" i="3"/>
  <c r="O33" i="3"/>
  <c r="C33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D26" i="3"/>
  <c r="E26" i="3"/>
  <c r="F26" i="3"/>
  <c r="G26" i="3"/>
  <c r="H26" i="3"/>
  <c r="I26" i="3"/>
  <c r="J26" i="3"/>
  <c r="K26" i="3"/>
  <c r="C26" i="3"/>
  <c r="K24" i="3"/>
  <c r="J24" i="3"/>
  <c r="I24" i="3"/>
  <c r="H24" i="3"/>
  <c r="G24" i="3"/>
  <c r="F24" i="3"/>
  <c r="E24" i="3"/>
  <c r="D24" i="3"/>
  <c r="C24" i="3"/>
  <c r="L18" i="3"/>
  <c r="K18" i="3"/>
  <c r="J18" i="3"/>
  <c r="I18" i="3"/>
  <c r="H18" i="3"/>
  <c r="G18" i="3"/>
  <c r="F18" i="3"/>
  <c r="E18" i="3"/>
  <c r="D18" i="3"/>
  <c r="C18" i="3"/>
  <c r="E7" i="2"/>
  <c r="D7" i="2"/>
  <c r="D14" i="2"/>
  <c r="E14" i="2"/>
  <c r="F14" i="2"/>
  <c r="C14" i="2"/>
  <c r="D21" i="2"/>
  <c r="E21" i="2"/>
  <c r="F21" i="2"/>
  <c r="G21" i="2"/>
  <c r="H21" i="2"/>
  <c r="I21" i="2"/>
  <c r="J21" i="2"/>
  <c r="K21" i="2"/>
  <c r="L21" i="2"/>
  <c r="M21" i="2"/>
  <c r="N21" i="2"/>
  <c r="O21" i="2"/>
  <c r="C21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8" i="2"/>
  <c r="H34" i="2"/>
  <c r="I34" i="2"/>
  <c r="J34" i="2"/>
  <c r="K34" i="2"/>
  <c r="L34" i="2"/>
  <c r="M34" i="2"/>
  <c r="N34" i="2"/>
  <c r="O34" i="2"/>
  <c r="P34" i="2"/>
  <c r="Q34" i="2"/>
  <c r="R34" i="2"/>
  <c r="S34" i="2"/>
  <c r="G34" i="2"/>
  <c r="E41" i="2"/>
  <c r="F41" i="2"/>
  <c r="G41" i="2"/>
  <c r="H41" i="2"/>
  <c r="D41" i="2"/>
  <c r="B50" i="2"/>
  <c r="D6" i="2"/>
  <c r="E6" i="2"/>
  <c r="C6" i="2"/>
  <c r="E4" i="2"/>
  <c r="D4" i="2"/>
  <c r="C4" i="2"/>
  <c r="D13" i="2"/>
  <c r="E13" i="2"/>
  <c r="F13" i="2"/>
  <c r="C13" i="2"/>
  <c r="F11" i="2"/>
  <c r="E11" i="2"/>
  <c r="D11" i="2"/>
  <c r="C11" i="2"/>
  <c r="D20" i="2"/>
  <c r="E20" i="2"/>
  <c r="F20" i="2"/>
  <c r="G20" i="2"/>
  <c r="H20" i="2"/>
  <c r="I20" i="2"/>
  <c r="J20" i="2"/>
  <c r="K20" i="2"/>
  <c r="L20" i="2"/>
  <c r="M20" i="2"/>
  <c r="N20" i="2"/>
  <c r="O20" i="2"/>
  <c r="C20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C27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C47" i="2"/>
  <c r="C45" i="2"/>
  <c r="D40" i="2"/>
  <c r="E40" i="2"/>
  <c r="F40" i="2"/>
  <c r="G40" i="2"/>
  <c r="H40" i="2"/>
  <c r="C40" i="2"/>
  <c r="H38" i="2"/>
  <c r="G38" i="2"/>
  <c r="F38" i="2"/>
  <c r="E38" i="2"/>
  <c r="D38" i="2"/>
  <c r="C38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D20" i="1"/>
  <c r="E20" i="1"/>
  <c r="F20" i="1"/>
  <c r="G20" i="1"/>
  <c r="C20" i="1"/>
  <c r="D19" i="1"/>
  <c r="E19" i="1"/>
  <c r="F19" i="1"/>
  <c r="G19" i="1"/>
  <c r="C19" i="1"/>
  <c r="G27" i="1"/>
  <c r="H27" i="1"/>
  <c r="I27" i="1"/>
  <c r="J27" i="1"/>
  <c r="K27" i="1"/>
  <c r="L27" i="1"/>
  <c r="M27" i="1"/>
  <c r="N27" i="1"/>
  <c r="O27" i="1"/>
  <c r="F27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E34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D40" i="1"/>
  <c r="F47" i="1"/>
  <c r="G47" i="1"/>
  <c r="H47" i="1"/>
  <c r="I47" i="1"/>
  <c r="J47" i="1"/>
  <c r="K47" i="1"/>
  <c r="L47" i="1"/>
  <c r="M47" i="1"/>
  <c r="N47" i="1"/>
  <c r="E47" i="1"/>
  <c r="D54" i="1"/>
  <c r="E54" i="1"/>
  <c r="F54" i="1"/>
  <c r="G54" i="1"/>
  <c r="H54" i="1"/>
  <c r="C54" i="1"/>
  <c r="D61" i="1"/>
  <c r="E61" i="1"/>
  <c r="F61" i="1"/>
  <c r="C61" i="1"/>
  <c r="C68" i="1"/>
  <c r="F82" i="1"/>
  <c r="G82" i="1"/>
  <c r="H82" i="1"/>
  <c r="E82" i="1"/>
  <c r="E89" i="1"/>
  <c r="F89" i="1"/>
  <c r="G89" i="1"/>
  <c r="H89" i="1"/>
  <c r="I89" i="1"/>
  <c r="J89" i="1"/>
  <c r="D89" i="1"/>
  <c r="D96" i="1"/>
  <c r="E96" i="1"/>
  <c r="C96" i="1"/>
  <c r="B98" i="1"/>
  <c r="G17" i="1"/>
  <c r="F17" i="1"/>
  <c r="E17" i="1"/>
  <c r="D17" i="1"/>
  <c r="C17" i="1"/>
  <c r="O26" i="1"/>
  <c r="O24" i="1"/>
  <c r="D26" i="1"/>
  <c r="E26" i="1"/>
  <c r="F26" i="1"/>
  <c r="G26" i="1"/>
  <c r="H26" i="1"/>
  <c r="I26" i="1"/>
  <c r="J26" i="1"/>
  <c r="K26" i="1"/>
  <c r="L26" i="1"/>
  <c r="M26" i="1"/>
  <c r="N26" i="1"/>
  <c r="C26" i="1"/>
  <c r="N24" i="1"/>
  <c r="M24" i="1"/>
  <c r="L24" i="1"/>
  <c r="K24" i="1"/>
  <c r="J24" i="1"/>
  <c r="I24" i="1"/>
  <c r="H24" i="1"/>
  <c r="G24" i="1"/>
  <c r="F24" i="1"/>
  <c r="E24" i="1"/>
  <c r="D24" i="1"/>
  <c r="C24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C33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D95" i="1"/>
  <c r="E95" i="1"/>
  <c r="C95" i="1"/>
  <c r="E93" i="1"/>
  <c r="D93" i="1"/>
  <c r="C93" i="1"/>
  <c r="D88" i="1"/>
  <c r="E88" i="1"/>
  <c r="F88" i="1"/>
  <c r="G88" i="1"/>
  <c r="H88" i="1"/>
  <c r="I88" i="1"/>
  <c r="J88" i="1"/>
  <c r="C88" i="1"/>
  <c r="D81" i="1"/>
  <c r="E81" i="1"/>
  <c r="F81" i="1"/>
  <c r="G81" i="1"/>
  <c r="H81" i="1"/>
  <c r="C81" i="1"/>
  <c r="J86" i="1"/>
  <c r="I86" i="1"/>
  <c r="H86" i="1"/>
  <c r="G86" i="1"/>
  <c r="F86" i="1"/>
  <c r="E86" i="1"/>
  <c r="D86" i="1"/>
  <c r="C86" i="1"/>
  <c r="H79" i="1"/>
  <c r="G79" i="1"/>
  <c r="F79" i="1"/>
  <c r="E79" i="1"/>
  <c r="D79" i="1"/>
  <c r="C79" i="1"/>
  <c r="C74" i="1"/>
  <c r="C67" i="1"/>
  <c r="C72" i="1"/>
  <c r="C65" i="1"/>
  <c r="D60" i="1"/>
  <c r="E60" i="1"/>
  <c r="F60" i="1"/>
  <c r="C60" i="1"/>
  <c r="F58" i="1"/>
  <c r="E58" i="1"/>
  <c r="D58" i="1"/>
  <c r="C58" i="1"/>
  <c r="D53" i="1"/>
  <c r="E53" i="1"/>
  <c r="F53" i="1"/>
  <c r="G53" i="1"/>
  <c r="H53" i="1"/>
  <c r="C53" i="1"/>
  <c r="H51" i="1"/>
  <c r="G51" i="1"/>
  <c r="F51" i="1"/>
  <c r="E51" i="1"/>
  <c r="D51" i="1"/>
  <c r="C51" i="1"/>
  <c r="D46" i="1"/>
  <c r="E46" i="1"/>
  <c r="F46" i="1"/>
  <c r="G46" i="1"/>
  <c r="H46" i="1"/>
  <c r="I46" i="1"/>
  <c r="J46" i="1"/>
  <c r="K46" i="1"/>
  <c r="L46" i="1"/>
  <c r="M46" i="1"/>
  <c r="N46" i="1"/>
  <c r="C46" i="1"/>
  <c r="N44" i="1"/>
  <c r="M44" i="1"/>
  <c r="L44" i="1"/>
  <c r="K44" i="1"/>
  <c r="J44" i="1"/>
  <c r="I44" i="1"/>
  <c r="H44" i="1"/>
  <c r="G44" i="1"/>
  <c r="F44" i="1"/>
  <c r="E44" i="1"/>
  <c r="D44" i="1"/>
  <c r="C44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K24" i="34" l="1"/>
  <c r="E24" i="34"/>
  <c r="D52" i="34"/>
  <c r="F38" i="34"/>
  <c r="J17" i="34"/>
  <c r="D17" i="34"/>
  <c r="G10" i="34"/>
  <c r="E52" i="34"/>
  <c r="F24" i="34"/>
  <c r="L24" i="34"/>
  <c r="C45" i="34"/>
  <c r="E66" i="34"/>
  <c r="E17" i="34"/>
  <c r="K17" i="34"/>
  <c r="G24" i="34"/>
  <c r="D45" i="34"/>
  <c r="F66" i="34"/>
  <c r="H10" i="34"/>
  <c r="F17" i="34"/>
  <c r="H24" i="34"/>
  <c r="E45" i="34"/>
  <c r="F52" i="34"/>
  <c r="C10" i="34"/>
  <c r="I10" i="34"/>
  <c r="G17" i="34"/>
  <c r="I24" i="34"/>
  <c r="C31" i="34"/>
  <c r="D38" i="34"/>
  <c r="V52" i="34"/>
  <c r="H59" i="34"/>
  <c r="D10" i="34"/>
  <c r="J10" i="34"/>
  <c r="H17" i="34"/>
  <c r="D24" i="34"/>
  <c r="J24" i="34"/>
  <c r="D31" i="34"/>
  <c r="E38" i="34"/>
  <c r="W52" i="34"/>
  <c r="F10" i="34"/>
  <c r="F59" i="34"/>
  <c r="F31" i="34"/>
  <c r="E59" i="34"/>
  <c r="E31" i="34"/>
  <c r="D17" i="33"/>
  <c r="J17" i="33"/>
  <c r="G31" i="33"/>
  <c r="M31" i="33"/>
  <c r="H10" i="33"/>
  <c r="N10" i="33"/>
  <c r="E17" i="33"/>
  <c r="K17" i="33"/>
  <c r="H31" i="33"/>
  <c r="N31" i="33"/>
  <c r="D38" i="33"/>
  <c r="I10" i="33"/>
  <c r="O10" i="33"/>
  <c r="F17" i="33"/>
  <c r="L17" i="33"/>
  <c r="C31" i="33"/>
  <c r="I31" i="33"/>
  <c r="O31" i="33"/>
  <c r="E38" i="33"/>
  <c r="J10" i="33"/>
  <c r="P10" i="33"/>
  <c r="G17" i="33"/>
  <c r="M17" i="33"/>
  <c r="D31" i="33"/>
  <c r="J31" i="33"/>
  <c r="P31" i="33"/>
  <c r="F38" i="33"/>
  <c r="C45" i="33"/>
  <c r="C52" i="33"/>
  <c r="E10" i="33"/>
  <c r="K10" i="33"/>
  <c r="Q10" i="33"/>
  <c r="H17" i="33"/>
  <c r="N17" i="33"/>
  <c r="D24" i="33"/>
  <c r="J24" i="33"/>
  <c r="E31" i="33"/>
  <c r="K31" i="33"/>
  <c r="Q31" i="33"/>
  <c r="G38" i="33"/>
  <c r="D45" i="33"/>
  <c r="V52" i="33"/>
  <c r="F10" i="33"/>
  <c r="L10" i="33"/>
  <c r="C17" i="33"/>
  <c r="I17" i="33"/>
  <c r="E24" i="33"/>
  <c r="K24" i="33"/>
  <c r="F31" i="33"/>
  <c r="L31" i="33"/>
  <c r="H38" i="33"/>
  <c r="E45" i="33"/>
  <c r="W52" i="33"/>
  <c r="F17" i="32"/>
  <c r="L17" i="32"/>
  <c r="R17" i="32"/>
  <c r="X17" i="32"/>
  <c r="AD17" i="32"/>
  <c r="C31" i="32"/>
  <c r="I31" i="32"/>
  <c r="G17" i="32"/>
  <c r="M17" i="32"/>
  <c r="S17" i="32"/>
  <c r="Y17" i="32"/>
  <c r="AE17" i="32"/>
  <c r="E24" i="32"/>
  <c r="K24" i="32"/>
  <c r="Q24" i="32"/>
  <c r="D31" i="32"/>
  <c r="J31" i="32"/>
  <c r="H17" i="32"/>
  <c r="N17" i="32"/>
  <c r="T17" i="32"/>
  <c r="Z17" i="32"/>
  <c r="AF17" i="32"/>
  <c r="F24" i="32"/>
  <c r="L24" i="32"/>
  <c r="R24" i="32"/>
  <c r="E31" i="32"/>
  <c r="K31" i="32"/>
  <c r="I17" i="32"/>
  <c r="O17" i="32"/>
  <c r="U17" i="32"/>
  <c r="AA17" i="32"/>
  <c r="AG17" i="32"/>
  <c r="G24" i="32"/>
  <c r="M24" i="32"/>
  <c r="S24" i="32"/>
  <c r="F31" i="32"/>
  <c r="C59" i="32"/>
  <c r="N10" i="32"/>
  <c r="T10" i="32"/>
  <c r="J17" i="32"/>
  <c r="P17" i="32"/>
  <c r="V17" i="32"/>
  <c r="AB17" i="32"/>
  <c r="H24" i="32"/>
  <c r="N24" i="32"/>
  <c r="T24" i="32"/>
  <c r="G31" i="32"/>
  <c r="F45" i="32"/>
  <c r="L45" i="32"/>
  <c r="R45" i="32"/>
  <c r="G52" i="32"/>
  <c r="M52" i="32"/>
  <c r="I10" i="32"/>
  <c r="O10" i="32"/>
  <c r="U10" i="32"/>
  <c r="E17" i="32"/>
  <c r="K17" i="32"/>
  <c r="Q17" i="32"/>
  <c r="W17" i="32"/>
  <c r="AC17" i="32"/>
  <c r="I24" i="32"/>
  <c r="O24" i="32"/>
  <c r="U24" i="32"/>
  <c r="H31" i="32"/>
  <c r="G45" i="32"/>
  <c r="M45" i="32"/>
  <c r="S45" i="32"/>
  <c r="H52" i="32"/>
  <c r="N52" i="32"/>
  <c r="L17" i="31"/>
  <c r="R17" i="31"/>
  <c r="X17" i="31"/>
  <c r="J66" i="31"/>
  <c r="M17" i="31"/>
  <c r="S17" i="31"/>
  <c r="Y17" i="31"/>
  <c r="K66" i="31"/>
  <c r="N17" i="31"/>
  <c r="T17" i="31"/>
  <c r="Z17" i="31"/>
  <c r="J24" i="31"/>
  <c r="L66" i="31"/>
  <c r="N10" i="31"/>
  <c r="T10" i="31"/>
  <c r="O17" i="31"/>
  <c r="U17" i="31"/>
  <c r="AA17" i="31"/>
  <c r="K24" i="31"/>
  <c r="M66" i="31"/>
  <c r="I10" i="31"/>
  <c r="O10" i="31"/>
  <c r="U10" i="31"/>
  <c r="J17" i="31"/>
  <c r="P17" i="31"/>
  <c r="V17" i="31"/>
  <c r="F24" i="31"/>
  <c r="L24" i="31"/>
  <c r="C17" i="30"/>
  <c r="I17" i="30"/>
  <c r="D31" i="30"/>
  <c r="D17" i="30"/>
  <c r="J17" i="30"/>
  <c r="O24" i="30"/>
  <c r="E31" i="30"/>
  <c r="H10" i="30"/>
  <c r="E17" i="30"/>
  <c r="K17" i="30"/>
  <c r="P24" i="30"/>
  <c r="F31" i="30"/>
  <c r="C38" i="30"/>
  <c r="D45" i="30"/>
  <c r="V52" i="30"/>
  <c r="H59" i="30"/>
  <c r="E66" i="30"/>
  <c r="C73" i="30"/>
  <c r="I10" i="30"/>
  <c r="F17" i="30"/>
  <c r="L17" i="30"/>
  <c r="G31" i="30"/>
  <c r="D52" i="30"/>
  <c r="W52" i="30"/>
  <c r="I59" i="30"/>
  <c r="F66" i="30"/>
  <c r="E24" i="29"/>
  <c r="K31" i="29"/>
  <c r="Q31" i="29"/>
  <c r="T38" i="29"/>
  <c r="H10" i="29"/>
  <c r="N10" i="29"/>
  <c r="T10" i="29"/>
  <c r="F24" i="29"/>
  <c r="L31" i="29"/>
  <c r="R31" i="29"/>
  <c r="I10" i="29"/>
  <c r="O10" i="29"/>
  <c r="U10" i="29"/>
  <c r="J17" i="29"/>
  <c r="P17" i="29"/>
  <c r="G24" i="29"/>
  <c r="G31" i="29"/>
  <c r="M31" i="29"/>
  <c r="S31" i="29"/>
  <c r="C45" i="29"/>
  <c r="I45" i="29"/>
  <c r="J10" i="29"/>
  <c r="P10" i="29"/>
  <c r="V10" i="29"/>
  <c r="K17" i="29"/>
  <c r="Q17" i="29"/>
  <c r="H24" i="29"/>
  <c r="H31" i="29"/>
  <c r="N31" i="29"/>
  <c r="T31" i="29"/>
  <c r="I38" i="29"/>
  <c r="O38" i="29"/>
  <c r="U38" i="29"/>
  <c r="D45" i="29"/>
  <c r="J45" i="29"/>
  <c r="E10" i="29"/>
  <c r="K10" i="29"/>
  <c r="Q10" i="29"/>
  <c r="W10" i="29"/>
  <c r="L17" i="29"/>
  <c r="C24" i="29"/>
  <c r="I31" i="29"/>
  <c r="O31" i="29"/>
  <c r="U31" i="29"/>
  <c r="J38" i="29"/>
  <c r="P38" i="29"/>
  <c r="V38" i="29"/>
  <c r="E45" i="29"/>
  <c r="K45" i="29"/>
  <c r="C59" i="29"/>
  <c r="F10" i="29"/>
  <c r="L10" i="29"/>
  <c r="R10" i="29"/>
  <c r="G17" i="29"/>
  <c r="M17" i="29"/>
  <c r="D24" i="29"/>
  <c r="J31" i="29"/>
  <c r="P31" i="29"/>
  <c r="V31" i="29"/>
  <c r="K38" i="29"/>
  <c r="Q38" i="29"/>
  <c r="W38" i="29"/>
  <c r="F45" i="29"/>
  <c r="L45" i="29"/>
  <c r="J45" i="28"/>
  <c r="D59" i="28"/>
  <c r="H10" i="28"/>
  <c r="N10" i="28"/>
  <c r="E45" i="28"/>
  <c r="K45" i="28"/>
  <c r="E59" i="28"/>
  <c r="I10" i="28"/>
  <c r="O10" i="28"/>
  <c r="F45" i="28"/>
  <c r="J10" i="28"/>
  <c r="P10" i="28"/>
  <c r="G17" i="28"/>
  <c r="M17" i="28"/>
  <c r="H24" i="28"/>
  <c r="G45" i="28"/>
  <c r="K10" i="28"/>
  <c r="Q10" i="28"/>
  <c r="H17" i="28"/>
  <c r="N17" i="28"/>
  <c r="H45" i="28"/>
  <c r="G52" i="28"/>
  <c r="L10" i="28"/>
  <c r="R10" i="28"/>
  <c r="I17" i="28"/>
  <c r="D24" i="28"/>
  <c r="I45" i="28"/>
  <c r="C59" i="28"/>
  <c r="H17" i="27"/>
  <c r="N17" i="27"/>
  <c r="I17" i="27"/>
  <c r="O17" i="27"/>
  <c r="K45" i="27"/>
  <c r="J17" i="27"/>
  <c r="P17" i="27"/>
  <c r="F24" i="27"/>
  <c r="L24" i="27"/>
  <c r="F45" i="27"/>
  <c r="L45" i="27"/>
  <c r="K17" i="27"/>
  <c r="G24" i="27"/>
  <c r="D38" i="27"/>
  <c r="G45" i="27"/>
  <c r="M45" i="27"/>
  <c r="H52" i="27"/>
  <c r="L17" i="27"/>
  <c r="H24" i="27"/>
  <c r="H45" i="27"/>
  <c r="N45" i="27"/>
  <c r="I52" i="27"/>
  <c r="D59" i="27"/>
  <c r="H10" i="27"/>
  <c r="N10" i="27"/>
  <c r="G17" i="27"/>
  <c r="M17" i="27"/>
  <c r="C24" i="27"/>
  <c r="I24" i="27"/>
  <c r="I45" i="27"/>
  <c r="O45" i="27"/>
  <c r="D52" i="27"/>
  <c r="J52" i="27"/>
  <c r="F17" i="26"/>
  <c r="H10" i="26"/>
  <c r="G17" i="26"/>
  <c r="F31" i="26"/>
  <c r="C10" i="26"/>
  <c r="I10" i="26"/>
  <c r="H17" i="26"/>
  <c r="D10" i="26"/>
  <c r="C17" i="26"/>
  <c r="I17" i="26"/>
  <c r="C45" i="26"/>
  <c r="E10" i="26"/>
  <c r="D17" i="26"/>
  <c r="J17" i="26"/>
  <c r="C24" i="26"/>
  <c r="I24" i="26"/>
  <c r="F10" i="26"/>
  <c r="E17" i="26"/>
  <c r="K17" i="26"/>
  <c r="D24" i="26"/>
  <c r="J24" i="26"/>
  <c r="D31" i="26"/>
  <c r="E59" i="26"/>
  <c r="E66" i="26"/>
  <c r="M24" i="26"/>
  <c r="G24" i="26"/>
  <c r="F66" i="26"/>
  <c r="L24" i="26"/>
  <c r="F24" i="26"/>
  <c r="G10" i="26"/>
  <c r="K24" i="26"/>
  <c r="E24" i="26"/>
  <c r="D66" i="26"/>
  <c r="D38" i="26"/>
  <c r="G59" i="26"/>
  <c r="C52" i="26"/>
  <c r="E31" i="26"/>
  <c r="F59" i="26"/>
  <c r="H24" i="26"/>
  <c r="H10" i="25"/>
  <c r="F17" i="25"/>
  <c r="F24" i="25"/>
  <c r="I31" i="25"/>
  <c r="C10" i="25"/>
  <c r="I10" i="25"/>
  <c r="G17" i="25"/>
  <c r="G24" i="25"/>
  <c r="J31" i="25"/>
  <c r="D38" i="25"/>
  <c r="E17" i="25"/>
  <c r="I17" i="24"/>
  <c r="C24" i="24"/>
  <c r="E17" i="24"/>
  <c r="D24" i="24"/>
  <c r="F17" i="24"/>
  <c r="E24" i="24"/>
  <c r="E31" i="24"/>
  <c r="K31" i="24"/>
  <c r="H10" i="24"/>
  <c r="N10" i="24"/>
  <c r="G17" i="24"/>
  <c r="F31" i="24"/>
  <c r="L31" i="24"/>
  <c r="C38" i="24"/>
  <c r="I38" i="24"/>
  <c r="D45" i="24"/>
  <c r="I10" i="24"/>
  <c r="O10" i="24"/>
  <c r="H17" i="24"/>
  <c r="G31" i="24"/>
  <c r="M31" i="24"/>
  <c r="D38" i="24"/>
  <c r="J38" i="24"/>
  <c r="X52" i="23"/>
  <c r="E45" i="23"/>
  <c r="H10" i="23"/>
  <c r="F16" i="23"/>
  <c r="L16" i="23"/>
  <c r="F45" i="23"/>
  <c r="I10" i="23"/>
  <c r="G16" i="23"/>
  <c r="E24" i="23"/>
  <c r="G38" i="23"/>
  <c r="V52" i="23"/>
  <c r="J10" i="23"/>
  <c r="H16" i="23"/>
  <c r="F24" i="23"/>
  <c r="C31" i="23"/>
  <c r="H38" i="23"/>
  <c r="W52" i="23"/>
  <c r="L17" i="22"/>
  <c r="J24" i="22"/>
  <c r="P24" i="22"/>
  <c r="V24" i="22"/>
  <c r="H31" i="22"/>
  <c r="D45" i="22"/>
  <c r="M17" i="22"/>
  <c r="K24" i="22"/>
  <c r="Q24" i="22"/>
  <c r="W24" i="22"/>
  <c r="E45" i="22"/>
  <c r="O10" i="22"/>
  <c r="L24" i="22"/>
  <c r="R24" i="22"/>
  <c r="D31" i="22"/>
  <c r="N38" i="22"/>
  <c r="P10" i="22"/>
  <c r="O38" i="22"/>
  <c r="K10" i="22"/>
  <c r="Q10" i="22"/>
  <c r="P17" i="22"/>
  <c r="P38" i="22"/>
  <c r="L10" i="22"/>
  <c r="K17" i="22"/>
  <c r="Q17" i="22"/>
  <c r="O24" i="22"/>
  <c r="U24" i="22"/>
  <c r="G31" i="22"/>
  <c r="Q38" i="22"/>
  <c r="Q52" i="21"/>
  <c r="W52" i="21"/>
  <c r="T59" i="21"/>
  <c r="C31" i="21"/>
  <c r="I17" i="21"/>
  <c r="H10" i="21"/>
  <c r="N10" i="21"/>
  <c r="K73" i="21"/>
  <c r="I10" i="21"/>
  <c r="O10" i="21"/>
  <c r="P52" i="21"/>
  <c r="V52" i="21"/>
  <c r="S59" i="21"/>
  <c r="I66" i="21"/>
  <c r="L73" i="21"/>
  <c r="D80" i="21"/>
  <c r="F17" i="20"/>
  <c r="G17" i="20"/>
  <c r="H17" i="20"/>
  <c r="T10" i="20"/>
  <c r="I17" i="20"/>
  <c r="U31" i="20"/>
  <c r="I38" i="20"/>
  <c r="U10" i="20"/>
  <c r="V31" i="20"/>
  <c r="J38" i="20"/>
  <c r="V10" i="20"/>
  <c r="E17" i="20"/>
  <c r="W31" i="20"/>
  <c r="K38" i="20"/>
  <c r="H10" i="18"/>
  <c r="F101" i="18"/>
  <c r="E101" i="18"/>
  <c r="N10" i="18"/>
  <c r="N17" i="18"/>
  <c r="G38" i="18"/>
  <c r="F66" i="18"/>
  <c r="E73" i="18"/>
  <c r="I10" i="18"/>
  <c r="O10" i="18"/>
  <c r="O17" i="18"/>
  <c r="G66" i="18"/>
  <c r="F73" i="18"/>
  <c r="D80" i="18"/>
  <c r="G101" i="18"/>
  <c r="P17" i="18"/>
  <c r="L24" i="18"/>
  <c r="F45" i="18"/>
  <c r="F52" i="18"/>
  <c r="G73" i="18"/>
  <c r="E87" i="18"/>
  <c r="H101" i="18"/>
  <c r="F108" i="18"/>
  <c r="K10" i="18"/>
  <c r="Q17" i="18"/>
  <c r="M24" i="18"/>
  <c r="G31" i="18"/>
  <c r="G45" i="18"/>
  <c r="G52" i="18"/>
  <c r="J59" i="18"/>
  <c r="I101" i="18"/>
  <c r="G108" i="18"/>
  <c r="K24" i="17"/>
  <c r="G31" i="17"/>
  <c r="N10" i="17"/>
  <c r="T10" i="17"/>
  <c r="U17" i="17"/>
  <c r="L24" i="17"/>
  <c r="D45" i="17"/>
  <c r="O10" i="17"/>
  <c r="M24" i="17"/>
  <c r="L38" i="17"/>
  <c r="R38" i="17"/>
  <c r="E45" i="17"/>
  <c r="N24" i="17"/>
  <c r="M38" i="17"/>
  <c r="S38" i="17"/>
  <c r="F45" i="17"/>
  <c r="F17" i="16"/>
  <c r="N24" i="16"/>
  <c r="T24" i="16"/>
  <c r="T10" i="16"/>
  <c r="O24" i="16"/>
  <c r="U24" i="16"/>
  <c r="O10" i="16"/>
  <c r="U10" i="16"/>
  <c r="P24" i="16"/>
  <c r="V24" i="16"/>
  <c r="Q24" i="16"/>
  <c r="W24" i="16"/>
  <c r="Q10" i="16"/>
  <c r="R24" i="16"/>
  <c r="X24" i="16"/>
  <c r="R10" i="16"/>
  <c r="E17" i="16"/>
  <c r="M24" i="16"/>
  <c r="S24" i="16"/>
  <c r="Y24" i="16"/>
</calcChain>
</file>

<file path=xl/sharedStrings.xml><?xml version="1.0" encoding="utf-8"?>
<sst xmlns="http://schemas.openxmlformats.org/spreadsheetml/2006/main" count="8037" uniqueCount="788">
  <si>
    <t>4_11</t>
  </si>
  <si>
    <t>slice 1</t>
  </si>
  <si>
    <t>background</t>
  </si>
  <si>
    <t>mean</t>
  </si>
  <si>
    <t xml:space="preserve">corrected </t>
  </si>
  <si>
    <t xml:space="preserve">distance </t>
  </si>
  <si>
    <t xml:space="preserve">corrected distance </t>
  </si>
  <si>
    <t xml:space="preserve">no. of mito </t>
  </si>
  <si>
    <t>slice 2</t>
  </si>
  <si>
    <t xml:space="preserve">mean </t>
  </si>
  <si>
    <t>no. of mito</t>
  </si>
  <si>
    <t>slice 3</t>
  </si>
  <si>
    <t xml:space="preserve">slice 4- sperm plane </t>
  </si>
  <si>
    <t>slice 5</t>
  </si>
  <si>
    <t>slice 6</t>
  </si>
  <si>
    <t>slice 7</t>
  </si>
  <si>
    <t>slice 8</t>
  </si>
  <si>
    <t>corrected distance</t>
  </si>
  <si>
    <t>slice 9</t>
  </si>
  <si>
    <t>slice 10</t>
  </si>
  <si>
    <t>slie 11</t>
  </si>
  <si>
    <t>corrected</t>
  </si>
  <si>
    <t>slice 12</t>
  </si>
  <si>
    <t>1 mito</t>
  </si>
  <si>
    <t xml:space="preserve">grps </t>
  </si>
  <si>
    <t>grps</t>
  </si>
  <si>
    <t>avg 1  mito</t>
  </si>
  <si>
    <t>embryo length</t>
  </si>
  <si>
    <t>ctrl 1_4</t>
  </si>
  <si>
    <t>slice 4</t>
  </si>
  <si>
    <t xml:space="preserve">background </t>
  </si>
  <si>
    <t>distance</t>
  </si>
  <si>
    <t xml:space="preserve">slice 8- sperm plane </t>
  </si>
  <si>
    <t>avg 1 mito</t>
  </si>
  <si>
    <t>ctrl 1_9</t>
  </si>
  <si>
    <t>slice 6- sperm plane</t>
  </si>
  <si>
    <t>no. of  mito</t>
  </si>
  <si>
    <t>slice 11</t>
  </si>
  <si>
    <t>exp 4_14</t>
  </si>
  <si>
    <t>slice 4- sperm plane</t>
  </si>
  <si>
    <t>exp 4_12</t>
  </si>
  <si>
    <t xml:space="preserve">slice 1 </t>
  </si>
  <si>
    <t xml:space="preserve">slice 5- sperm plane </t>
  </si>
  <si>
    <t>ctrl 2_5</t>
  </si>
  <si>
    <t xml:space="preserve">slice 10- sperm plane </t>
  </si>
  <si>
    <t>slice 13</t>
  </si>
  <si>
    <t>slice 5- sperm plane</t>
  </si>
  <si>
    <t>ctrl 2_10</t>
  </si>
  <si>
    <t>slice 11- sperm plane</t>
  </si>
  <si>
    <t>exp 5_6</t>
  </si>
  <si>
    <t>ctrl 1_1</t>
  </si>
  <si>
    <t>l4440 ctrl 5_8</t>
  </si>
  <si>
    <t>no.of mito</t>
  </si>
  <si>
    <t>slice 7- sperm plane</t>
  </si>
  <si>
    <t>l4440 ctrl 5_15</t>
  </si>
  <si>
    <t xml:space="preserve">slice 6- sperm plane </t>
  </si>
  <si>
    <t>L4440 ctrl 4_6</t>
  </si>
  <si>
    <t>slice 10- sperm plane</t>
  </si>
  <si>
    <t>slice 14</t>
  </si>
  <si>
    <t># of mitochondria</t>
  </si>
  <si>
    <t>Corrected Distance</t>
  </si>
  <si>
    <t>Distance (microns)</t>
  </si>
  <si>
    <t>Corrected Value</t>
  </si>
  <si>
    <t>Mean Value</t>
  </si>
  <si>
    <t>1_8  slice 4</t>
  </si>
  <si>
    <t>1_8  slice 5</t>
  </si>
  <si>
    <t>1_8  slice 6</t>
  </si>
  <si>
    <t>1_8  slice 7</t>
  </si>
  <si>
    <t>1_8  slice 8</t>
  </si>
  <si>
    <t>1_8  slice 10</t>
  </si>
  <si>
    <t>Background Intensity</t>
  </si>
  <si>
    <t>1_8 slice  9(SPERM PLANE)</t>
  </si>
  <si>
    <t>ROI 18 pixel diameter circle</t>
  </si>
  <si>
    <t>average mito</t>
  </si>
  <si>
    <t>exp</t>
  </si>
  <si>
    <t>24 hr gfp rnai in FM956</t>
  </si>
  <si>
    <t>1_12  slice 3</t>
  </si>
  <si>
    <t>1_12  slice 4</t>
  </si>
  <si>
    <t>1_12  slice 8</t>
  </si>
  <si>
    <t>1_12  slice 7</t>
  </si>
  <si>
    <t>1_12  slice 6</t>
  </si>
  <si>
    <t>1_12 slice  5(SPERM PLANE)</t>
  </si>
  <si>
    <t>2_5  slice 1</t>
  </si>
  <si>
    <t>2_5  slice 2</t>
  </si>
  <si>
    <t>2_5  slice 3</t>
  </si>
  <si>
    <t>2_5  slice 16</t>
  </si>
  <si>
    <t>2_5  slice 15</t>
  </si>
  <si>
    <t>2_5  slice 13</t>
  </si>
  <si>
    <t>2_5  slice 12</t>
  </si>
  <si>
    <t>2_5  slice 11</t>
  </si>
  <si>
    <t>2_5  slice 10</t>
  </si>
  <si>
    <t>2_5  slice 9</t>
  </si>
  <si>
    <t>2_5  slice 8</t>
  </si>
  <si>
    <t>2_5  slice 7</t>
  </si>
  <si>
    <t>2_5  slice 6</t>
  </si>
  <si>
    <t>2_5  slice 5</t>
  </si>
  <si>
    <t>2_5 slice  4(SPERM PLANE)</t>
  </si>
  <si>
    <t>4_5 slice 3</t>
  </si>
  <si>
    <t>4_5 slice 4</t>
  </si>
  <si>
    <t>4_5 slice 5</t>
  </si>
  <si>
    <t>4_5 slice 8</t>
  </si>
  <si>
    <t>4_5 slice 7</t>
  </si>
  <si>
    <t>4_5 slice 6(SPERM PLANE)</t>
  </si>
  <si>
    <t>1_5 slice 2</t>
  </si>
  <si>
    <t>1_5 slice 3</t>
  </si>
  <si>
    <t>1_5 slice 4</t>
  </si>
  <si>
    <t>1_5 slice 5</t>
  </si>
  <si>
    <t>1_5 slice 6</t>
  </si>
  <si>
    <t>1_5 slice 13</t>
  </si>
  <si>
    <t>1_5 slice 12</t>
  </si>
  <si>
    <t>1_5 slice 11</t>
  </si>
  <si>
    <t>1_5 slice 9</t>
  </si>
  <si>
    <t>1_5 slice 8</t>
  </si>
  <si>
    <t>1_5 slice 7(SPERM PLANE)</t>
  </si>
  <si>
    <t>35-55 um</t>
  </si>
  <si>
    <t>1_2 slice 8</t>
  </si>
  <si>
    <t>1_2 slice 9</t>
  </si>
  <si>
    <t>1_2 slice 13</t>
  </si>
  <si>
    <t>1_2 slice 12</t>
  </si>
  <si>
    <t>1_2 slice 11</t>
  </si>
  <si>
    <t>1_2 slice 10(SPERM PLANE)</t>
  </si>
  <si>
    <t>5_5 slice 1</t>
  </si>
  <si>
    <t>5_5 slice 2</t>
  </si>
  <si>
    <t>5_5 slice 6</t>
  </si>
  <si>
    <t>5_5 slice 5</t>
  </si>
  <si>
    <t>5_5 slice 4</t>
  </si>
  <si>
    <t>5_5 slice 3(SPERM PLANE)</t>
  </si>
  <si>
    <t>farther out</t>
  </si>
  <si>
    <t>5_7 slice 4</t>
  </si>
  <si>
    <t>5_7 slice 5</t>
  </si>
  <si>
    <t>5_7 slice 6</t>
  </si>
  <si>
    <t>5_7 slice 7</t>
  </si>
  <si>
    <t>5_7 slice 10</t>
  </si>
  <si>
    <t>5_7 slice 9</t>
  </si>
  <si>
    <t>5_7 slice 8(SPERM PLANE)</t>
  </si>
  <si>
    <t>4_14 slice 3</t>
  </si>
  <si>
    <t>4_14 slice 4</t>
  </si>
  <si>
    <t>4_14 slice 7</t>
  </si>
  <si>
    <t>4_14 slice 6</t>
  </si>
  <si>
    <t>4_14 slice 5(SPERM PLANE)</t>
  </si>
  <si>
    <t>4_27 slice 1</t>
  </si>
  <si>
    <t>4_27 slice 2</t>
  </si>
  <si>
    <t>4_27 slice 12</t>
  </si>
  <si>
    <t>4_27 slice 10</t>
  </si>
  <si>
    <t>1 (?)</t>
  </si>
  <si>
    <t>4_27 slice 7</t>
  </si>
  <si>
    <t>4_27 slice 6</t>
  </si>
  <si>
    <t>4_27 slice 5</t>
  </si>
  <si>
    <t>4_27 slice 4</t>
  </si>
  <si>
    <t>4_27 slice 3(SPERM PLANE)</t>
  </si>
  <si>
    <t>4_10 slice 6</t>
  </si>
  <si>
    <t>4_10 slice 7</t>
  </si>
  <si>
    <t>4_10 slice 8</t>
  </si>
  <si>
    <t>4_10 slice 13</t>
  </si>
  <si>
    <t>4_10 slice 12</t>
  </si>
  <si>
    <t>4_10 slice 11</t>
  </si>
  <si>
    <t>4_10 slice 10</t>
  </si>
  <si>
    <t>4_10 slice 9(SPERM PLANE)</t>
  </si>
  <si>
    <t>4_23 slice 5</t>
  </si>
  <si>
    <t>4_23 slice 6</t>
  </si>
  <si>
    <t>4_23 slice 7</t>
  </si>
  <si>
    <t>4_23 slice 12</t>
  </si>
  <si>
    <t>4_23 slice 11</t>
  </si>
  <si>
    <t>4_23 slice 10</t>
  </si>
  <si>
    <t>4_23 slice 9</t>
  </si>
  <si>
    <t>4_23 slice 8(SPERM PLANE)</t>
  </si>
  <si>
    <t xml:space="preserve">4_24 4 slice </t>
  </si>
  <si>
    <t xml:space="preserve">4_24 5 slice </t>
  </si>
  <si>
    <t xml:space="preserve">4_24 6 slice </t>
  </si>
  <si>
    <t xml:space="preserve">4_24 7 slice </t>
  </si>
  <si>
    <t xml:space="preserve">4_24 8 slice </t>
  </si>
  <si>
    <t xml:space="preserve">4_24 9 slice </t>
  </si>
  <si>
    <t xml:space="preserve">4_24 12 slice </t>
  </si>
  <si>
    <t xml:space="preserve">4_24 11 slice </t>
  </si>
  <si>
    <t>4_24 slice 10(SPERM PLANE)</t>
  </si>
  <si>
    <t>2_4 slice 1</t>
  </si>
  <si>
    <t>2_4 slice 2</t>
  </si>
  <si>
    <t>2_4 slice 3</t>
  </si>
  <si>
    <t>2_4 slice 4</t>
  </si>
  <si>
    <t>2_4 slice 5</t>
  </si>
  <si>
    <t>2_4 slice 11</t>
  </si>
  <si>
    <t>2_4 slice 10</t>
  </si>
  <si>
    <t>2_4 slice 9</t>
  </si>
  <si>
    <t>2_4 slice 8</t>
  </si>
  <si>
    <t>2_4 slice 7</t>
  </si>
  <si>
    <t>2_4 slice 6(SPERM PLANE)</t>
  </si>
  <si>
    <t>2_1 slice 4</t>
  </si>
  <si>
    <t>2_1 slice 3</t>
  </si>
  <si>
    <t>2_1 slice 2</t>
  </si>
  <si>
    <t>2_1 slice 1(SPERM PLANE)</t>
  </si>
  <si>
    <t>1_14 slice 4</t>
  </si>
  <si>
    <t>1_14 slice 5</t>
  </si>
  <si>
    <t>1_14 slice 6</t>
  </si>
  <si>
    <t>1_14 slice 11</t>
  </si>
  <si>
    <t>1_14 slice 10</t>
  </si>
  <si>
    <t>1_14 slice 9</t>
  </si>
  <si>
    <t>1_14 slice 8</t>
  </si>
  <si>
    <t>1_14 slice 7(SPERM PLANE)</t>
  </si>
  <si>
    <t>2_11 slice 5</t>
  </si>
  <si>
    <t>2_11 slice 6</t>
  </si>
  <si>
    <t>2_11 slice 7</t>
  </si>
  <si>
    <t>2_11 slice 8</t>
  </si>
  <si>
    <t>2_11 slice 11</t>
  </si>
  <si>
    <t>2_11 slice 10</t>
  </si>
  <si>
    <t>2_11 slice 9(SPERM PLANE)</t>
  </si>
  <si>
    <t>3_1 slice 5</t>
  </si>
  <si>
    <t>3_1 slice 6</t>
  </si>
  <si>
    <t>3_1 slice 13</t>
  </si>
  <si>
    <t>3_1 slice 12</t>
  </si>
  <si>
    <t>3_1 slice 11</t>
  </si>
  <si>
    <t>3_1 slice 10</t>
  </si>
  <si>
    <t>3_1 slice 9</t>
  </si>
  <si>
    <t>3_1 slice 8</t>
  </si>
  <si>
    <t>3_1 slice 7(SPERM PLANE)</t>
  </si>
  <si>
    <t>Distance</t>
  </si>
  <si>
    <t>Value</t>
  </si>
  <si>
    <t>5_11 slice  7</t>
  </si>
  <si>
    <t>5_11 slice  6</t>
  </si>
  <si>
    <t>5_11 slice  5</t>
  </si>
  <si>
    <t>5_11 slice  4</t>
  </si>
  <si>
    <t>5_11 slice 3 (SPERM PLANE)</t>
  </si>
  <si>
    <t xml:space="preserve">5_11 slice 2 </t>
  </si>
  <si>
    <t>18 pixels</t>
  </si>
  <si>
    <t>1 hr no auxin FM956</t>
  </si>
  <si>
    <t>Average Mito</t>
  </si>
  <si>
    <t>Length</t>
  </si>
  <si>
    <t>ROI diameter:</t>
  </si>
  <si>
    <t>Mitochondria Distance From Sperm DNA</t>
  </si>
  <si>
    <t>5_12 slice  2</t>
  </si>
  <si>
    <t>5_12 slice  3</t>
  </si>
  <si>
    <t>5_12 slice  4</t>
  </si>
  <si>
    <t>5_12 slice  9</t>
  </si>
  <si>
    <t>5_12 slice  8</t>
  </si>
  <si>
    <t>5_12 slice  7</t>
  </si>
  <si>
    <t>5_12 slice  6</t>
  </si>
  <si>
    <t>Background</t>
  </si>
  <si>
    <t>5_12 slice 5 (SPERM PLANE)</t>
  </si>
  <si>
    <t>5_12</t>
  </si>
  <si>
    <t>2_1 slice  1</t>
  </si>
  <si>
    <t>2_1 slice  2</t>
  </si>
  <si>
    <t>2_1 slice  7</t>
  </si>
  <si>
    <t>2_1 slice  6</t>
  </si>
  <si>
    <t>2_1 slice  5</t>
  </si>
  <si>
    <t>2_1 slice  4</t>
  </si>
  <si>
    <t>2_1 slice 3 (SPERM PLANE)</t>
  </si>
  <si>
    <t>2_1</t>
  </si>
  <si>
    <t>3_1 slice  5</t>
  </si>
  <si>
    <t>3_1 slice  6</t>
  </si>
  <si>
    <t>3_1 slice  8</t>
  </si>
  <si>
    <t>3_1 slice 7 (SPERM PLANE)</t>
  </si>
  <si>
    <t>3_1</t>
  </si>
  <si>
    <t># mito</t>
  </si>
  <si>
    <t>corrected value</t>
  </si>
  <si>
    <t>mean value</t>
  </si>
  <si>
    <t>grps of mito</t>
  </si>
  <si>
    <t>gros of mito</t>
  </si>
  <si>
    <t>background intensity</t>
  </si>
  <si>
    <t>experiment 2_5</t>
  </si>
  <si>
    <t>exp 2_6</t>
  </si>
  <si>
    <t>length of embryo</t>
  </si>
  <si>
    <t>average 1 mito</t>
  </si>
  <si>
    <t xml:space="preserve">mean value </t>
  </si>
  <si>
    <t xml:space="preserve">background intensity </t>
  </si>
  <si>
    <t xml:space="preserve"> 1 mito</t>
  </si>
  <si>
    <t>slice 5 (sperm plane)</t>
  </si>
  <si>
    <t>control slide4_9</t>
  </si>
  <si>
    <t>Mitochondria</t>
  </si>
  <si>
    <t xml:space="preserve">corrected value </t>
  </si>
  <si>
    <t>slice 3 - sperm plane</t>
  </si>
  <si>
    <t>mean vaue</t>
  </si>
  <si>
    <t>slice 6 -sperm plane</t>
  </si>
  <si>
    <t>control 5-2</t>
  </si>
  <si>
    <t>slice 3- sperm plane</t>
  </si>
  <si>
    <t>exp 3_1</t>
  </si>
  <si>
    <t xml:space="preserve">slice 7- sperm plane </t>
  </si>
  <si>
    <t>1  mito</t>
  </si>
  <si>
    <t>exp 2_10</t>
  </si>
  <si>
    <t>slice 9- sperm plane</t>
  </si>
  <si>
    <t>exp 3_2</t>
  </si>
  <si>
    <t xml:space="preserve">slice 9- sperm plane </t>
  </si>
  <si>
    <t>3_6</t>
  </si>
  <si>
    <t>3_7</t>
  </si>
  <si>
    <t>control 5-8</t>
  </si>
  <si>
    <t>g</t>
  </si>
  <si>
    <t xml:space="preserve">avg 1 mito </t>
  </si>
  <si>
    <t xml:space="preserve"> slide 1_7 slice 3</t>
  </si>
  <si>
    <t xml:space="preserve"> slide 1_7 slice 4</t>
  </si>
  <si>
    <t xml:space="preserve"> slide 1_7 slice 5</t>
  </si>
  <si>
    <t>slide 1_7 slice 6</t>
  </si>
  <si>
    <t xml:space="preserve"> slide 1_7 slice 7</t>
  </si>
  <si>
    <t>slide 1_7 slice 8</t>
  </si>
  <si>
    <t xml:space="preserve"> slide 1_7 slice 11</t>
  </si>
  <si>
    <t xml:space="preserve"> slide 1_7 slice 10</t>
  </si>
  <si>
    <t>1hr aux slide 1_7 slice 9 (SPERM PLANE)</t>
  </si>
  <si>
    <t>individual intensity</t>
  </si>
  <si>
    <t>1.5 hours slide 4_6 slice 5 (SPERM PLANE)</t>
  </si>
  <si>
    <t>1hr auxin  slide 1_11 slice 7 (SPERM PLANE)</t>
  </si>
  <si>
    <t xml:space="preserve"> slide 1_11 slice 8</t>
  </si>
  <si>
    <t xml:space="preserve"> slide 1_11 slice 9</t>
  </si>
  <si>
    <t xml:space="preserve"> slide 1_11 slice 10</t>
  </si>
  <si>
    <t xml:space="preserve"> slide 1_11 slice 11</t>
  </si>
  <si>
    <t>slide 1_11 slice 12</t>
  </si>
  <si>
    <t xml:space="preserve"> slide 1_11 slice 13</t>
  </si>
  <si>
    <t xml:space="preserve"> slide 1_11 slice 6</t>
  </si>
  <si>
    <t xml:space="preserve"> slide 1_11 slice 5</t>
  </si>
  <si>
    <t xml:space="preserve"> slide 1_11 slice 4</t>
  </si>
  <si>
    <t xml:space="preserve"> slide 1_11 slice 3</t>
  </si>
  <si>
    <t xml:space="preserve"> slide 1_11 slice 2</t>
  </si>
  <si>
    <t>slide 1_11 slice 1</t>
  </si>
  <si>
    <t>1.5 hours slide 4_6 slice 6</t>
  </si>
  <si>
    <t>1.5 hours slide 4_6 slice 7</t>
  </si>
  <si>
    <t>1.5 hours slide 4_6 slice 8</t>
  </si>
  <si>
    <t>1.5 hours slide 4_6 slice 4</t>
  </si>
  <si>
    <t>1.5 hours slide 4_6 slice 3</t>
  </si>
  <si>
    <t>1.5 hours slide 4_6 slice 2</t>
  </si>
  <si>
    <t>1hr aux  slide 1_15 slice 7 (SPERM PLANE)</t>
  </si>
  <si>
    <t xml:space="preserve"> slide 1_15 slice 8</t>
  </si>
  <si>
    <t xml:space="preserve"> slide 1_15 slice 9</t>
  </si>
  <si>
    <t xml:space="preserve"> slide 1_15 slice 6</t>
  </si>
  <si>
    <t xml:space="preserve"> slide 1_15 slice 5</t>
  </si>
  <si>
    <t xml:space="preserve"> slide 1_15 slice 4</t>
  </si>
  <si>
    <t>1 hr aux slide 2_1 slice 10 (SPERM PLANE)</t>
  </si>
  <si>
    <t>slide 2_1 slice 11</t>
  </si>
  <si>
    <t>slide 2_1 slice 12</t>
  </si>
  <si>
    <t>slide 2_1 slice 13</t>
  </si>
  <si>
    <t xml:space="preserve"> slide 2_1 slice 14</t>
  </si>
  <si>
    <t xml:space="preserve"> slide 2_1 slice 9</t>
  </si>
  <si>
    <t>1hr aux  slide 2_4 slice 4 (SPERM PLANE)</t>
  </si>
  <si>
    <t xml:space="preserve"> slide 2_4 slice 5</t>
  </si>
  <si>
    <t xml:space="preserve"> slide 2_4 slice 6</t>
  </si>
  <si>
    <t xml:space="preserve"> slide 2_4 slice 3</t>
  </si>
  <si>
    <t>1hr aux lide 2_13 slice 7 (SPERM PLANE)</t>
  </si>
  <si>
    <t>slide 2_13 slice 8</t>
  </si>
  <si>
    <t xml:space="preserve"> slide 2_13 slice 9</t>
  </si>
  <si>
    <t xml:space="preserve"> slide 2_13 slice 6</t>
  </si>
  <si>
    <t>1hr aux  slide 2_12 slice 6 (SPERM PLANE)</t>
  </si>
  <si>
    <t xml:space="preserve"> slide 2_12 slice 7</t>
  </si>
  <si>
    <t xml:space="preserve"> slide 2_12 slice 8</t>
  </si>
  <si>
    <t xml:space="preserve"> slide 2_12 slice 9</t>
  </si>
  <si>
    <t xml:space="preserve"> slide 2_12 slice 10</t>
  </si>
  <si>
    <t xml:space="preserve"> slide 2_12 slice 11</t>
  </si>
  <si>
    <t xml:space="preserve"> slide 2_12 slice 12</t>
  </si>
  <si>
    <t xml:space="preserve"> slide 2_12 slice 5</t>
  </si>
  <si>
    <t>slide 2_12 slice 4</t>
  </si>
  <si>
    <t>slide 2_12 slice 3</t>
  </si>
  <si>
    <t xml:space="preserve"> slide 2_12 slice 2</t>
  </si>
  <si>
    <t>no aux slide 4_4 slice 4 (SPERM PLANE)</t>
  </si>
  <si>
    <t xml:space="preserve"> slide 4_4 slice 5</t>
  </si>
  <si>
    <t xml:space="preserve"> slide 4_4 slice 6</t>
  </si>
  <si>
    <t>slide 4_4 slice 7</t>
  </si>
  <si>
    <t>slide 4_4 slice 8</t>
  </si>
  <si>
    <t xml:space="preserve"> slide 4_4 slice 9</t>
  </si>
  <si>
    <t>slide 4_4 slice 10</t>
  </si>
  <si>
    <t>slide 4_4 slice 11</t>
  </si>
  <si>
    <t xml:space="preserve"> slide 4_4 slice 3</t>
  </si>
  <si>
    <t xml:space="preserve"> slide 4_4 slice 2</t>
  </si>
  <si>
    <t>slide 4_4 slice 1</t>
  </si>
  <si>
    <t>no aux  slide 4_3 slice 10 (SPERM PLANE)</t>
  </si>
  <si>
    <t xml:space="preserve"> slide 4_3 slice 11</t>
  </si>
  <si>
    <t>slide 4_3 slice 12</t>
  </si>
  <si>
    <t>slide 4_3 slice 13</t>
  </si>
  <si>
    <t xml:space="preserve"> slide 4_3 slice 9</t>
  </si>
  <si>
    <t xml:space="preserve"> slide 4_3 slice 8</t>
  </si>
  <si>
    <t xml:space="preserve"> slide 4_3 slice 7</t>
  </si>
  <si>
    <t xml:space="preserve"> slide 4_3 slice 6</t>
  </si>
  <si>
    <t>exp 1_9</t>
  </si>
  <si>
    <t>2_11</t>
  </si>
  <si>
    <t>exp 3_9</t>
  </si>
  <si>
    <t>slice 9-sperm plane</t>
  </si>
  <si>
    <t>ctrl 5_24</t>
  </si>
  <si>
    <t>ctrl 5_33</t>
  </si>
  <si>
    <t>ctrl 5_37</t>
  </si>
  <si>
    <t>slice 2- sperm plane</t>
  </si>
  <si>
    <t>ctrl 5_2</t>
  </si>
  <si>
    <t>atx-2 (RNAi)</t>
  </si>
  <si>
    <t>slide 1_7 slice 5 (SPERM PLANE)</t>
  </si>
  <si>
    <t>Percent Distance</t>
  </si>
  <si>
    <t>slide 1_7 slice 7</t>
  </si>
  <si>
    <t>slide 1_7 slice 4</t>
  </si>
  <si>
    <t>slide 1_7 slice 3</t>
  </si>
  <si>
    <t>slide 1_7 slice 2</t>
  </si>
  <si>
    <t>slide 1_7 slice 1</t>
  </si>
  <si>
    <t>slide 4_2 slice 3 (SPERM PLANE)</t>
  </si>
  <si>
    <t>slide 4_2 slice 4</t>
  </si>
  <si>
    <t>slide 4_2 slice 5</t>
  </si>
  <si>
    <t>slide 4_2 slice 2</t>
  </si>
  <si>
    <t>slide 2_3 slice 7 (SPERM PLANE)</t>
  </si>
  <si>
    <t>slide 2_3 slice 8</t>
  </si>
  <si>
    <t>slide 2_3 slice 9</t>
  </si>
  <si>
    <t>slide 2_3 slice 6</t>
  </si>
  <si>
    <t>slide 2_3 slice 5</t>
  </si>
  <si>
    <t>slide 2_3 slice 4</t>
  </si>
  <si>
    <t>slide 2_3 slice 3</t>
  </si>
  <si>
    <t>slide 4_14 slice 6 (SPERM PLANE)</t>
  </si>
  <si>
    <t>slide 4_14 slice 7</t>
  </si>
  <si>
    <t>slide 4_14 slice 5</t>
  </si>
  <si>
    <t>slide 4_14 slice 4</t>
  </si>
  <si>
    <t>slide 4_14 slice 3</t>
  </si>
  <si>
    <t>slide 2_15 slice 4 (SPERM PLANE)</t>
  </si>
  <si>
    <t>slide 2_15 slice 5</t>
  </si>
  <si>
    <t>slide 2_15 slice 6</t>
  </si>
  <si>
    <t>slide 2_15 slice 7</t>
  </si>
  <si>
    <t>slide 2_15 slice 8</t>
  </si>
  <si>
    <t>slide 2_15 slice 3</t>
  </si>
  <si>
    <t>slide 4_15 slice 3 (SPERM PLANE)</t>
  </si>
  <si>
    <t>slide 4_15 slice 4</t>
  </si>
  <si>
    <t>slide 4_15 slice 5</t>
  </si>
  <si>
    <t>slide 4_15 slice 6</t>
  </si>
  <si>
    <t>slide 4_15 slice 8</t>
  </si>
  <si>
    <t>slide 4_15 slice 9</t>
  </si>
  <si>
    <t>slide 4_15 slice 2</t>
  </si>
  <si>
    <t>slide 2_18 slice 6 (SPERM PLANE)</t>
  </si>
  <si>
    <t>slide 2_18 slice 7</t>
  </si>
  <si>
    <t>slide 2_18 slice 8</t>
  </si>
  <si>
    <t>slide 2_18 slice 9</t>
  </si>
  <si>
    <t>slide 2_18 slice 10</t>
  </si>
  <si>
    <t>slide 2_18 slice 11</t>
  </si>
  <si>
    <t>slide 2_18 slice 5</t>
  </si>
  <si>
    <t>slide 2_18 slice 4</t>
  </si>
  <si>
    <t>slide 2_18 slice 3</t>
  </si>
  <si>
    <t>slide 2_18 slice 2</t>
  </si>
  <si>
    <t>average individual intensity</t>
  </si>
  <si>
    <t>slide 2_17 slice 6 (SPERM PLANE)</t>
  </si>
  <si>
    <t>slide 2_17 slice 7</t>
  </si>
  <si>
    <t>slide 2_17 slice 8</t>
  </si>
  <si>
    <t>slide 2_17 slice 9</t>
  </si>
  <si>
    <t>slide 2_17 slice 10</t>
  </si>
  <si>
    <t>slide 2_17 slice 5</t>
  </si>
  <si>
    <t>slide 2_17 slice 4</t>
  </si>
  <si>
    <t>slide 2_17 slice 3</t>
  </si>
  <si>
    <t>slide 4_18 slice 6 (SPERM PLANE)</t>
  </si>
  <si>
    <t>slide 4_18 slice 7</t>
  </si>
  <si>
    <t>slide 4_18 slice 8</t>
  </si>
  <si>
    <t>slide 4_18 slice 9</t>
  </si>
  <si>
    <t>slide 4_18 slice 10</t>
  </si>
  <si>
    <t>slide 4_18 slice 5</t>
  </si>
  <si>
    <t>slide 4_18 slice 4</t>
  </si>
  <si>
    <t>slide 4_18 slice 3</t>
  </si>
  <si>
    <t>slide 4_18 slice 2</t>
  </si>
  <si>
    <t>slide 2_21 slice 4 (SPERM PLANE)</t>
  </si>
  <si>
    <t>slide 2_21 slice 5</t>
  </si>
  <si>
    <t>slide 2_21 slice 6</t>
  </si>
  <si>
    <t>slide 2_21 slice 3</t>
  </si>
  <si>
    <t>slide 2_21 slice 2</t>
  </si>
  <si>
    <t>slide 5_1 slice 7 (SPERM PLANE)</t>
  </si>
  <si>
    <t>slide 5_1 slice 8</t>
  </si>
  <si>
    <t>slide 5_1 slice 6</t>
  </si>
  <si>
    <t>slide 5_1 slice 5</t>
  </si>
  <si>
    <t>slide 1_4 slice 2</t>
  </si>
  <si>
    <t>slide 1_4 slice 3</t>
  </si>
  <si>
    <t>slide 1_4 slice 4</t>
  </si>
  <si>
    <t>slide 1_4 slice 5</t>
  </si>
  <si>
    <t>slide 1_4 slice 6</t>
  </si>
  <si>
    <t>slide 1_4 slice 7</t>
  </si>
  <si>
    <t>slide 1_4 slice 8</t>
  </si>
  <si>
    <t>slide 1_4 slice 14</t>
  </si>
  <si>
    <t>slide 1_4 slice 13</t>
  </si>
  <si>
    <t>slide 1_4 slice 12</t>
  </si>
  <si>
    <t>slide 1_4 slice 11</t>
  </si>
  <si>
    <t>slide 1_4 slice 10</t>
  </si>
  <si>
    <t>slide 1_4 slice 9 (SPERM PLANE)</t>
  </si>
  <si>
    <t>slide 1_5 slice 1</t>
  </si>
  <si>
    <t>slide 1_5 slice 2</t>
  </si>
  <si>
    <t>slide 1_5 slice 3</t>
  </si>
  <si>
    <t>slide 1_5 slice 9</t>
  </si>
  <si>
    <t>slide 1_5 slice 8</t>
  </si>
  <si>
    <t>slide 1_5 slice 7</t>
  </si>
  <si>
    <t>slide 1_5 slice 6</t>
  </si>
  <si>
    <t>slide 1_5 slice 5</t>
  </si>
  <si>
    <t>slide 1_5 slice 4 (SPERM PLANE)</t>
  </si>
  <si>
    <t>slide 1_1 slice 7</t>
  </si>
  <si>
    <t>slide 1_1 slice 8</t>
  </si>
  <si>
    <t>slide 1_1 slice 9</t>
  </si>
  <si>
    <t>slide 1_1 slice 12</t>
  </si>
  <si>
    <t>slide 1_1 slice 11</t>
  </si>
  <si>
    <t>slide 1_1 slice 10 (SPERM PLANE)</t>
  </si>
  <si>
    <t>slide 1_3 slice 1</t>
  </si>
  <si>
    <t>slide 1_3 slice 2</t>
  </si>
  <si>
    <t>slide 1_3 slice 3</t>
  </si>
  <si>
    <t>slide 1_3 slice 4</t>
  </si>
  <si>
    <t>slide 1_3 slice 5</t>
  </si>
  <si>
    <t>slide 1_3 slice 12</t>
  </si>
  <si>
    <t>slide 1_3 slice 11</t>
  </si>
  <si>
    <t>slide 1_3 slice 10</t>
  </si>
  <si>
    <t>slide 1_3 slice 9</t>
  </si>
  <si>
    <t>slide 1_3 slice 8</t>
  </si>
  <si>
    <t>slide 1_3 slice 7</t>
  </si>
  <si>
    <t>slide 1_3 slice 6 (SPERM PLANE)</t>
  </si>
  <si>
    <t>1_8 slice 9</t>
  </si>
  <si>
    <t>1_8 slice 6</t>
  </si>
  <si>
    <t>1_8 slice 5</t>
  </si>
  <si>
    <t>1_8 slice 4</t>
  </si>
  <si>
    <t>1_8 slice 3</t>
  </si>
  <si>
    <t>1_8 slice 1</t>
  </si>
  <si>
    <t>1_8 slice 2 (SPERM PLANE)</t>
  </si>
  <si>
    <t>8 pixels</t>
  </si>
  <si>
    <t xml:space="preserve">ROI </t>
  </si>
  <si>
    <t>1_8</t>
  </si>
  <si>
    <t>Elizabeth's atx-2 N2</t>
  </si>
  <si>
    <t>1_9 slice 2</t>
  </si>
  <si>
    <t>1_9 slice 3</t>
  </si>
  <si>
    <t>1_9 slice 4</t>
  </si>
  <si>
    <t>1_9 slice 5</t>
  </si>
  <si>
    <t>1_9 slice 6</t>
  </si>
  <si>
    <t>1_9 slice 9</t>
  </si>
  <si>
    <t>1_9 slice 8</t>
  </si>
  <si>
    <t>1_9 slice 7 (SPERM PLANE)</t>
  </si>
  <si>
    <t>1_9</t>
  </si>
  <si>
    <t>4_1 slice 3</t>
  </si>
  <si>
    <t>4_1 slice 4</t>
  </si>
  <si>
    <t>4_1 slice 5</t>
  </si>
  <si>
    <t>4_1 slice 6</t>
  </si>
  <si>
    <t>4_1 slice 7</t>
  </si>
  <si>
    <t>4_1 slice 11</t>
  </si>
  <si>
    <t>4_1 slice 10</t>
  </si>
  <si>
    <t>4_1 slice 9</t>
  </si>
  <si>
    <t>4_1 slice 8 (SPERM PLANE)</t>
  </si>
  <si>
    <t>4_1</t>
  </si>
  <si>
    <t>Elizabeth's L4440 N2</t>
  </si>
  <si>
    <t>4_2 slice 5</t>
  </si>
  <si>
    <t>4_2 slice 8</t>
  </si>
  <si>
    <t>4_2 slice 9</t>
  </si>
  <si>
    <t>4_2 slice 12</t>
  </si>
  <si>
    <t>4_2 slice 11</t>
  </si>
  <si>
    <t>4_2 slice 10 (SPERM PLANE)</t>
  </si>
  <si>
    <t>4_2</t>
  </si>
  <si>
    <t>4_2 slice 1</t>
  </si>
  <si>
    <t>4_2 slice 2</t>
  </si>
  <si>
    <t>4_2 slice 3</t>
  </si>
  <si>
    <t>4_2 slice 7</t>
  </si>
  <si>
    <t>4_2 slice 6</t>
  </si>
  <si>
    <t>4_2 slice 4 (SPERM PLANE)</t>
  </si>
  <si>
    <t>4_8</t>
  </si>
  <si>
    <t>5_9 slice 1</t>
  </si>
  <si>
    <t>5_9 slice 2</t>
  </si>
  <si>
    <t>5_9 slice 6</t>
  </si>
  <si>
    <t>5_9 slice 5</t>
  </si>
  <si>
    <t>5_9 slice 4</t>
  </si>
  <si>
    <t>5_9 slice 3 (SPERM PLANE)</t>
  </si>
  <si>
    <t>5_9</t>
  </si>
  <si>
    <t>1_7 slice 1</t>
  </si>
  <si>
    <t>1_7 slice 2</t>
  </si>
  <si>
    <t>1_7 slice 3</t>
  </si>
  <si>
    <t>1_7 slice 4</t>
  </si>
  <si>
    <t>1_7 slice 5</t>
  </si>
  <si>
    <t>1_7 slice 6</t>
  </si>
  <si>
    <t>1_7 slice 14</t>
  </si>
  <si>
    <t>1_7 slice 13</t>
  </si>
  <si>
    <t>1_7 slice 12</t>
  </si>
  <si>
    <t>1_7 slice 11</t>
  </si>
  <si>
    <t>1_7 slice 10</t>
  </si>
  <si>
    <t>1_7 slice 9</t>
  </si>
  <si>
    <t>1_7 slice 8</t>
  </si>
  <si>
    <t>1_7 slice 7 (SPERM PLANE)</t>
  </si>
  <si>
    <t>1_10 slice 1</t>
  </si>
  <si>
    <t>1_10 slice 2</t>
  </si>
  <si>
    <t>1_10 slice 3</t>
  </si>
  <si>
    <t>1_10 slice 4</t>
  </si>
  <si>
    <t>1_10 slice 14</t>
  </si>
  <si>
    <t>1_10 slice 13</t>
  </si>
  <si>
    <t>1_10 slice 12</t>
  </si>
  <si>
    <t>1_10 slice 11</t>
  </si>
  <si>
    <t>1_10 slice 10</t>
  </si>
  <si>
    <t>1_10 slice 9</t>
  </si>
  <si>
    <t>1_10 slice 8</t>
  </si>
  <si>
    <t>1_10 slice 7</t>
  </si>
  <si>
    <t>1_10 slice 6</t>
  </si>
  <si>
    <t>1_10 slice 5 (SPERM PLANE)</t>
  </si>
  <si>
    <t>1_20 slice 1</t>
  </si>
  <si>
    <t>1_20 slice 2</t>
  </si>
  <si>
    <t>1_20 slice 9</t>
  </si>
  <si>
    <t>1_20 slice 8</t>
  </si>
  <si>
    <t>1_20 slice 7</t>
  </si>
  <si>
    <t>1_20 slice 6</t>
  </si>
  <si>
    <t>1_20 slice 5</t>
  </si>
  <si>
    <t>1_20 slice 4</t>
  </si>
  <si>
    <t>1_20 slice 3 (SPERM PLANE)</t>
  </si>
  <si>
    <t>roi circle diameter</t>
  </si>
  <si>
    <t>n2 atx-2 rnai 28.5hrs giovani 7-26-19</t>
  </si>
  <si>
    <t>atx-2 RNAi fixed images</t>
  </si>
  <si>
    <t>atx-2 rnai fixed imaging</t>
  </si>
  <si>
    <t>atx-2 data and images</t>
  </si>
  <si>
    <t>Sperm paper</t>
  </si>
  <si>
    <t>Cindys legacy</t>
  </si>
  <si>
    <t>Cynthia</t>
  </si>
  <si>
    <t>Cindy's N2 atx-2 RNAi (28.5 hr)</t>
  </si>
  <si>
    <t>1_22 slice 5</t>
  </si>
  <si>
    <t>1_22 slice 6</t>
  </si>
  <si>
    <t>1_22 slice 15</t>
  </si>
  <si>
    <t>1_22 slice 14</t>
  </si>
  <si>
    <t>1_22 slice 13</t>
  </si>
  <si>
    <t>1_22 slice 12</t>
  </si>
  <si>
    <t>1_22 slice 11</t>
  </si>
  <si>
    <t>1_22 slice 10</t>
  </si>
  <si>
    <t>1_22 slice 9</t>
  </si>
  <si>
    <t>1_22 slice 8</t>
  </si>
  <si>
    <t>1_22 slice 7 (SPERM PLANE)</t>
  </si>
  <si>
    <t>ave mito</t>
  </si>
  <si>
    <t>1_7 slice 2 (SPERM PLANE)</t>
  </si>
  <si>
    <t>control</t>
  </si>
  <si>
    <t>1_5 slice 1</t>
  </si>
  <si>
    <t>1_5 slice 7</t>
  </si>
  <si>
    <t>1_16 slice 3</t>
  </si>
  <si>
    <t>1_16 slice 4</t>
  </si>
  <si>
    <t>1_16 slice 9</t>
  </si>
  <si>
    <t>1_16 slice 8</t>
  </si>
  <si>
    <t>1_16 slice 7</t>
  </si>
  <si>
    <t>1_16 slice 6</t>
  </si>
  <si>
    <t>1_16 slice 5 (SPERM PLANE)</t>
  </si>
  <si>
    <t xml:space="preserve">corrected intensity </t>
  </si>
  <si>
    <t xml:space="preserve">mean intensity </t>
  </si>
  <si>
    <t>corrected intensity</t>
  </si>
  <si>
    <t xml:space="preserve">mean  intensity </t>
  </si>
  <si>
    <t>1_17, exp</t>
  </si>
  <si>
    <t>ditance</t>
  </si>
  <si>
    <t>slice 8- sperm plane</t>
  </si>
  <si>
    <t>disance</t>
  </si>
  <si>
    <t>sllice 7</t>
  </si>
  <si>
    <t>corected distance</t>
  </si>
  <si>
    <t>1,18, exp</t>
  </si>
  <si>
    <t>control 1_10</t>
  </si>
  <si>
    <t>slice 17</t>
  </si>
  <si>
    <t>slice 16</t>
  </si>
  <si>
    <t>slice 15</t>
  </si>
  <si>
    <t>slice 13- sperm plane</t>
  </si>
  <si>
    <t>no of mito</t>
  </si>
  <si>
    <t xml:space="preserve">1 mito </t>
  </si>
  <si>
    <t>1mito</t>
  </si>
  <si>
    <t>1_15</t>
  </si>
  <si>
    <t>3_8 slice  1</t>
  </si>
  <si>
    <t>3_8 slice  2</t>
  </si>
  <si>
    <t>3_8 slice  3</t>
  </si>
  <si>
    <t>3_8 slice  4</t>
  </si>
  <si>
    <t>3_8 slice  5</t>
  </si>
  <si>
    <t>3_8 slice  6</t>
  </si>
  <si>
    <t>3_8 slice  7</t>
  </si>
  <si>
    <t>3_8 slice  8</t>
  </si>
  <si>
    <t>3_8 slice  13</t>
  </si>
  <si>
    <t>3_8 slice  12</t>
  </si>
  <si>
    <t>3_8 slice  11</t>
  </si>
  <si>
    <t>3_8 slice  10</t>
  </si>
  <si>
    <t>3_8 slice 9 (SPERM PLANE)</t>
  </si>
  <si>
    <t>3_8</t>
  </si>
  <si>
    <t>48 hr klp-7 RNAi FM956</t>
  </si>
  <si>
    <t>2_23 slice  2</t>
  </si>
  <si>
    <t>2_23 slice  3</t>
  </si>
  <si>
    <t>2_23 slice  8</t>
  </si>
  <si>
    <t>2_23 slice  7</t>
  </si>
  <si>
    <t>2_23 slice  6</t>
  </si>
  <si>
    <t>2_23 slice  5</t>
  </si>
  <si>
    <t>2_23 slice 4 (SPERM PLANE)</t>
  </si>
  <si>
    <t>2_23</t>
  </si>
  <si>
    <t>2_18 slice  5</t>
  </si>
  <si>
    <t>2_18 slice  6</t>
  </si>
  <si>
    <t>2_18 slice  7</t>
  </si>
  <si>
    <t>2_18 slice  8</t>
  </si>
  <si>
    <t>2_18 slice  9</t>
  </si>
  <si>
    <t>2_18 slice  14</t>
  </si>
  <si>
    <t>2_18 slice  13</t>
  </si>
  <si>
    <t>2_18 slice  12</t>
  </si>
  <si>
    <t>2_18 slice  11</t>
  </si>
  <si>
    <t>2_18 slice 10 (SPERM PLANE)</t>
  </si>
  <si>
    <t>2_18</t>
  </si>
  <si>
    <t>2_18 slice  10</t>
  </si>
  <si>
    <t>2_18 slice  16</t>
  </si>
  <si>
    <t>2_18 slice  15</t>
  </si>
  <si>
    <t>2_18 slice 13 (SPERM PLANE)</t>
  </si>
  <si>
    <t>2_11 slice  9</t>
  </si>
  <si>
    <t>2_11 slice  10</t>
  </si>
  <si>
    <t>2_11 slice  11</t>
  </si>
  <si>
    <t>2_11 slice  14</t>
  </si>
  <si>
    <t>2_11 slice  13</t>
  </si>
  <si>
    <t>2_11 slice 12 (SPERM PLANE)</t>
  </si>
  <si>
    <t>1_28 slice  6</t>
  </si>
  <si>
    <t>1_28 slice  7</t>
  </si>
  <si>
    <t>1_28 slice  8</t>
  </si>
  <si>
    <t>1_28 slice  11</t>
  </si>
  <si>
    <t>1_28 slice  10</t>
  </si>
  <si>
    <t>1_28 slice 9 (SPERM PLANE)</t>
  </si>
  <si>
    <t>1_28</t>
  </si>
  <si>
    <t>1_20 slice  7</t>
  </si>
  <si>
    <t>1_20 slice  9</t>
  </si>
  <si>
    <t>1_20 slice  10</t>
  </si>
  <si>
    <t>1_20 slice  11</t>
  </si>
  <si>
    <t>1_20 slice  12</t>
  </si>
  <si>
    <t>1_20 slice  14</t>
  </si>
  <si>
    <t>1_20 slice 13 (SPERM PLANE)</t>
  </si>
  <si>
    <t>1_20</t>
  </si>
  <si>
    <t>1_11 slice  5</t>
  </si>
  <si>
    <t>1_11 slice  6</t>
  </si>
  <si>
    <t>1_11 slice  7</t>
  </si>
  <si>
    <t>1_11 slice  8</t>
  </si>
  <si>
    <t>1_11 slice  10</t>
  </si>
  <si>
    <t>1_11 slice  11</t>
  </si>
  <si>
    <t>1_11 slice  15</t>
  </si>
  <si>
    <t>1_11 slice  14</t>
  </si>
  <si>
    <t>1_11 slice  13</t>
  </si>
  <si>
    <t>1_11 slice 12 (SPERM PLANE)</t>
  </si>
  <si>
    <t>1_11</t>
  </si>
  <si>
    <t>5_6 slice  1</t>
  </si>
  <si>
    <t>5_6 slice  3</t>
  </si>
  <si>
    <t>5_6 slice 2 (SPERM PLANE)</t>
  </si>
  <si>
    <t>5_6</t>
  </si>
  <si>
    <t>48 hr L4440 RNAi FM956</t>
  </si>
  <si>
    <t>5_5 slice  5</t>
  </si>
  <si>
    <t>5_5 slice  8</t>
  </si>
  <si>
    <t>5_5 slice  7</t>
  </si>
  <si>
    <t>5_5 slice 6 (SPERM PLANE)</t>
  </si>
  <si>
    <t>5_5</t>
  </si>
  <si>
    <t>4_20 slice  5</t>
  </si>
  <si>
    <t>4_20 slice  6</t>
  </si>
  <si>
    <t>4_20 slice  7</t>
  </si>
  <si>
    <t>4_20 slice  8</t>
  </si>
  <si>
    <t>4_20 slice  9</t>
  </si>
  <si>
    <t>4_20 slice  14</t>
  </si>
  <si>
    <t>4_20 slice  13</t>
  </si>
  <si>
    <t>4_20 slice  12</t>
  </si>
  <si>
    <t>4_20 slice  11</t>
  </si>
  <si>
    <t>4_20 slice 10 (SPERM PLANE)</t>
  </si>
  <si>
    <t>4_20</t>
  </si>
  <si>
    <t>4_19 slice  3</t>
  </si>
  <si>
    <t>4_19 slice  5</t>
  </si>
  <si>
    <t>4_19 slice  8</t>
  </si>
  <si>
    <t>4_19 slice  9</t>
  </si>
  <si>
    <t>4_19 slice  10</t>
  </si>
  <si>
    <t>4_19 slice  14</t>
  </si>
  <si>
    <t>4_19 slice  13</t>
  </si>
  <si>
    <t>4_19 slice  12</t>
  </si>
  <si>
    <t>4_19 slice 11 (SPERM PLANE)</t>
  </si>
  <si>
    <t>4_19</t>
  </si>
  <si>
    <t>4_14 slice  3</t>
  </si>
  <si>
    <t>4_14 slice  4</t>
  </si>
  <si>
    <t>4_14 slice  5</t>
  </si>
  <si>
    <t>Corre+A33cted Value</t>
  </si>
  <si>
    <t>4_14 slice  6</t>
  </si>
  <si>
    <t>4_14 slice  7</t>
  </si>
  <si>
    <t>4_14 slice  9</t>
  </si>
  <si>
    <t>4_14 slice 8 (SPERM PLANE)</t>
  </si>
  <si>
    <t>4_14</t>
  </si>
  <si>
    <t>4_8 slice  2</t>
  </si>
  <si>
    <t>4_8 slice  3</t>
  </si>
  <si>
    <t>4_8 slice  7</t>
  </si>
  <si>
    <t>4_8 slice  6</t>
  </si>
  <si>
    <t>4_8 slice  5</t>
  </si>
  <si>
    <t>4_8 slice 4 (SPERM PLANE)</t>
  </si>
  <si>
    <t>4_5 slice  6</t>
  </si>
  <si>
    <t>4_5 slice  7</t>
  </si>
  <si>
    <t>4_5 slice  11</t>
  </si>
  <si>
    <t>4_5 slice  10</t>
  </si>
  <si>
    <t>4_5 slice  9</t>
  </si>
  <si>
    <t>4_5 slice 8 (SPERM PLANE)</t>
  </si>
  <si>
    <t>4_5</t>
  </si>
  <si>
    <t>4_8 slice  1</t>
  </si>
  <si>
    <t>4_8 slice  13</t>
  </si>
  <si>
    <t>4_8 slice  9</t>
  </si>
  <si>
    <t>4_8 slice  4</t>
  </si>
  <si>
    <t>4_8 slice 3 (SPERM PLANE)</t>
  </si>
  <si>
    <t>4_2 slice 4</t>
  </si>
  <si>
    <t>4_2 slice 10</t>
  </si>
  <si>
    <t>4_2 slice 7(SPERM PLANE)</t>
  </si>
  <si>
    <t>m</t>
  </si>
  <si>
    <t>1_2 slice 5</t>
  </si>
  <si>
    <t>1_2 slice 6</t>
  </si>
  <si>
    <t>1_2 slice 7</t>
  </si>
  <si>
    <t>48 hr gfp rnai in FM956</t>
  </si>
  <si>
    <t>1_5 slice 5(SPERM PLANE)</t>
  </si>
  <si>
    <t>4_6 slice 7</t>
  </si>
  <si>
    <t>4_6 slice 8</t>
  </si>
  <si>
    <t>4_6 slice 9</t>
  </si>
  <si>
    <t>4_6 slice 12</t>
  </si>
  <si>
    <t>4_6 slice 11</t>
  </si>
  <si>
    <t>4_6 slice 10(SPERM PLANE)</t>
  </si>
  <si>
    <t>value</t>
  </si>
  <si>
    <t>1_1slice10</t>
  </si>
  <si>
    <t>group of mito</t>
  </si>
  <si>
    <t>1_1 slice 9</t>
  </si>
  <si>
    <t>groups of mito</t>
  </si>
  <si>
    <t>1_1 slice 8</t>
  </si>
  <si>
    <t>Distance (microns) (bw mito nd sperm dna)</t>
  </si>
  <si>
    <t>Length of Embryo</t>
  </si>
  <si>
    <t>1_1 slice 7 (SPERM PLANE)</t>
  </si>
  <si>
    <t xml:space="preserve">Mean value </t>
  </si>
  <si>
    <t>1_1 slice 6</t>
  </si>
  <si>
    <t>1_1 slice 5</t>
  </si>
  <si>
    <t>1_1 slice 4</t>
  </si>
  <si>
    <t>1_1 slice 3</t>
  </si>
  <si>
    <t>1_1 slice 2</t>
  </si>
  <si>
    <t>1_1 slice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</si>
</sst>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4"/>
      <charset val="134"/>
      <scheme val="minor"/>
    </font>
    <font>
      <b/>
      <sz val="11"/>
      <color rgb="FF000000"/>
      <name val="Calibri"/>
      <family val="4"/>
      <charset val="13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engXian"/>
      <family val="4"/>
      <charset val="134"/>
    </font>
    <font>
      <b/>
      <sz val="11"/>
      <color theme="1"/>
      <name val="DengXian"/>
      <family val="4"/>
      <charset val="134"/>
    </font>
    <font>
      <sz val="12"/>
      <color rgb="FF000000"/>
      <name val="Calibri"/>
      <family val="4"/>
      <charset val="134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0" fillId="2" borderId="0" xfId="0" applyFill="1"/>
    <xf numFmtId="0" fontId="3" fillId="0" borderId="0" xfId="1"/>
    <xf numFmtId="0" fontId="5" fillId="0" borderId="0" xfId="1" applyFont="1"/>
    <xf numFmtId="0" fontId="5" fillId="3" borderId="0" xfId="1" applyFont="1" applyFill="1"/>
    <xf numFmtId="0" fontId="6" fillId="3" borderId="1" xfId="1" applyFont="1" applyFill="1" applyBorder="1"/>
    <xf numFmtId="14" fontId="3" fillId="0" borderId="0" xfId="1" applyNumberFormat="1"/>
    <xf numFmtId="0" fontId="7" fillId="0" borderId="0" xfId="2"/>
    <xf numFmtId="0" fontId="8" fillId="0" borderId="0" xfId="2" applyFont="1"/>
    <xf numFmtId="0" fontId="9" fillId="0" borderId="0" xfId="2" applyFont="1"/>
    <xf numFmtId="0" fontId="9" fillId="4" borderId="0" xfId="2" applyFont="1" applyFill="1"/>
    <xf numFmtId="0" fontId="10" fillId="5" borderId="0" xfId="2" applyFont="1" applyFill="1" applyAlignment="1">
      <alignment horizontal="right"/>
    </xf>
    <xf numFmtId="0" fontId="11" fillId="0" borderId="0" xfId="2" applyFont="1"/>
    <xf numFmtId="0" fontId="11" fillId="0" borderId="0" xfId="2" applyFont="1" applyAlignment="1">
      <alignment horizontal="right"/>
    </xf>
    <xf numFmtId="0" fontId="12" fillId="4" borderId="2" xfId="2" applyFont="1" applyFill="1" applyBorder="1"/>
    <xf numFmtId="164" fontId="11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4" fillId="0" borderId="0" xfId="2" applyFont="1"/>
    <xf numFmtId="0" fontId="4" fillId="4" borderId="0" xfId="2" applyFont="1" applyFill="1"/>
    <xf numFmtId="0" fontId="8" fillId="0" borderId="0" xfId="2" applyFont="1" applyAlignment="1">
      <alignment horizontal="right"/>
    </xf>
    <xf numFmtId="0" fontId="14" fillId="0" borderId="0" xfId="0" applyFont="1"/>
    <xf numFmtId="0" fontId="14" fillId="3" borderId="0" xfId="0" applyFont="1" applyFill="1"/>
    <xf numFmtId="0" fontId="15" fillId="2" borderId="3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2" borderId="0" xfId="1" applyFill="1"/>
    <xf numFmtId="0" fontId="2" fillId="0" borderId="0" xfId="3"/>
    <xf numFmtId="0" fontId="2" fillId="2" borderId="0" xfId="3" applyFill="1"/>
    <xf numFmtId="0" fontId="1" fillId="0" borderId="0" xfId="4"/>
    <xf numFmtId="0" fontId="16" fillId="0" borderId="0" xfId="4" applyFont="1" applyAlignment="1">
      <alignment vertical="center"/>
    </xf>
    <xf numFmtId="1" fontId="16" fillId="0" borderId="0" xfId="4" applyNumberFormat="1" applyFont="1" applyAlignment="1">
      <alignment vertical="center"/>
    </xf>
    <xf numFmtId="0" fontId="17" fillId="0" borderId="0" xfId="4" applyFont="1" applyAlignment="1">
      <alignment vertical="center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vertical="center"/>
    </xf>
    <xf numFmtId="0" fontId="18" fillId="0" borderId="0" xfId="4" applyFont="1" applyAlignment="1">
      <alignment vertical="center"/>
    </xf>
    <xf numFmtId="0" fontId="1" fillId="0" borderId="0" xfId="4" applyAlignment="1">
      <alignment vertical="center"/>
    </xf>
    <xf numFmtId="0" fontId="16" fillId="0" borderId="0" xfId="4" applyFont="1"/>
    <xf numFmtId="0" fontId="5" fillId="0" borderId="0" xfId="4" applyFont="1"/>
    <xf numFmtId="0" fontId="6" fillId="3" borderId="1" xfId="4" applyFont="1" applyFill="1" applyBorder="1"/>
    <xf numFmtId="0" fontId="5" fillId="3" borderId="0" xfId="4" applyFont="1" applyFill="1"/>
    <xf numFmtId="14" fontId="1" fillId="0" borderId="0" xfId="4" applyNumberFormat="1"/>
    <xf numFmtId="0" fontId="1" fillId="6" borderId="0" xfId="4" applyFill="1"/>
    <xf numFmtId="0" fontId="5" fillId="6" borderId="0" xfId="4" applyFont="1" applyFill="1"/>
    <xf numFmtId="0" fontId="1" fillId="2" borderId="0" xfId="4" applyFill="1"/>
    <xf numFmtId="0" fontId="5" fillId="2" borderId="0" xfId="4" applyFont="1" applyFill="1"/>
    <xf numFmtId="16" fontId="0" fillId="0" borderId="0" xfId="0" applyNumberFormat="1"/>
    <xf numFmtId="3" fontId="0" fillId="0" borderId="0" xfId="0" applyNumberFormat="1"/>
    <xf numFmtId="0" fontId="1" fillId="0" borderId="0" xfId="4" applyAlignment="1">
      <alignment wrapText="1"/>
    </xf>
    <xf numFmtId="0" fontId="19" fillId="4" borderId="4" xfId="2" applyFont="1" applyFill="1" applyBorder="1"/>
    <xf numFmtId="0" fontId="4" fillId="4" borderId="5" xfId="2" applyFont="1" applyFill="1" applyBorder="1"/>
    <xf numFmtId="0" fontId="13" fillId="0" borderId="6" xfId="2" applyFont="1" applyBorder="1"/>
    <xf numFmtId="0" fontId="20" fillId="0" borderId="0" xfId="2" applyFont="1"/>
    <xf numFmtId="164" fontId="20" fillId="0" borderId="0" xfId="2" applyNumberFormat="1" applyFont="1" applyAlignment="1">
      <alignment horizontal="right"/>
    </xf>
    <xf numFmtId="0" fontId="11" fillId="0" borderId="0" xfId="2" applyFont="1"/>
    <xf numFmtId="0" fontId="7" fillId="0" borderId="0" xfId="2"/>
    <xf numFmtId="0" fontId="20" fillId="0" borderId="0" xfId="2" applyFont="1"/>
  </cellXfs>
  <cellStyles count="5">
    <cellStyle name="Normal" xfId="0" builtinId="0"/>
    <cellStyle name="Normal 2" xfId="1" xr:uid="{B646237F-36BB-0C43-AC6E-83998004AB18}"/>
    <cellStyle name="Normal 3" xfId="2" xr:uid="{DCDA76E0-412F-4048-BAD7-D614E84F9E34}"/>
    <cellStyle name="Normal 4" xfId="3" xr:uid="{E3EC84A3-52C4-9249-966F-D9C94BC6FD19}"/>
    <cellStyle name="Normal 5" xfId="4" xr:uid="{5E94D4D0-B7A8-8C47-BB9C-74C2050282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C158-A2E4-B844-BFCE-0A6D411F469D}">
  <dimension ref="A1:V122"/>
  <sheetViews>
    <sheetView zoomScale="150" zoomScaleNormal="150" workbookViewId="0">
      <selection activeCell="B30" sqref="B30"/>
    </sheetView>
  </sheetViews>
  <sheetFormatPr baseColWidth="10" defaultRowHeight="16" x14ac:dyDescent="0.2"/>
  <cols>
    <col min="1" max="1" width="25.5" style="30" customWidth="1"/>
    <col min="2" max="16384" width="10.83203125" style="30"/>
  </cols>
  <sheetData>
    <row r="1" spans="1:14" x14ac:dyDescent="0.2">
      <c r="A1" s="37"/>
      <c r="B1" s="37"/>
      <c r="C1" s="36" t="s">
        <v>294</v>
      </c>
      <c r="D1" s="31"/>
      <c r="E1" s="36" t="s">
        <v>31</v>
      </c>
    </row>
    <row r="2" spans="1:14" x14ac:dyDescent="0.2">
      <c r="A2" s="31"/>
      <c r="B2" s="31"/>
      <c r="C2" s="31">
        <f>AVERAGE(C6:F6,C14:D14,C54:F54,C62:D62,C70,C78,C86:D86,C102:D102)</f>
        <v>201.27422222222225</v>
      </c>
      <c r="D2" s="31"/>
      <c r="E2" s="31">
        <v>40.213000000000001</v>
      </c>
    </row>
    <row r="3" spans="1:14" x14ac:dyDescent="0.2">
      <c r="A3" s="31"/>
      <c r="B3" s="31"/>
      <c r="C3" s="31"/>
      <c r="D3" s="31"/>
      <c r="E3" s="31"/>
    </row>
    <row r="4" spans="1:14" x14ac:dyDescent="0.2">
      <c r="A4" s="34" t="s">
        <v>460</v>
      </c>
      <c r="B4" s="35" t="s">
        <v>70</v>
      </c>
      <c r="C4" s="34">
        <v>1</v>
      </c>
      <c r="D4" s="34">
        <v>1</v>
      </c>
      <c r="E4" s="34">
        <v>1</v>
      </c>
      <c r="F4" s="34">
        <v>1</v>
      </c>
      <c r="G4" s="34" t="s">
        <v>283</v>
      </c>
      <c r="H4" s="34" t="s">
        <v>283</v>
      </c>
      <c r="I4" s="34" t="s">
        <v>283</v>
      </c>
      <c r="J4" s="34" t="s">
        <v>283</v>
      </c>
      <c r="K4" s="34" t="s">
        <v>283</v>
      </c>
      <c r="L4" s="34" t="s">
        <v>283</v>
      </c>
      <c r="M4" s="34" t="s">
        <v>283</v>
      </c>
      <c r="N4" s="34" t="s">
        <v>283</v>
      </c>
    </row>
    <row r="5" spans="1:14" x14ac:dyDescent="0.2">
      <c r="A5" s="31" t="s">
        <v>63</v>
      </c>
      <c r="B5" s="31">
        <v>1166.76</v>
      </c>
      <c r="C5" s="31">
        <v>1337.75</v>
      </c>
      <c r="D5" s="31">
        <v>1291.231</v>
      </c>
      <c r="E5" s="31">
        <v>1473.154</v>
      </c>
      <c r="F5" s="31">
        <v>1312.423</v>
      </c>
      <c r="G5" s="31">
        <v>1339.577</v>
      </c>
      <c r="H5" s="31">
        <v>1903.923</v>
      </c>
      <c r="I5" s="31">
        <v>1885.942</v>
      </c>
      <c r="J5" s="31">
        <v>1893.365</v>
      </c>
      <c r="K5" s="31">
        <v>2077.462</v>
      </c>
      <c r="L5" s="31">
        <v>1975.135</v>
      </c>
      <c r="M5" s="31">
        <v>1562.154</v>
      </c>
      <c r="N5" s="31">
        <v>1420.5239999999999</v>
      </c>
    </row>
    <row r="6" spans="1:14" x14ac:dyDescent="0.2">
      <c r="A6" s="31" t="s">
        <v>62</v>
      </c>
      <c r="B6" s="31"/>
      <c r="C6" s="31">
        <f t="shared" ref="C6:N6" si="0">C5-$B5</f>
        <v>170.99</v>
      </c>
      <c r="D6" s="31">
        <f t="shared" si="0"/>
        <v>124.471</v>
      </c>
      <c r="E6" s="31">
        <f t="shared" si="0"/>
        <v>306.39400000000001</v>
      </c>
      <c r="F6" s="31">
        <f t="shared" si="0"/>
        <v>145.66300000000001</v>
      </c>
      <c r="G6" s="31">
        <f t="shared" si="0"/>
        <v>172.81700000000001</v>
      </c>
      <c r="H6" s="31">
        <f t="shared" si="0"/>
        <v>737.16300000000001</v>
      </c>
      <c r="I6" s="31">
        <f t="shared" si="0"/>
        <v>719.18200000000002</v>
      </c>
      <c r="J6" s="31">
        <f t="shared" si="0"/>
        <v>726.60500000000002</v>
      </c>
      <c r="K6" s="31">
        <f t="shared" si="0"/>
        <v>910.702</v>
      </c>
      <c r="L6" s="31">
        <f t="shared" si="0"/>
        <v>808.375</v>
      </c>
      <c r="M6" s="31">
        <f t="shared" si="0"/>
        <v>395.39400000000001</v>
      </c>
      <c r="N6" s="31">
        <f t="shared" si="0"/>
        <v>253.7639999999999</v>
      </c>
    </row>
    <row r="7" spans="1:14" x14ac:dyDescent="0.2">
      <c r="A7" s="31" t="s">
        <v>61</v>
      </c>
      <c r="B7" s="31"/>
      <c r="C7" s="31">
        <v>6.2930000000000001</v>
      </c>
      <c r="D7" s="31">
        <v>4.9939999999999998</v>
      </c>
      <c r="E7" s="31">
        <v>4.327</v>
      </c>
      <c r="F7" s="31">
        <v>4.5759999999999996</v>
      </c>
      <c r="G7" s="31">
        <v>3.9049999999999998</v>
      </c>
      <c r="H7" s="31">
        <v>3.028</v>
      </c>
      <c r="I7" s="31">
        <v>3.1539999999999999</v>
      </c>
      <c r="J7" s="31">
        <v>3.0630000000000002</v>
      </c>
      <c r="K7" s="31">
        <v>2.1859999999999999</v>
      </c>
      <c r="L7" s="31">
        <v>2.157</v>
      </c>
      <c r="M7" s="31">
        <v>1.9870000000000001</v>
      </c>
      <c r="N7" s="31">
        <v>2.0720000000000001</v>
      </c>
    </row>
    <row r="8" spans="1:14" x14ac:dyDescent="0.2">
      <c r="A8" s="31" t="s">
        <v>60</v>
      </c>
      <c r="B8" s="31"/>
      <c r="C8" s="31">
        <f t="shared" ref="C8:N8" si="1">(0+C7^2)^(1/2)</f>
        <v>6.2930000000000001</v>
      </c>
      <c r="D8" s="31">
        <f t="shared" si="1"/>
        <v>4.9939999999999998</v>
      </c>
      <c r="E8" s="31">
        <f t="shared" si="1"/>
        <v>4.327</v>
      </c>
      <c r="F8" s="31">
        <f t="shared" si="1"/>
        <v>4.5759999999999996</v>
      </c>
      <c r="G8" s="31">
        <f t="shared" si="1"/>
        <v>3.9049999999999998</v>
      </c>
      <c r="H8" s="31">
        <f t="shared" si="1"/>
        <v>3.028</v>
      </c>
      <c r="I8" s="31">
        <f t="shared" si="1"/>
        <v>3.1539999999999999</v>
      </c>
      <c r="J8" s="31">
        <f t="shared" si="1"/>
        <v>3.0630000000000002</v>
      </c>
      <c r="K8" s="31">
        <f t="shared" si="1"/>
        <v>2.1859999999999999</v>
      </c>
      <c r="L8" s="31">
        <f t="shared" si="1"/>
        <v>2.157</v>
      </c>
      <c r="M8" s="31">
        <f t="shared" si="1"/>
        <v>1.9870000000000001</v>
      </c>
      <c r="N8" s="31">
        <f t="shared" si="1"/>
        <v>2.0720000000000001</v>
      </c>
    </row>
    <row r="9" spans="1:14" x14ac:dyDescent="0.2">
      <c r="A9" s="31" t="s">
        <v>376</v>
      </c>
      <c r="B9" s="31"/>
      <c r="C9" s="31"/>
      <c r="D9" s="31"/>
      <c r="E9" s="31"/>
      <c r="F9" s="31"/>
      <c r="G9" s="31">
        <f t="shared" ref="G9:N9" si="2">G8/$E$2*100</f>
        <v>9.7107900430209124</v>
      </c>
      <c r="H9" s="31">
        <f t="shared" si="2"/>
        <v>7.5299032651132718</v>
      </c>
      <c r="I9" s="31">
        <f t="shared" si="2"/>
        <v>7.8432347748240607</v>
      </c>
      <c r="J9" s="31">
        <f t="shared" si="2"/>
        <v>7.6169397955884914</v>
      </c>
      <c r="K9" s="31">
        <f t="shared" si="2"/>
        <v>5.436053017680849</v>
      </c>
      <c r="L9" s="31">
        <f t="shared" si="2"/>
        <v>5.3639370352870959</v>
      </c>
      <c r="M9" s="31">
        <f t="shared" si="2"/>
        <v>4.9411881729788876</v>
      </c>
      <c r="N9" s="31">
        <f t="shared" si="2"/>
        <v>5.1525626041329913</v>
      </c>
    </row>
    <row r="10" spans="1:14" x14ac:dyDescent="0.2">
      <c r="A10" s="31" t="s">
        <v>59</v>
      </c>
      <c r="B10" s="31"/>
      <c r="C10" s="31"/>
      <c r="D10" s="32"/>
      <c r="E10" s="32"/>
      <c r="F10" s="32"/>
      <c r="G10" s="32">
        <f t="shared" ref="G10:N10" si="3">G6/$C$2</f>
        <v>0.85861467053240792</v>
      </c>
      <c r="H10" s="32">
        <f t="shared" si="3"/>
        <v>3.6624809270713032</v>
      </c>
      <c r="I10" s="32">
        <f t="shared" si="3"/>
        <v>3.573145095579938</v>
      </c>
      <c r="J10" s="32">
        <f t="shared" si="3"/>
        <v>3.6100251287905718</v>
      </c>
      <c r="K10" s="32">
        <f t="shared" si="3"/>
        <v>4.5246827434986425</v>
      </c>
      <c r="L10" s="32">
        <f t="shared" si="3"/>
        <v>4.0162867906029804</v>
      </c>
      <c r="M10" s="32">
        <f t="shared" si="3"/>
        <v>1.9644542437404358</v>
      </c>
      <c r="N10" s="32">
        <f t="shared" si="3"/>
        <v>1.2607873834922829</v>
      </c>
    </row>
    <row r="12" spans="1:14" x14ac:dyDescent="0.2">
      <c r="A12" s="34" t="s">
        <v>459</v>
      </c>
      <c r="B12" s="35"/>
      <c r="C12" s="34">
        <v>1</v>
      </c>
      <c r="D12" s="34">
        <v>1</v>
      </c>
      <c r="E12" s="34" t="s">
        <v>283</v>
      </c>
      <c r="F12" s="34" t="s">
        <v>283</v>
      </c>
      <c r="G12" s="34" t="s">
        <v>283</v>
      </c>
      <c r="H12" s="34" t="s">
        <v>283</v>
      </c>
      <c r="I12" s="34" t="s">
        <v>283</v>
      </c>
      <c r="J12" s="34" t="s">
        <v>283</v>
      </c>
      <c r="K12" s="34" t="s">
        <v>283</v>
      </c>
    </row>
    <row r="13" spans="1:14" x14ac:dyDescent="0.2">
      <c r="A13" s="31" t="s">
        <v>63</v>
      </c>
      <c r="B13" s="31"/>
      <c r="C13" s="31">
        <v>1412</v>
      </c>
      <c r="D13" s="31">
        <v>1546.942</v>
      </c>
      <c r="E13" s="31">
        <v>2730.6729999999998</v>
      </c>
      <c r="F13" s="31">
        <v>1628.308</v>
      </c>
      <c r="G13" s="31">
        <v>2301.154</v>
      </c>
      <c r="H13" s="31">
        <v>2181.2689999999998</v>
      </c>
      <c r="I13" s="31">
        <v>2410.0189999999998</v>
      </c>
      <c r="J13" s="31">
        <v>1617.25</v>
      </c>
      <c r="K13" s="31">
        <v>1309.904</v>
      </c>
    </row>
    <row r="14" spans="1:14" x14ac:dyDescent="0.2">
      <c r="A14" s="31" t="s">
        <v>62</v>
      </c>
      <c r="B14" s="31"/>
      <c r="C14" s="31">
        <f t="shared" ref="C14:K14" si="4">C13-$B$5</f>
        <v>245.24</v>
      </c>
      <c r="D14" s="31">
        <f t="shared" si="4"/>
        <v>380.18200000000002</v>
      </c>
      <c r="E14" s="31">
        <f t="shared" si="4"/>
        <v>1563.9129999999998</v>
      </c>
      <c r="F14" s="31">
        <f t="shared" si="4"/>
        <v>461.548</v>
      </c>
      <c r="G14" s="31">
        <f t="shared" si="4"/>
        <v>1134.394</v>
      </c>
      <c r="H14" s="31">
        <f t="shared" si="4"/>
        <v>1014.5089999999998</v>
      </c>
      <c r="I14" s="31">
        <f t="shared" si="4"/>
        <v>1243.2589999999998</v>
      </c>
      <c r="J14" s="31">
        <f t="shared" si="4"/>
        <v>450.49</v>
      </c>
      <c r="K14" s="31">
        <f t="shared" si="4"/>
        <v>143.14400000000001</v>
      </c>
    </row>
    <row r="15" spans="1:14" x14ac:dyDescent="0.2">
      <c r="A15" s="31" t="s">
        <v>61</v>
      </c>
      <c r="B15" s="31"/>
      <c r="C15" s="31">
        <v>3.71</v>
      </c>
      <c r="D15" s="31">
        <v>3.101</v>
      </c>
      <c r="E15" s="31">
        <v>2.9689999999999999</v>
      </c>
      <c r="F15" s="31">
        <v>2.8650000000000002</v>
      </c>
      <c r="G15" s="31">
        <v>2.113</v>
      </c>
      <c r="H15" s="31">
        <v>2.0289999999999999</v>
      </c>
      <c r="I15" s="31">
        <v>2.0299999999999998</v>
      </c>
      <c r="J15" s="31">
        <v>0.97799999999999998</v>
      </c>
      <c r="K15" s="31">
        <v>2.3370000000000002</v>
      </c>
    </row>
    <row r="16" spans="1:14" x14ac:dyDescent="0.2">
      <c r="A16" s="31" t="s">
        <v>60</v>
      </c>
      <c r="B16" s="31"/>
      <c r="C16" s="31">
        <f t="shared" ref="C16:K16" si="5">(1+C15^2)^(1/2)</f>
        <v>3.8424080990961902</v>
      </c>
      <c r="D16" s="31">
        <f t="shared" si="5"/>
        <v>3.2582512180616154</v>
      </c>
      <c r="E16" s="31">
        <f t="shared" si="5"/>
        <v>3.132883815273078</v>
      </c>
      <c r="F16" s="31">
        <f t="shared" si="5"/>
        <v>3.0345057258143378</v>
      </c>
      <c r="G16" s="31">
        <f t="shared" si="5"/>
        <v>2.3376845381701954</v>
      </c>
      <c r="H16" s="31">
        <f t="shared" si="5"/>
        <v>2.2620435451157874</v>
      </c>
      <c r="I16" s="31">
        <f t="shared" si="5"/>
        <v>2.262940564840358</v>
      </c>
      <c r="J16" s="31">
        <f t="shared" si="5"/>
        <v>1.3987437220591912</v>
      </c>
      <c r="K16" s="31">
        <f t="shared" si="5"/>
        <v>2.5419616440851347</v>
      </c>
    </row>
    <row r="17" spans="1:11" x14ac:dyDescent="0.2">
      <c r="A17" s="31" t="s">
        <v>376</v>
      </c>
      <c r="B17" s="31"/>
      <c r="C17" s="31"/>
      <c r="D17" s="31"/>
      <c r="E17" s="31">
        <f t="shared" ref="E17:K17" si="6">E16/$E$2*100</f>
        <v>7.7907239332382012</v>
      </c>
      <c r="F17" s="31">
        <f t="shared" si="6"/>
        <v>7.5460814309162156</v>
      </c>
      <c r="G17" s="31">
        <f t="shared" si="6"/>
        <v>5.8132557585114153</v>
      </c>
      <c r="H17" s="31">
        <f t="shared" si="6"/>
        <v>5.6251549128783909</v>
      </c>
      <c r="I17" s="31">
        <f t="shared" si="6"/>
        <v>5.6273855838668041</v>
      </c>
      <c r="J17" s="31">
        <f t="shared" si="6"/>
        <v>3.4783371597721908</v>
      </c>
      <c r="K17" s="31">
        <f t="shared" si="6"/>
        <v>6.3212434886358508</v>
      </c>
    </row>
    <row r="18" spans="1:11" x14ac:dyDescent="0.2">
      <c r="A18" s="31" t="s">
        <v>59</v>
      </c>
      <c r="B18" s="31"/>
      <c r="C18" s="31"/>
      <c r="D18" s="32"/>
      <c r="E18" s="32">
        <f t="shared" ref="E18:K18" si="7">E14/$C$2</f>
        <v>7.770061077534903</v>
      </c>
      <c r="F18" s="32">
        <f t="shared" si="7"/>
        <v>2.2931302126231317</v>
      </c>
      <c r="G18" s="32">
        <f t="shared" si="7"/>
        <v>5.6360620226247438</v>
      </c>
      <c r="H18" s="32">
        <f t="shared" si="7"/>
        <v>5.0404318486443023</v>
      </c>
      <c r="I18" s="32">
        <f t="shared" si="7"/>
        <v>6.1769410224193839</v>
      </c>
      <c r="J18" s="32">
        <f t="shared" si="7"/>
        <v>2.2381902412849688</v>
      </c>
      <c r="K18" s="32">
        <f t="shared" si="7"/>
        <v>0.71118893626605595</v>
      </c>
    </row>
    <row r="19" spans="1:11" x14ac:dyDescent="0.2">
      <c r="E19" s="31"/>
    </row>
    <row r="20" spans="1:11" x14ac:dyDescent="0.2">
      <c r="A20" s="34" t="s">
        <v>458</v>
      </c>
      <c r="B20" s="35"/>
      <c r="C20" s="34" t="s">
        <v>283</v>
      </c>
      <c r="D20" s="34" t="s">
        <v>283</v>
      </c>
      <c r="E20" s="34" t="s">
        <v>283</v>
      </c>
      <c r="F20" s="34" t="s">
        <v>283</v>
      </c>
      <c r="G20" s="34" t="s">
        <v>283</v>
      </c>
      <c r="H20" s="34" t="s">
        <v>283</v>
      </c>
    </row>
    <row r="21" spans="1:11" x14ac:dyDescent="0.2">
      <c r="A21" s="31" t="s">
        <v>63</v>
      </c>
      <c r="B21" s="31"/>
      <c r="C21" s="31">
        <v>2186.154</v>
      </c>
      <c r="D21" s="31">
        <v>1979.442</v>
      </c>
      <c r="E21" s="31">
        <v>2421.192</v>
      </c>
      <c r="F21" s="31">
        <v>1807.135</v>
      </c>
      <c r="G21" s="31">
        <v>1741.923</v>
      </c>
      <c r="H21" s="31">
        <v>1911.865</v>
      </c>
    </row>
    <row r="22" spans="1:11" x14ac:dyDescent="0.2">
      <c r="A22" s="31" t="s">
        <v>62</v>
      </c>
      <c r="B22" s="31"/>
      <c r="C22" s="31">
        <f t="shared" ref="C22:H22" si="8">C21-$B$5</f>
        <v>1019.394</v>
      </c>
      <c r="D22" s="31">
        <f t="shared" si="8"/>
        <v>812.68200000000002</v>
      </c>
      <c r="E22" s="31">
        <f t="shared" si="8"/>
        <v>1254.432</v>
      </c>
      <c r="F22" s="31">
        <f t="shared" si="8"/>
        <v>640.375</v>
      </c>
      <c r="G22" s="31">
        <f t="shared" si="8"/>
        <v>575.16300000000001</v>
      </c>
      <c r="H22" s="31">
        <f t="shared" si="8"/>
        <v>745.10500000000002</v>
      </c>
    </row>
    <row r="23" spans="1:11" x14ac:dyDescent="0.2">
      <c r="A23" s="31" t="s">
        <v>61</v>
      </c>
      <c r="B23" s="31"/>
      <c r="C23" s="31">
        <v>3.08</v>
      </c>
      <c r="D23" s="31">
        <v>1.9390000000000001</v>
      </c>
      <c r="E23" s="31">
        <v>2.4660000000000002</v>
      </c>
      <c r="F23" s="31">
        <v>3.157</v>
      </c>
      <c r="G23" s="31">
        <v>1.732</v>
      </c>
      <c r="H23" s="31">
        <v>2.3559999999999999</v>
      </c>
    </row>
    <row r="24" spans="1:11" x14ac:dyDescent="0.2">
      <c r="A24" s="31" t="s">
        <v>60</v>
      </c>
      <c r="B24" s="31"/>
      <c r="C24" s="31">
        <f t="shared" ref="C24:H24" si="9">(4+C23^2)^(1/2)</f>
        <v>3.6723834222477367</v>
      </c>
      <c r="D24" s="31">
        <f t="shared" si="9"/>
        <v>2.7856275774051347</v>
      </c>
      <c r="E24" s="31">
        <f t="shared" si="9"/>
        <v>3.1750836209460687</v>
      </c>
      <c r="F24" s="31">
        <f t="shared" si="9"/>
        <v>3.7371980145558248</v>
      </c>
      <c r="G24" s="31">
        <f t="shared" si="9"/>
        <v>2.6457180499818946</v>
      </c>
      <c r="H24" s="31">
        <f t="shared" si="9"/>
        <v>3.0904265077817334</v>
      </c>
    </row>
    <row r="25" spans="1:11" x14ac:dyDescent="0.2">
      <c r="A25" s="31" t="s">
        <v>376</v>
      </c>
      <c r="B25" s="31"/>
      <c r="C25" s="31">
        <f t="shared" ref="C25:H25" si="10">C24/$E$2*100</f>
        <v>9.1323289042044529</v>
      </c>
      <c r="D25" s="31">
        <f t="shared" si="10"/>
        <v>6.9271817009552494</v>
      </c>
      <c r="E25" s="31">
        <f t="shared" si="10"/>
        <v>7.8956646381669326</v>
      </c>
      <c r="F25" s="31">
        <f t="shared" si="10"/>
        <v>9.2935071110233629</v>
      </c>
      <c r="G25" s="31">
        <f t="shared" si="10"/>
        <v>6.5792605624596394</v>
      </c>
      <c r="H25" s="31">
        <f t="shared" si="10"/>
        <v>7.685142883599168</v>
      </c>
    </row>
    <row r="26" spans="1:11" x14ac:dyDescent="0.2">
      <c r="A26" s="31" t="s">
        <v>59</v>
      </c>
      <c r="B26" s="31"/>
      <c r="C26" s="32">
        <f t="shared" ref="C26:H26" si="11">C22/$C$2</f>
        <v>5.0647022194154125</v>
      </c>
      <c r="D26" s="32">
        <f t="shared" si="11"/>
        <v>4.0376854573196983</v>
      </c>
      <c r="E26" s="32">
        <f t="shared" si="11"/>
        <v>6.2324523535607579</v>
      </c>
      <c r="F26" s="32">
        <f t="shared" si="11"/>
        <v>3.1816046433058709</v>
      </c>
      <c r="G26" s="32">
        <f t="shared" si="11"/>
        <v>2.8576088564633761</v>
      </c>
      <c r="H26" s="32">
        <f t="shared" si="11"/>
        <v>3.701939531915551</v>
      </c>
    </row>
    <row r="28" spans="1:11" x14ac:dyDescent="0.2">
      <c r="A28" s="34" t="s">
        <v>457</v>
      </c>
      <c r="B28" s="35"/>
      <c r="C28" s="34" t="s">
        <v>283</v>
      </c>
      <c r="D28" s="34" t="s">
        <v>283</v>
      </c>
      <c r="E28" s="34" t="s">
        <v>283</v>
      </c>
      <c r="F28" s="31"/>
    </row>
    <row r="29" spans="1:11" x14ac:dyDescent="0.2">
      <c r="A29" s="31" t="s">
        <v>63</v>
      </c>
      <c r="B29" s="31"/>
      <c r="C29" s="31">
        <v>1920.904</v>
      </c>
      <c r="D29" s="31">
        <v>1948.769</v>
      </c>
      <c r="E29" s="31">
        <v>1670.519</v>
      </c>
      <c r="F29" s="31"/>
    </row>
    <row r="30" spans="1:11" x14ac:dyDescent="0.2">
      <c r="A30" s="31" t="s">
        <v>62</v>
      </c>
      <c r="B30" s="31"/>
      <c r="C30" s="31">
        <f>C29-$B$5</f>
        <v>754.14400000000001</v>
      </c>
      <c r="D30" s="31">
        <f>D29-$B$5</f>
        <v>782.00900000000001</v>
      </c>
      <c r="E30" s="31">
        <f>E29-$B$5</f>
        <v>503.75900000000001</v>
      </c>
    </row>
    <row r="31" spans="1:11" x14ac:dyDescent="0.2">
      <c r="A31" s="31" t="s">
        <v>61</v>
      </c>
      <c r="B31" s="31"/>
      <c r="C31" s="31">
        <v>2.1720000000000002</v>
      </c>
      <c r="D31" s="31">
        <v>2.2989999999999999</v>
      </c>
      <c r="E31" s="31">
        <v>3.298</v>
      </c>
    </row>
    <row r="32" spans="1:11" x14ac:dyDescent="0.2">
      <c r="A32" s="31" t="s">
        <v>60</v>
      </c>
      <c r="B32" s="31"/>
      <c r="C32" s="31">
        <f>(9+C31^2)^(1/2)</f>
        <v>3.7037256917865826</v>
      </c>
      <c r="D32" s="31">
        <f>(9+D31^2)^(1/2)</f>
        <v>3.7796032860605888</v>
      </c>
      <c r="E32" s="31">
        <f>(9+E31^2)^(1/2)</f>
        <v>4.4583409470339976</v>
      </c>
    </row>
    <row r="33" spans="1:6" x14ac:dyDescent="0.2">
      <c r="A33" s="31" t="s">
        <v>376</v>
      </c>
      <c r="B33" s="31"/>
      <c r="C33" s="31">
        <f>C32/$E$2*100</f>
        <v>9.2102695441438893</v>
      </c>
      <c r="D33" s="31">
        <f>D32/$E$2*100</f>
        <v>9.3989587597557733</v>
      </c>
      <c r="E33" s="31">
        <f>E32/$E$2*100</f>
        <v>11.086815077298381</v>
      </c>
    </row>
    <row r="34" spans="1:6" x14ac:dyDescent="0.2">
      <c r="A34" s="31" t="s">
        <v>59</v>
      </c>
      <c r="B34" s="31"/>
      <c r="C34" s="32">
        <f>C30/$C$2</f>
        <v>3.7468484124478043</v>
      </c>
      <c r="D34" s="32">
        <f>D30/$C$2</f>
        <v>3.8852913769384827</v>
      </c>
      <c r="E34" s="32">
        <f>E30/$C$2</f>
        <v>2.5028490704776454</v>
      </c>
    </row>
    <row r="35" spans="1:6" x14ac:dyDescent="0.2">
      <c r="E35" s="31"/>
    </row>
    <row r="36" spans="1:6" x14ac:dyDescent="0.2">
      <c r="A36" s="34" t="s">
        <v>456</v>
      </c>
      <c r="B36" s="35"/>
      <c r="C36" s="34" t="s">
        <v>283</v>
      </c>
      <c r="D36" s="34" t="s">
        <v>283</v>
      </c>
      <c r="E36" s="34" t="s">
        <v>283</v>
      </c>
      <c r="F36" s="34" t="s">
        <v>283</v>
      </c>
    </row>
    <row r="37" spans="1:6" x14ac:dyDescent="0.2">
      <c r="A37" s="31" t="s">
        <v>63</v>
      </c>
      <c r="B37" s="31"/>
      <c r="C37" s="31">
        <v>1235.904</v>
      </c>
      <c r="D37" s="31">
        <v>1553.827</v>
      </c>
      <c r="E37" s="31">
        <v>1620.962</v>
      </c>
      <c r="F37" s="31">
        <v>1416.288</v>
      </c>
    </row>
    <row r="38" spans="1:6" x14ac:dyDescent="0.2">
      <c r="A38" s="31" t="s">
        <v>62</v>
      </c>
      <c r="B38" s="31"/>
      <c r="C38" s="31">
        <f>C37-$B$5</f>
        <v>69.144000000000005</v>
      </c>
      <c r="D38" s="31">
        <f>D37-$B$5</f>
        <v>387.06700000000001</v>
      </c>
      <c r="E38" s="31">
        <f>E37-$B$5</f>
        <v>454.202</v>
      </c>
      <c r="F38" s="31">
        <f>F37-$B$5</f>
        <v>249.52800000000002</v>
      </c>
    </row>
    <row r="39" spans="1:6" x14ac:dyDescent="0.2">
      <c r="A39" s="31" t="s">
        <v>61</v>
      </c>
      <c r="B39" s="31"/>
      <c r="C39" s="31">
        <v>5.6870000000000003</v>
      </c>
      <c r="D39" s="31">
        <v>3.0289999999999999</v>
      </c>
      <c r="E39" s="31">
        <v>2.1989999999999998</v>
      </c>
      <c r="F39" s="31">
        <v>3.0470000000000002</v>
      </c>
    </row>
    <row r="40" spans="1:6" x14ac:dyDescent="0.2">
      <c r="A40" s="31" t="s">
        <v>60</v>
      </c>
      <c r="B40" s="31"/>
      <c r="C40" s="31">
        <f>(16+C39^2)^(1/2)</f>
        <v>6.9528389165865194</v>
      </c>
      <c r="D40" s="31">
        <f>(16+D39^2)^(1/2)</f>
        <v>5.017453637055354</v>
      </c>
      <c r="E40" s="31">
        <f>(16+E39^2)^(1/2)</f>
        <v>4.5646030495542549</v>
      </c>
      <c r="F40" s="31">
        <f>(16+F39^2)^(1/2)</f>
        <v>5.0283405811460309</v>
      </c>
    </row>
    <row r="41" spans="1:6" x14ac:dyDescent="0.2">
      <c r="A41" s="31" t="s">
        <v>376</v>
      </c>
      <c r="B41" s="31"/>
      <c r="C41" s="31">
        <f>C40/$E$2*100</f>
        <v>17.290027892936411</v>
      </c>
      <c r="D41" s="31">
        <f>D40/$E$2*100</f>
        <v>12.477193039701971</v>
      </c>
      <c r="E41" s="31">
        <f>E40/$E$2*100</f>
        <v>11.351063212280245</v>
      </c>
      <c r="F41" s="31">
        <f>F40/$E$2*100</f>
        <v>12.504266235162834</v>
      </c>
    </row>
    <row r="42" spans="1:6" x14ac:dyDescent="0.2">
      <c r="A42" s="31" t="s">
        <v>59</v>
      </c>
      <c r="B42" s="31"/>
      <c r="C42" s="32">
        <f>C38/$C$2</f>
        <v>0.34353132376613882</v>
      </c>
      <c r="D42" s="32">
        <f>D38/$C$2</f>
        <v>1.9230828256419652</v>
      </c>
      <c r="E42" s="32">
        <f>E38/$C$2</f>
        <v>2.256632742063343</v>
      </c>
      <c r="F42" s="32">
        <f>F38/$C$2</f>
        <v>1.2397414693497206</v>
      </c>
    </row>
    <row r="43" spans="1:6" x14ac:dyDescent="0.2">
      <c r="E43" s="31"/>
    </row>
    <row r="44" spans="1:6" x14ac:dyDescent="0.2">
      <c r="A44" s="34" t="s">
        <v>455</v>
      </c>
      <c r="B44" s="35"/>
      <c r="C44" s="34" t="s">
        <v>283</v>
      </c>
      <c r="D44" s="31"/>
      <c r="E44" s="31"/>
    </row>
    <row r="45" spans="1:6" x14ac:dyDescent="0.2">
      <c r="A45" s="31" t="s">
        <v>63</v>
      </c>
      <c r="B45" s="31"/>
      <c r="C45" s="31">
        <v>1394.038</v>
      </c>
      <c r="D45" s="31"/>
      <c r="E45" s="31"/>
    </row>
    <row r="46" spans="1:6" x14ac:dyDescent="0.2">
      <c r="A46" s="31" t="s">
        <v>62</v>
      </c>
      <c r="B46" s="31"/>
      <c r="C46" s="31">
        <f>C45-$B$5</f>
        <v>227.27800000000002</v>
      </c>
      <c r="D46" s="31"/>
      <c r="E46" s="31"/>
    </row>
    <row r="47" spans="1:6" x14ac:dyDescent="0.2">
      <c r="A47" s="31" t="s">
        <v>61</v>
      </c>
      <c r="B47" s="31"/>
      <c r="C47" s="31">
        <v>2.3199999999999998</v>
      </c>
      <c r="D47" s="31"/>
      <c r="E47" s="31"/>
    </row>
    <row r="48" spans="1:6" x14ac:dyDescent="0.2">
      <c r="A48" s="31" t="s">
        <v>60</v>
      </c>
      <c r="B48" s="31"/>
      <c r="C48" s="31">
        <f>(25+C47^2)^(1/2)</f>
        <v>5.5120232220120409</v>
      </c>
      <c r="D48" s="31"/>
      <c r="E48" s="31"/>
    </row>
    <row r="49" spans="1:22" x14ac:dyDescent="0.2">
      <c r="A49" s="31" t="s">
        <v>376</v>
      </c>
      <c r="B49" s="31"/>
      <c r="C49" s="31">
        <f>C48/$E$2*100</f>
        <v>13.70706791836481</v>
      </c>
      <c r="D49" s="31"/>
      <c r="E49" s="31"/>
    </row>
    <row r="50" spans="1:22" x14ac:dyDescent="0.2">
      <c r="A50" s="31" t="s">
        <v>59</v>
      </c>
      <c r="B50" s="31"/>
      <c r="C50" s="32">
        <f>C46/$C$2</f>
        <v>1.1291957682940024</v>
      </c>
      <c r="D50" s="32"/>
      <c r="E50" s="31"/>
    </row>
    <row r="51" spans="1:22" x14ac:dyDescent="0.2">
      <c r="E51" s="31"/>
    </row>
    <row r="52" spans="1:22" x14ac:dyDescent="0.2">
      <c r="A52" s="34" t="s">
        <v>454</v>
      </c>
      <c r="B52" s="35"/>
      <c r="C52" s="34">
        <v>1</v>
      </c>
      <c r="D52" s="34">
        <v>1</v>
      </c>
      <c r="E52" s="34">
        <v>1</v>
      </c>
      <c r="F52" s="34">
        <v>1</v>
      </c>
      <c r="G52" s="34" t="s">
        <v>283</v>
      </c>
      <c r="H52" s="34" t="s">
        <v>283</v>
      </c>
      <c r="I52" s="34" t="s">
        <v>283</v>
      </c>
      <c r="J52" s="34" t="s">
        <v>283</v>
      </c>
      <c r="K52" s="34" t="s">
        <v>283</v>
      </c>
      <c r="L52" s="34" t="s">
        <v>283</v>
      </c>
      <c r="M52" s="34" t="s">
        <v>283</v>
      </c>
      <c r="N52" s="34" t="s">
        <v>283</v>
      </c>
      <c r="O52" s="34" t="s">
        <v>283</v>
      </c>
      <c r="P52" s="34" t="s">
        <v>283</v>
      </c>
      <c r="Q52" s="34" t="s">
        <v>283</v>
      </c>
      <c r="R52" s="34" t="s">
        <v>283</v>
      </c>
      <c r="S52" s="34" t="s">
        <v>283</v>
      </c>
      <c r="T52" s="34" t="s">
        <v>283</v>
      </c>
      <c r="U52" s="34" t="s">
        <v>283</v>
      </c>
      <c r="V52" s="31"/>
    </row>
    <row r="53" spans="1:22" x14ac:dyDescent="0.2">
      <c r="A53" s="31" t="s">
        <v>63</v>
      </c>
      <c r="B53" s="31"/>
      <c r="C53" s="31">
        <v>1278.115</v>
      </c>
      <c r="D53" s="31">
        <v>1303.154</v>
      </c>
      <c r="E53" s="31">
        <v>1359.365</v>
      </c>
      <c r="F53" s="31">
        <v>1261.019</v>
      </c>
      <c r="G53" s="31">
        <v>1286.538</v>
      </c>
      <c r="H53" s="31">
        <v>1593.173</v>
      </c>
      <c r="I53" s="31">
        <v>1968.788</v>
      </c>
      <c r="J53" s="31">
        <v>1757.154</v>
      </c>
      <c r="K53" s="31">
        <v>1573.25</v>
      </c>
      <c r="L53" s="31">
        <v>1738.212</v>
      </c>
      <c r="M53" s="31">
        <v>1618.962</v>
      </c>
      <c r="N53" s="31">
        <v>1686.308</v>
      </c>
      <c r="O53" s="31">
        <v>1301.154</v>
      </c>
      <c r="P53" s="31">
        <v>1778.558</v>
      </c>
      <c r="Q53" s="31">
        <v>1960.058</v>
      </c>
      <c r="R53" s="31">
        <v>1624.827</v>
      </c>
      <c r="S53" s="31">
        <v>1560.808</v>
      </c>
      <c r="T53" s="31">
        <v>1686.192</v>
      </c>
      <c r="U53" s="31">
        <v>1169.596</v>
      </c>
      <c r="V53" s="31"/>
    </row>
    <row r="54" spans="1:22" x14ac:dyDescent="0.2">
      <c r="A54" s="31" t="s">
        <v>62</v>
      </c>
      <c r="B54" s="31"/>
      <c r="C54" s="31">
        <f t="shared" ref="C54:U54" si="12">C53-$B$5</f>
        <v>111.35500000000002</v>
      </c>
      <c r="D54" s="31">
        <f t="shared" si="12"/>
        <v>136.39400000000001</v>
      </c>
      <c r="E54" s="31">
        <f t="shared" si="12"/>
        <v>192.60500000000002</v>
      </c>
      <c r="F54" s="31">
        <f t="shared" si="12"/>
        <v>94.259000000000015</v>
      </c>
      <c r="G54" s="31">
        <f t="shared" si="12"/>
        <v>119.77800000000002</v>
      </c>
      <c r="H54" s="31">
        <f t="shared" si="12"/>
        <v>426.41300000000001</v>
      </c>
      <c r="I54" s="31">
        <f t="shared" si="12"/>
        <v>802.02800000000002</v>
      </c>
      <c r="J54" s="31">
        <f t="shared" si="12"/>
        <v>590.39400000000001</v>
      </c>
      <c r="K54" s="31">
        <f t="shared" si="12"/>
        <v>406.49</v>
      </c>
      <c r="L54" s="31">
        <f t="shared" si="12"/>
        <v>571.452</v>
      </c>
      <c r="M54" s="31">
        <f t="shared" si="12"/>
        <v>452.202</v>
      </c>
      <c r="N54" s="31">
        <f t="shared" si="12"/>
        <v>519.548</v>
      </c>
      <c r="O54" s="31">
        <f t="shared" si="12"/>
        <v>134.39400000000001</v>
      </c>
      <c r="P54" s="31">
        <f t="shared" si="12"/>
        <v>611.798</v>
      </c>
      <c r="Q54" s="31">
        <f t="shared" si="12"/>
        <v>793.298</v>
      </c>
      <c r="R54" s="31">
        <f t="shared" si="12"/>
        <v>458.06700000000001</v>
      </c>
      <c r="S54" s="31">
        <f t="shared" si="12"/>
        <v>394.048</v>
      </c>
      <c r="T54" s="31">
        <f t="shared" si="12"/>
        <v>519.43200000000002</v>
      </c>
      <c r="U54" s="31">
        <f t="shared" si="12"/>
        <v>2.8360000000000127</v>
      </c>
      <c r="V54" s="31"/>
    </row>
    <row r="55" spans="1:22" x14ac:dyDescent="0.2">
      <c r="A55" s="31" t="s">
        <v>61</v>
      </c>
      <c r="B55" s="31"/>
      <c r="C55" s="31">
        <v>5.1870000000000003</v>
      </c>
      <c r="D55" s="31">
        <v>4.8019999999999996</v>
      </c>
      <c r="E55" s="31">
        <v>4.2560000000000002</v>
      </c>
      <c r="F55" s="31">
        <v>4.6029999999999998</v>
      </c>
      <c r="G55" s="31">
        <v>6.1559999999999997</v>
      </c>
      <c r="H55" s="31">
        <v>4.0510000000000002</v>
      </c>
      <c r="I55" s="31">
        <v>3.5369999999999999</v>
      </c>
      <c r="J55" s="31">
        <v>2.7949999999999999</v>
      </c>
      <c r="K55" s="31">
        <v>2.4500000000000002</v>
      </c>
      <c r="L55" s="31">
        <v>1.96</v>
      </c>
      <c r="M55" s="31">
        <v>1.113</v>
      </c>
      <c r="N55" s="31">
        <v>1.3280000000000001</v>
      </c>
      <c r="O55" s="31">
        <v>2.2669999999999999</v>
      </c>
      <c r="P55" s="31">
        <v>1.8140000000000001</v>
      </c>
      <c r="Q55" s="31">
        <v>1.9990000000000001</v>
      </c>
      <c r="R55" s="31">
        <v>1.8740000000000001</v>
      </c>
      <c r="S55" s="31">
        <v>1.143</v>
      </c>
      <c r="T55" s="31">
        <v>0.66600000000000004</v>
      </c>
      <c r="U55" s="31">
        <v>2.0990000000000002</v>
      </c>
      <c r="V55" s="31"/>
    </row>
    <row r="56" spans="1:22" x14ac:dyDescent="0.2">
      <c r="A56" s="31" t="s">
        <v>60</v>
      </c>
      <c r="B56" s="31"/>
      <c r="C56" s="31">
        <f t="shared" ref="C56:U56" si="13">(1+C55^2)^(1/2)</f>
        <v>5.2825154046154941</v>
      </c>
      <c r="D56" s="31">
        <f t="shared" si="13"/>
        <v>4.9050182466531149</v>
      </c>
      <c r="E56" s="31">
        <f t="shared" si="13"/>
        <v>4.3719030181375258</v>
      </c>
      <c r="F56" s="31">
        <f t="shared" si="13"/>
        <v>4.7103724905786377</v>
      </c>
      <c r="G56" s="31">
        <f t="shared" si="13"/>
        <v>6.2366927132896324</v>
      </c>
      <c r="H56" s="31">
        <f t="shared" si="13"/>
        <v>4.1726012270524961</v>
      </c>
      <c r="I56" s="31">
        <f t="shared" si="13"/>
        <v>3.6756453855071491</v>
      </c>
      <c r="J56" s="31">
        <f t="shared" si="13"/>
        <v>2.9685055162488747</v>
      </c>
      <c r="K56" s="31">
        <f t="shared" si="13"/>
        <v>2.6462237244798485</v>
      </c>
      <c r="L56" s="31">
        <f t="shared" si="13"/>
        <v>2.2003636063160106</v>
      </c>
      <c r="M56" s="31">
        <f t="shared" si="13"/>
        <v>1.4962516499573191</v>
      </c>
      <c r="N56" s="31">
        <f t="shared" si="13"/>
        <v>1.6624030798816514</v>
      </c>
      <c r="O56" s="31">
        <f t="shared" si="13"/>
        <v>2.4777588663951944</v>
      </c>
      <c r="P56" s="31">
        <f t="shared" si="13"/>
        <v>2.0713753884798383</v>
      </c>
      <c r="Q56" s="31">
        <f t="shared" si="13"/>
        <v>2.2351735950480447</v>
      </c>
      <c r="R56" s="31">
        <f t="shared" si="13"/>
        <v>2.1241176991871238</v>
      </c>
      <c r="S56" s="31">
        <f t="shared" si="13"/>
        <v>1.5186997728320104</v>
      </c>
      <c r="T56" s="31">
        <f t="shared" si="13"/>
        <v>1.2014807530709761</v>
      </c>
      <c r="U56" s="31">
        <f t="shared" si="13"/>
        <v>2.3250378491542887</v>
      </c>
      <c r="V56" s="31"/>
    </row>
    <row r="57" spans="1:22" x14ac:dyDescent="0.2">
      <c r="A57" s="31" t="s">
        <v>376</v>
      </c>
      <c r="B57" s="31"/>
      <c r="C57" s="31"/>
      <c r="D57" s="31"/>
      <c r="E57" s="31"/>
      <c r="F57" s="31"/>
      <c r="G57" s="31">
        <f t="shared" ref="G57:U57" si="14">G56/$E$2*100</f>
        <v>15.509145582994636</v>
      </c>
      <c r="H57" s="31">
        <f t="shared" si="14"/>
        <v>10.376249538836934</v>
      </c>
      <c r="I57" s="31">
        <f t="shared" si="14"/>
        <v>9.1404406174797934</v>
      </c>
      <c r="J57" s="31">
        <f t="shared" si="14"/>
        <v>7.3819548808814934</v>
      </c>
      <c r="K57" s="31">
        <f t="shared" si="14"/>
        <v>6.5805180525696878</v>
      </c>
      <c r="L57" s="31">
        <f t="shared" si="14"/>
        <v>5.4717718307910639</v>
      </c>
      <c r="M57" s="31">
        <f t="shared" si="14"/>
        <v>3.7208157808602169</v>
      </c>
      <c r="N57" s="31">
        <f t="shared" si="14"/>
        <v>4.1339941806919436</v>
      </c>
      <c r="O57" s="31">
        <f t="shared" si="14"/>
        <v>6.1615867167214438</v>
      </c>
      <c r="P57" s="31">
        <f t="shared" si="14"/>
        <v>5.1510093464298565</v>
      </c>
      <c r="Q57" s="31">
        <f t="shared" si="14"/>
        <v>5.5583358492229991</v>
      </c>
      <c r="R57" s="31">
        <f t="shared" si="14"/>
        <v>5.2821667102358036</v>
      </c>
      <c r="S57" s="31">
        <f t="shared" si="14"/>
        <v>3.7766388303086327</v>
      </c>
      <c r="T57" s="31">
        <f t="shared" si="14"/>
        <v>2.9877918908586181</v>
      </c>
      <c r="U57" s="31">
        <f t="shared" si="14"/>
        <v>5.7818065032558836</v>
      </c>
    </row>
    <row r="58" spans="1:22" x14ac:dyDescent="0.2">
      <c r="A58" s="31" t="s">
        <v>59</v>
      </c>
      <c r="B58" s="31"/>
      <c r="C58" s="31"/>
      <c r="D58" s="32"/>
      <c r="E58" s="32"/>
      <c r="F58" s="32"/>
      <c r="G58" s="32">
        <f t="shared" ref="G58:U58" si="15">G54/$C$2</f>
        <v>0.59509856094614977</v>
      </c>
      <c r="H58" s="32">
        <f t="shared" si="15"/>
        <v>2.1185673718773943</v>
      </c>
      <c r="I58" s="32">
        <f t="shared" si="15"/>
        <v>3.9847526978119401</v>
      </c>
      <c r="J58" s="32">
        <f t="shared" si="15"/>
        <v>2.9332817361388659</v>
      </c>
      <c r="K58" s="32">
        <f t="shared" si="15"/>
        <v>2.0195830122309637</v>
      </c>
      <c r="L58" s="32">
        <f t="shared" si="15"/>
        <v>2.8391713240311169</v>
      </c>
      <c r="M58" s="32">
        <f t="shared" si="15"/>
        <v>2.2466960498336155</v>
      </c>
      <c r="N58" s="32">
        <f t="shared" si="15"/>
        <v>2.5812942872852291</v>
      </c>
      <c r="O58" s="32">
        <f t="shared" si="15"/>
        <v>0.66771590776099821</v>
      </c>
      <c r="P58" s="32">
        <f t="shared" si="15"/>
        <v>3.0396242163814096</v>
      </c>
      <c r="Q58" s="32">
        <f t="shared" si="15"/>
        <v>3.9413790362291792</v>
      </c>
      <c r="R58" s="32">
        <f t="shared" si="15"/>
        <v>2.2758353997972911</v>
      </c>
      <c r="S58" s="32">
        <f t="shared" si="15"/>
        <v>1.9577668498698291</v>
      </c>
      <c r="T58" s="32">
        <f t="shared" si="15"/>
        <v>2.5807179591359048</v>
      </c>
      <c r="U58" s="32">
        <f t="shared" si="15"/>
        <v>1.4090229581753645E-2</v>
      </c>
    </row>
    <row r="59" spans="1:22" x14ac:dyDescent="0.2">
      <c r="E59" s="31"/>
    </row>
    <row r="60" spans="1:22" x14ac:dyDescent="0.2">
      <c r="A60" s="34" t="s">
        <v>453</v>
      </c>
      <c r="B60" s="35"/>
      <c r="C60" s="34">
        <v>1</v>
      </c>
      <c r="D60" s="34">
        <v>1</v>
      </c>
      <c r="E60" s="34" t="s">
        <v>283</v>
      </c>
      <c r="F60" s="34" t="s">
        <v>283</v>
      </c>
      <c r="G60" s="34" t="s">
        <v>283</v>
      </c>
      <c r="H60" s="34" t="s">
        <v>283</v>
      </c>
      <c r="I60" s="34" t="s">
        <v>283</v>
      </c>
      <c r="J60" s="34" t="s">
        <v>283</v>
      </c>
      <c r="K60" s="34" t="s">
        <v>283</v>
      </c>
      <c r="L60" s="34" t="s">
        <v>283</v>
      </c>
      <c r="M60" s="34" t="s">
        <v>283</v>
      </c>
      <c r="N60" s="34" t="s">
        <v>283</v>
      </c>
      <c r="O60" s="34" t="s">
        <v>283</v>
      </c>
      <c r="P60" s="34" t="s">
        <v>283</v>
      </c>
    </row>
    <row r="61" spans="1:22" x14ac:dyDescent="0.2">
      <c r="A61" s="31" t="s">
        <v>63</v>
      </c>
      <c r="B61" s="31"/>
      <c r="C61" s="31">
        <v>1309.385</v>
      </c>
      <c r="D61" s="31">
        <v>1518.846</v>
      </c>
      <c r="E61" s="31">
        <v>1299.038</v>
      </c>
      <c r="F61" s="31">
        <v>1328.462</v>
      </c>
      <c r="G61" s="31">
        <v>1585.827</v>
      </c>
      <c r="H61" s="31">
        <v>1549.038</v>
      </c>
      <c r="I61" s="31">
        <v>1406.788</v>
      </c>
      <c r="J61" s="31">
        <v>2747.346</v>
      </c>
      <c r="K61" s="31">
        <v>1728.25</v>
      </c>
      <c r="L61" s="31">
        <v>2132.096</v>
      </c>
      <c r="M61" s="31">
        <v>1849</v>
      </c>
      <c r="N61" s="31">
        <v>2382.058</v>
      </c>
      <c r="O61" s="31">
        <v>2499.0770000000002</v>
      </c>
      <c r="P61" s="31">
        <v>1408.038</v>
      </c>
    </row>
    <row r="62" spans="1:22" x14ac:dyDescent="0.2">
      <c r="A62" s="31" t="s">
        <v>62</v>
      </c>
      <c r="B62" s="31"/>
      <c r="C62" s="31">
        <f t="shared" ref="C62:P62" si="16">C61-$B$5</f>
        <v>142.625</v>
      </c>
      <c r="D62" s="31">
        <f t="shared" si="16"/>
        <v>352.08600000000001</v>
      </c>
      <c r="E62" s="31">
        <f t="shared" si="16"/>
        <v>132.27800000000002</v>
      </c>
      <c r="F62" s="31">
        <f t="shared" si="16"/>
        <v>161.702</v>
      </c>
      <c r="G62" s="31">
        <f t="shared" si="16"/>
        <v>419.06700000000001</v>
      </c>
      <c r="H62" s="31">
        <f t="shared" si="16"/>
        <v>382.27800000000002</v>
      </c>
      <c r="I62" s="31">
        <f t="shared" si="16"/>
        <v>240.02800000000002</v>
      </c>
      <c r="J62" s="31">
        <f t="shared" si="16"/>
        <v>1580.586</v>
      </c>
      <c r="K62" s="31">
        <f t="shared" si="16"/>
        <v>561.49</v>
      </c>
      <c r="L62" s="31">
        <f t="shared" si="16"/>
        <v>965.33600000000001</v>
      </c>
      <c r="M62" s="31">
        <f t="shared" si="16"/>
        <v>682.24</v>
      </c>
      <c r="N62" s="31">
        <f t="shared" si="16"/>
        <v>1215.298</v>
      </c>
      <c r="O62" s="31">
        <f t="shared" si="16"/>
        <v>1332.3170000000002</v>
      </c>
      <c r="P62" s="31">
        <f t="shared" si="16"/>
        <v>241.27800000000002</v>
      </c>
    </row>
    <row r="63" spans="1:22" x14ac:dyDescent="0.2">
      <c r="A63" s="31" t="s">
        <v>61</v>
      </c>
      <c r="B63" s="31"/>
      <c r="C63" s="31">
        <v>4.7910000000000004</v>
      </c>
      <c r="D63" s="31">
        <v>2.0720000000000001</v>
      </c>
      <c r="E63" s="31">
        <v>4.0599999999999996</v>
      </c>
      <c r="F63" s="31">
        <v>4.0350000000000001</v>
      </c>
      <c r="G63" s="31">
        <v>3.5619999999999998</v>
      </c>
      <c r="H63" s="31">
        <v>3.1070000000000002</v>
      </c>
      <c r="I63" s="31">
        <v>2.7879999999999998</v>
      </c>
      <c r="J63" s="31">
        <v>1.2589999999999999</v>
      </c>
      <c r="K63" s="31">
        <v>0.57099999999999995</v>
      </c>
      <c r="L63" s="31">
        <v>0.42399999999999999</v>
      </c>
      <c r="M63" s="31">
        <v>0.83399999999999996</v>
      </c>
      <c r="N63" s="31">
        <v>1.643</v>
      </c>
      <c r="O63" s="31">
        <v>1.9410000000000001</v>
      </c>
      <c r="P63" s="31">
        <v>1.6519999999999999</v>
      </c>
    </row>
    <row r="64" spans="1:22" x14ac:dyDescent="0.2">
      <c r="A64" s="31" t="s">
        <v>60</v>
      </c>
      <c r="B64" s="31"/>
      <c r="C64" s="31">
        <f t="shared" ref="C64:P64" si="17">(4+C63^2)^(1/2)</f>
        <v>5.1916934616751016</v>
      </c>
      <c r="D64" s="31">
        <f t="shared" si="17"/>
        <v>2.879788881150839</v>
      </c>
      <c r="E64" s="31">
        <f t="shared" si="17"/>
        <v>4.525881129680716</v>
      </c>
      <c r="F64" s="31">
        <f t="shared" si="17"/>
        <v>4.5034681080251922</v>
      </c>
      <c r="G64" s="31">
        <f t="shared" si="17"/>
        <v>4.0850757642912816</v>
      </c>
      <c r="H64" s="31">
        <f t="shared" si="17"/>
        <v>3.69505737438541</v>
      </c>
      <c r="I64" s="31">
        <f t="shared" si="17"/>
        <v>3.4311723943865018</v>
      </c>
      <c r="J64" s="31">
        <f t="shared" si="17"/>
        <v>2.3632775968980031</v>
      </c>
      <c r="K64" s="31">
        <f t="shared" si="17"/>
        <v>2.0799137001327725</v>
      </c>
      <c r="L64" s="31">
        <f t="shared" si="17"/>
        <v>2.0444500483014987</v>
      </c>
      <c r="M64" s="31">
        <f t="shared" si="17"/>
        <v>2.1669231643046323</v>
      </c>
      <c r="N64" s="31">
        <f t="shared" si="17"/>
        <v>2.5883293839849673</v>
      </c>
      <c r="O64" s="31">
        <f t="shared" si="17"/>
        <v>2.7870200932178442</v>
      </c>
      <c r="P64" s="31">
        <f t="shared" si="17"/>
        <v>2.594051657157197</v>
      </c>
    </row>
    <row r="65" spans="1:16" x14ac:dyDescent="0.2">
      <c r="A65" s="31" t="s">
        <v>376</v>
      </c>
      <c r="B65" s="31"/>
      <c r="C65" s="31"/>
      <c r="D65" s="31"/>
      <c r="E65" s="31">
        <f t="shared" ref="E65:P65" si="18">E64/$E$2*100</f>
        <v>11.254771167733608</v>
      </c>
      <c r="F65" s="31">
        <f t="shared" si="18"/>
        <v>11.199035406523244</v>
      </c>
      <c r="G65" s="31">
        <f t="shared" si="18"/>
        <v>10.158594892923386</v>
      </c>
      <c r="H65" s="31">
        <f t="shared" si="18"/>
        <v>9.1887135363822896</v>
      </c>
      <c r="I65" s="31">
        <f t="shared" si="18"/>
        <v>8.5324954477072144</v>
      </c>
      <c r="J65" s="31">
        <f t="shared" si="18"/>
        <v>5.8768995023947559</v>
      </c>
      <c r="K65" s="31">
        <f t="shared" si="18"/>
        <v>5.1722420613552149</v>
      </c>
      <c r="L65" s="31">
        <f t="shared" si="18"/>
        <v>5.0840525409730652</v>
      </c>
      <c r="M65" s="31">
        <f t="shared" si="18"/>
        <v>5.3886135436416884</v>
      </c>
      <c r="N65" s="31">
        <f t="shared" si="18"/>
        <v>6.4365488374032456</v>
      </c>
      <c r="O65" s="31">
        <f t="shared" si="18"/>
        <v>6.9306445508115395</v>
      </c>
      <c r="P65" s="31">
        <f t="shared" si="18"/>
        <v>6.450778746070168</v>
      </c>
    </row>
    <row r="66" spans="1:16" x14ac:dyDescent="0.2">
      <c r="A66" s="31" t="s">
        <v>59</v>
      </c>
      <c r="B66" s="31"/>
      <c r="C66" s="31"/>
      <c r="D66" s="32"/>
      <c r="E66" s="32">
        <f t="shared" ref="E66:P66" si="19">E62/$C$2</f>
        <v>0.65720288738194654</v>
      </c>
      <c r="F66" s="32">
        <f t="shared" si="19"/>
        <v>0.80339150346569732</v>
      </c>
      <c r="G66" s="32">
        <f t="shared" si="19"/>
        <v>2.0820699013176052</v>
      </c>
      <c r="H66" s="32">
        <f t="shared" si="19"/>
        <v>1.8992894160978828</v>
      </c>
      <c r="I66" s="32">
        <f t="shared" si="19"/>
        <v>1.1925421812585151</v>
      </c>
      <c r="J66" s="32">
        <f t="shared" si="19"/>
        <v>7.852898312308028</v>
      </c>
      <c r="K66" s="32">
        <f t="shared" si="19"/>
        <v>2.7896766600348442</v>
      </c>
      <c r="L66" s="32">
        <f t="shared" si="19"/>
        <v>4.7961233651381088</v>
      </c>
      <c r="M66" s="32">
        <f t="shared" si="19"/>
        <v>3.3896044534046417</v>
      </c>
      <c r="N66" s="32">
        <f t="shared" si="19"/>
        <v>6.0380210967016801</v>
      </c>
      <c r="O66" s="32">
        <f t="shared" si="19"/>
        <v>6.6194119907169213</v>
      </c>
      <c r="P66" s="32">
        <f t="shared" si="19"/>
        <v>1.1987526139020948</v>
      </c>
    </row>
    <row r="67" spans="1:16" x14ac:dyDescent="0.2">
      <c r="E67" s="31"/>
    </row>
    <row r="68" spans="1:16" x14ac:dyDescent="0.2">
      <c r="A68" s="34" t="s">
        <v>452</v>
      </c>
      <c r="B68" s="35"/>
      <c r="C68" s="34">
        <v>1</v>
      </c>
      <c r="D68" s="34" t="s">
        <v>283</v>
      </c>
      <c r="E68" s="34" t="s">
        <v>283</v>
      </c>
      <c r="F68" s="34" t="s">
        <v>283</v>
      </c>
      <c r="G68" s="34" t="s">
        <v>283</v>
      </c>
      <c r="H68" s="34" t="s">
        <v>283</v>
      </c>
      <c r="I68" s="34" t="s">
        <v>283</v>
      </c>
      <c r="J68" s="34" t="s">
        <v>283</v>
      </c>
    </row>
    <row r="69" spans="1:16" x14ac:dyDescent="0.2">
      <c r="A69" s="31" t="s">
        <v>63</v>
      </c>
      <c r="B69" s="31"/>
      <c r="C69" s="31">
        <v>1634.712</v>
      </c>
      <c r="D69" s="31">
        <v>1238.212</v>
      </c>
      <c r="E69" s="31">
        <v>2105.558</v>
      </c>
      <c r="F69" s="31">
        <v>1904.327</v>
      </c>
      <c r="G69" s="31">
        <v>2295.4229999999998</v>
      </c>
      <c r="H69" s="31">
        <v>1882.846</v>
      </c>
      <c r="I69" s="31">
        <v>1936.212</v>
      </c>
      <c r="J69" s="31">
        <v>1519.904</v>
      </c>
    </row>
    <row r="70" spans="1:16" x14ac:dyDescent="0.2">
      <c r="A70" s="31" t="s">
        <v>62</v>
      </c>
      <c r="B70" s="31"/>
      <c r="C70" s="31">
        <f t="shared" ref="C70:J70" si="20">C69-$B$5</f>
        <v>467.952</v>
      </c>
      <c r="D70" s="31">
        <f t="shared" si="20"/>
        <v>71.451999999999998</v>
      </c>
      <c r="E70" s="31">
        <f t="shared" si="20"/>
        <v>938.798</v>
      </c>
      <c r="F70" s="31">
        <f t="shared" si="20"/>
        <v>737.56700000000001</v>
      </c>
      <c r="G70" s="31">
        <f t="shared" si="20"/>
        <v>1128.6629999999998</v>
      </c>
      <c r="H70" s="31">
        <f t="shared" si="20"/>
        <v>716.08600000000001</v>
      </c>
      <c r="I70" s="31">
        <f t="shared" si="20"/>
        <v>769.452</v>
      </c>
      <c r="J70" s="31">
        <f t="shared" si="20"/>
        <v>353.14400000000001</v>
      </c>
    </row>
    <row r="71" spans="1:16" x14ac:dyDescent="0.2">
      <c r="A71" s="31" t="s">
        <v>61</v>
      </c>
      <c r="B71" s="31"/>
      <c r="C71" s="31">
        <v>1.157</v>
      </c>
      <c r="D71" s="31">
        <v>8.4429999999999996</v>
      </c>
      <c r="E71" s="31">
        <v>1.615</v>
      </c>
      <c r="F71" s="31">
        <v>0.78100000000000003</v>
      </c>
      <c r="G71" s="31">
        <v>1.6830000000000001</v>
      </c>
      <c r="H71" s="31">
        <v>2.1480000000000001</v>
      </c>
      <c r="I71" s="31">
        <v>0.36399999999999999</v>
      </c>
      <c r="J71" s="31">
        <v>0.80400000000000005</v>
      </c>
    </row>
    <row r="72" spans="1:16" x14ac:dyDescent="0.2">
      <c r="A72" s="31" t="s">
        <v>60</v>
      </c>
      <c r="B72" s="31"/>
      <c r="C72" s="31">
        <f t="shared" ref="C72:J72" si="21">(9+C71^2)^(1/2)</f>
        <v>3.2153769607932441</v>
      </c>
      <c r="D72" s="31">
        <f t="shared" si="21"/>
        <v>8.9601478224413231</v>
      </c>
      <c r="E72" s="31">
        <f t="shared" si="21"/>
        <v>3.4070845307975559</v>
      </c>
      <c r="F72" s="31">
        <f t="shared" si="21"/>
        <v>3.0999937096710375</v>
      </c>
      <c r="G72" s="31">
        <f t="shared" si="21"/>
        <v>3.4398385136514769</v>
      </c>
      <c r="H72" s="31">
        <f t="shared" si="21"/>
        <v>3.6897024270257894</v>
      </c>
      <c r="I72" s="31">
        <f t="shared" si="21"/>
        <v>3.0220019854394535</v>
      </c>
      <c r="J72" s="31">
        <f t="shared" si="21"/>
        <v>3.1058679946192176</v>
      </c>
    </row>
    <row r="73" spans="1:16" x14ac:dyDescent="0.2">
      <c r="A73" s="31" t="s">
        <v>376</v>
      </c>
      <c r="B73" s="31"/>
      <c r="C73" s="31"/>
      <c r="D73" s="31">
        <f t="shared" ref="D73:J73" si="22">D72/$E$2*100</f>
        <v>22.281719400296726</v>
      </c>
      <c r="E73" s="31">
        <f t="shared" si="22"/>
        <v>8.4725947598974347</v>
      </c>
      <c r="F73" s="31">
        <f t="shared" si="22"/>
        <v>7.7089341995649114</v>
      </c>
      <c r="G73" s="31">
        <f t="shared" si="22"/>
        <v>8.5540459892360108</v>
      </c>
      <c r="H73" s="31">
        <f t="shared" si="22"/>
        <v>9.1753970781234671</v>
      </c>
      <c r="I73" s="31">
        <f t="shared" si="22"/>
        <v>7.5149876543392766</v>
      </c>
      <c r="J73" s="31">
        <f t="shared" si="22"/>
        <v>7.7235421247338358</v>
      </c>
    </row>
    <row r="74" spans="1:16" x14ac:dyDescent="0.2">
      <c r="A74" s="31" t="s">
        <v>59</v>
      </c>
      <c r="B74" s="31"/>
      <c r="C74" s="31"/>
      <c r="D74" s="32">
        <f t="shared" ref="D74:J74" si="23">D70/$C$2</f>
        <v>0.35499826659924433</v>
      </c>
      <c r="E74" s="32">
        <f t="shared" si="23"/>
        <v>4.6642733959418541</v>
      </c>
      <c r="F74" s="32">
        <f t="shared" si="23"/>
        <v>3.6644881389017079</v>
      </c>
      <c r="G74" s="32">
        <f t="shared" si="23"/>
        <v>5.6075884310404582</v>
      </c>
      <c r="H74" s="32">
        <f t="shared" si="23"/>
        <v>3.55776309600832</v>
      </c>
      <c r="I74" s="32">
        <f t="shared" si="23"/>
        <v>3.8229038547741383</v>
      </c>
      <c r="J74" s="32">
        <f t="shared" si="23"/>
        <v>1.7545416203874424</v>
      </c>
    </row>
    <row r="75" spans="1:16" x14ac:dyDescent="0.2">
      <c r="E75" s="31"/>
    </row>
    <row r="76" spans="1:16" x14ac:dyDescent="0.2">
      <c r="A76" s="34" t="s">
        <v>451</v>
      </c>
      <c r="B76" s="35"/>
      <c r="C76" s="34">
        <v>1</v>
      </c>
      <c r="D76" s="34" t="s">
        <v>283</v>
      </c>
      <c r="E76" s="34" t="s">
        <v>283</v>
      </c>
      <c r="F76" s="34" t="s">
        <v>283</v>
      </c>
      <c r="G76" s="34" t="s">
        <v>283</v>
      </c>
      <c r="H76" s="34" t="s">
        <v>283</v>
      </c>
      <c r="I76" s="34" t="s">
        <v>283</v>
      </c>
      <c r="J76" s="34" t="s">
        <v>283</v>
      </c>
    </row>
    <row r="77" spans="1:16" x14ac:dyDescent="0.2">
      <c r="A77" s="31" t="s">
        <v>63</v>
      </c>
      <c r="B77" s="31"/>
      <c r="C77" s="31">
        <v>1316.731</v>
      </c>
      <c r="D77" s="31">
        <v>1218.192</v>
      </c>
      <c r="E77" s="31">
        <v>1240.962</v>
      </c>
      <c r="F77" s="31">
        <v>1240.962</v>
      </c>
      <c r="G77" s="31">
        <v>1583.192</v>
      </c>
      <c r="H77" s="31">
        <v>1452.712</v>
      </c>
      <c r="I77" s="31">
        <v>1588.923</v>
      </c>
      <c r="J77" s="31">
        <v>1419.923</v>
      </c>
    </row>
    <row r="78" spans="1:16" x14ac:dyDescent="0.2">
      <c r="A78" s="31" t="s">
        <v>62</v>
      </c>
      <c r="B78" s="31"/>
      <c r="C78" s="31">
        <f t="shared" ref="C78:J78" si="24">C77-$B$5</f>
        <v>149.971</v>
      </c>
      <c r="D78" s="31">
        <f t="shared" si="24"/>
        <v>51.432000000000016</v>
      </c>
      <c r="E78" s="31">
        <f t="shared" si="24"/>
        <v>74.201999999999998</v>
      </c>
      <c r="F78" s="31">
        <f t="shared" si="24"/>
        <v>74.201999999999998</v>
      </c>
      <c r="G78" s="31">
        <f t="shared" si="24"/>
        <v>416.43200000000002</v>
      </c>
      <c r="H78" s="31">
        <f t="shared" si="24"/>
        <v>285.952</v>
      </c>
      <c r="I78" s="31">
        <f t="shared" si="24"/>
        <v>422.16300000000001</v>
      </c>
      <c r="J78" s="31">
        <f t="shared" si="24"/>
        <v>253.16300000000001</v>
      </c>
    </row>
    <row r="79" spans="1:16" x14ac:dyDescent="0.2">
      <c r="A79" s="31" t="s">
        <v>61</v>
      </c>
      <c r="B79" s="31"/>
      <c r="C79" s="31">
        <v>3.2759999999999998</v>
      </c>
      <c r="D79" s="31">
        <v>6.8259999999999996</v>
      </c>
      <c r="E79" s="31">
        <v>8.4749999999999996</v>
      </c>
      <c r="F79" s="31">
        <v>3.7010000000000001</v>
      </c>
      <c r="G79" s="31">
        <v>1.2270000000000001</v>
      </c>
      <c r="H79" s="31">
        <v>1.2769999999999999</v>
      </c>
      <c r="I79" s="31">
        <v>1.9350000000000001</v>
      </c>
      <c r="J79" s="31">
        <v>0.498</v>
      </c>
    </row>
    <row r="80" spans="1:16" x14ac:dyDescent="0.2">
      <c r="A80" s="31" t="s">
        <v>60</v>
      </c>
      <c r="B80" s="31"/>
      <c r="C80" s="31">
        <f t="shared" ref="C80:J80" si="25">(16+C79^2)^(1/2)</f>
        <v>5.1703168181456736</v>
      </c>
      <c r="D80" s="31">
        <f t="shared" si="25"/>
        <v>7.911654441392141</v>
      </c>
      <c r="E80" s="31">
        <f t="shared" si="25"/>
        <v>9.3715326921480671</v>
      </c>
      <c r="F80" s="31">
        <f t="shared" si="25"/>
        <v>5.4495321817565223</v>
      </c>
      <c r="G80" s="31">
        <f t="shared" si="25"/>
        <v>4.1839609223796534</v>
      </c>
      <c r="H80" s="31">
        <f t="shared" si="25"/>
        <v>4.198896164469895</v>
      </c>
      <c r="I80" s="31">
        <f t="shared" si="25"/>
        <v>4.4434474228913752</v>
      </c>
      <c r="J80" s="31">
        <f t="shared" si="25"/>
        <v>4.0308812932161624</v>
      </c>
    </row>
    <row r="81" spans="1:10" x14ac:dyDescent="0.2">
      <c r="A81" s="31" t="s">
        <v>376</v>
      </c>
      <c r="B81" s="31"/>
      <c r="C81" s="31"/>
      <c r="D81" s="31">
        <f t="shared" ref="D81:J81" si="26">D80/$E$2*100</f>
        <v>19.674370082789498</v>
      </c>
      <c r="E81" s="31">
        <f t="shared" si="26"/>
        <v>23.30473402170459</v>
      </c>
      <c r="F81" s="31">
        <f t="shared" si="26"/>
        <v>13.551667823232592</v>
      </c>
      <c r="G81" s="31">
        <f t="shared" si="26"/>
        <v>10.404498352223543</v>
      </c>
      <c r="H81" s="31">
        <f t="shared" si="26"/>
        <v>10.441638685176175</v>
      </c>
      <c r="I81" s="31">
        <f t="shared" si="26"/>
        <v>11.0497784867863</v>
      </c>
      <c r="J81" s="31">
        <f t="shared" si="26"/>
        <v>10.02382635768573</v>
      </c>
    </row>
    <row r="82" spans="1:10" x14ac:dyDescent="0.2">
      <c r="A82" s="31" t="s">
        <v>59</v>
      </c>
      <c r="B82" s="31"/>
      <c r="C82" s="31"/>
      <c r="D82" s="32">
        <f t="shared" ref="D82:J82" si="27">D78/$C$2</f>
        <v>0.2555319773796722</v>
      </c>
      <c r="E82" s="32">
        <f t="shared" si="27"/>
        <v>0.36866121841511962</v>
      </c>
      <c r="F82" s="32">
        <f t="shared" si="27"/>
        <v>0.36866121841511962</v>
      </c>
      <c r="G82" s="32">
        <f t="shared" si="27"/>
        <v>2.0689783093049394</v>
      </c>
      <c r="H82" s="32">
        <f t="shared" si="27"/>
        <v>1.4207085082375177</v>
      </c>
      <c r="I82" s="32">
        <f t="shared" si="27"/>
        <v>2.0974519008892232</v>
      </c>
      <c r="J82" s="32">
        <f t="shared" si="27"/>
        <v>1.2578014074772503</v>
      </c>
    </row>
    <row r="84" spans="1:10" x14ac:dyDescent="0.2">
      <c r="A84" s="34" t="s">
        <v>450</v>
      </c>
      <c r="B84" s="35"/>
      <c r="C84" s="34">
        <v>1</v>
      </c>
      <c r="D84" s="34">
        <v>1</v>
      </c>
      <c r="E84" s="34" t="s">
        <v>283</v>
      </c>
    </row>
    <row r="85" spans="1:10" x14ac:dyDescent="0.2">
      <c r="A85" s="31" t="s">
        <v>63</v>
      </c>
      <c r="B85" s="31"/>
      <c r="C85" s="31">
        <v>1413.019</v>
      </c>
      <c r="D85" s="31">
        <v>1452.808</v>
      </c>
      <c r="E85" s="31">
        <v>1278.519</v>
      </c>
    </row>
    <row r="86" spans="1:10" x14ac:dyDescent="0.2">
      <c r="A86" s="31" t="s">
        <v>62</v>
      </c>
      <c r="B86" s="31"/>
      <c r="C86" s="31">
        <f>C85-$B$5</f>
        <v>246.25900000000001</v>
      </c>
      <c r="D86" s="31">
        <f>D85-$B$5</f>
        <v>286.048</v>
      </c>
      <c r="E86" s="31">
        <f>E85-$B$5</f>
        <v>111.75900000000001</v>
      </c>
    </row>
    <row r="87" spans="1:10" x14ac:dyDescent="0.2">
      <c r="A87" s="31" t="s">
        <v>61</v>
      </c>
      <c r="B87" s="31"/>
      <c r="C87" s="31">
        <v>1.86</v>
      </c>
      <c r="D87" s="31">
        <v>3.9769999999999999</v>
      </c>
      <c r="E87" s="31">
        <v>3.2490000000000001</v>
      </c>
    </row>
    <row r="88" spans="1:10" x14ac:dyDescent="0.2">
      <c r="A88" s="31" t="s">
        <v>60</v>
      </c>
      <c r="B88" s="31"/>
      <c r="C88" s="31">
        <f>(25+C87^2)^(1/2)</f>
        <v>5.3347539774576296</v>
      </c>
      <c r="D88" s="31">
        <f>(25+D87^2)^(1/2)</f>
        <v>6.3887814957157518</v>
      </c>
      <c r="E88" s="31">
        <f>(25+E87^2)^(1/2)</f>
        <v>5.9628852915346275</v>
      </c>
    </row>
    <row r="89" spans="1:10" x14ac:dyDescent="0.2">
      <c r="A89" s="31" t="s">
        <v>376</v>
      </c>
      <c r="B89" s="31"/>
      <c r="C89" s="31"/>
      <c r="D89" s="31"/>
      <c r="E89" s="31">
        <f>E88/$E$2*100</f>
        <v>14.828252782768327</v>
      </c>
    </row>
    <row r="90" spans="1:10" x14ac:dyDescent="0.2">
      <c r="A90" s="31" t="s">
        <v>59</v>
      </c>
      <c r="B90" s="31"/>
      <c r="C90" s="31"/>
      <c r="D90" s="32"/>
      <c r="E90" s="32">
        <f>E86/$C$2</f>
        <v>0.5552573934510574</v>
      </c>
    </row>
    <row r="91" spans="1:10" x14ac:dyDescent="0.2">
      <c r="E91" s="31"/>
    </row>
    <row r="92" spans="1:10" x14ac:dyDescent="0.2">
      <c r="A92" s="34" t="s">
        <v>449</v>
      </c>
      <c r="B92" s="35"/>
      <c r="C92" s="34" t="s">
        <v>283</v>
      </c>
      <c r="D92" s="34" t="s">
        <v>283</v>
      </c>
      <c r="E92" s="31"/>
    </row>
    <row r="93" spans="1:10" x14ac:dyDescent="0.2">
      <c r="A93" s="31" t="s">
        <v>63</v>
      </c>
      <c r="B93" s="31"/>
      <c r="C93" s="31">
        <v>1280.115</v>
      </c>
      <c r="D93" s="31">
        <v>1257.788</v>
      </c>
      <c r="E93" s="31"/>
    </row>
    <row r="94" spans="1:10" x14ac:dyDescent="0.2">
      <c r="A94" s="31" t="s">
        <v>62</v>
      </c>
      <c r="B94" s="31"/>
      <c r="C94" s="31">
        <f>C93-$B$5</f>
        <v>113.35500000000002</v>
      </c>
      <c r="D94" s="31">
        <f>D93-$B$5</f>
        <v>91.02800000000002</v>
      </c>
      <c r="E94" s="31"/>
    </row>
    <row r="95" spans="1:10" x14ac:dyDescent="0.2">
      <c r="A95" s="31" t="s">
        <v>61</v>
      </c>
      <c r="B95" s="31"/>
      <c r="C95" s="31">
        <v>1.956</v>
      </c>
      <c r="D95" s="31">
        <v>3.899</v>
      </c>
      <c r="E95" s="31"/>
      <c r="F95" s="31"/>
    </row>
    <row r="96" spans="1:10" x14ac:dyDescent="0.2">
      <c r="A96" s="31" t="s">
        <v>60</v>
      </c>
      <c r="B96" s="31"/>
      <c r="C96" s="31">
        <f>(36+C95^2)^(1/2)</f>
        <v>6.3107793496524653</v>
      </c>
      <c r="D96" s="31">
        <f>(36+D95^2)^(1/2)</f>
        <v>7.1555713258970455</v>
      </c>
      <c r="E96" s="31"/>
    </row>
    <row r="97" spans="1:5" x14ac:dyDescent="0.2">
      <c r="A97" s="31" t="s">
        <v>376</v>
      </c>
      <c r="B97" s="31"/>
      <c r="C97" s="31">
        <f>C96/$E$2*100</f>
        <v>15.693381119668926</v>
      </c>
      <c r="D97" s="31">
        <f>D96/$E$2*100</f>
        <v>17.794174336401277</v>
      </c>
      <c r="E97" s="31"/>
    </row>
    <row r="98" spans="1:5" x14ac:dyDescent="0.2">
      <c r="A98" s="31" t="s">
        <v>59</v>
      </c>
      <c r="B98" s="31"/>
      <c r="C98" s="32">
        <f>C94/$C$2</f>
        <v>0.56318687385037991</v>
      </c>
      <c r="D98" s="32">
        <f>D94/$C$2</f>
        <v>0.45225861014381707</v>
      </c>
      <c r="E98" s="31"/>
    </row>
    <row r="99" spans="1:5" x14ac:dyDescent="0.2">
      <c r="E99" s="31"/>
    </row>
    <row r="100" spans="1:5" x14ac:dyDescent="0.2">
      <c r="A100" s="34" t="s">
        <v>448</v>
      </c>
      <c r="B100" s="35"/>
      <c r="C100" s="34">
        <v>1</v>
      </c>
      <c r="D100" s="34">
        <v>1</v>
      </c>
      <c r="E100" s="31"/>
    </row>
    <row r="101" spans="1:5" x14ac:dyDescent="0.2">
      <c r="A101" s="31" t="s">
        <v>63</v>
      </c>
      <c r="B101" s="31"/>
      <c r="C101" s="31">
        <v>1225.731</v>
      </c>
      <c r="D101" s="31">
        <v>1178.231</v>
      </c>
      <c r="E101" s="31"/>
    </row>
    <row r="102" spans="1:5" x14ac:dyDescent="0.2">
      <c r="A102" s="31" t="s">
        <v>62</v>
      </c>
      <c r="B102" s="31"/>
      <c r="C102" s="31">
        <f>C101-$B$5</f>
        <v>58.971000000000004</v>
      </c>
      <c r="D102" s="31">
        <f>D101-$B$5</f>
        <v>11.471000000000004</v>
      </c>
      <c r="E102" s="31"/>
    </row>
    <row r="103" spans="1:5" x14ac:dyDescent="0.2">
      <c r="A103" s="31" t="s">
        <v>61</v>
      </c>
      <c r="B103" s="31"/>
      <c r="C103" s="31">
        <v>3.3580000000000001</v>
      </c>
      <c r="D103" s="31">
        <v>1.9690000000000001</v>
      </c>
      <c r="E103" s="31"/>
    </row>
    <row r="104" spans="1:5" x14ac:dyDescent="0.2">
      <c r="A104" s="31" t="s">
        <v>60</v>
      </c>
      <c r="B104" s="31"/>
      <c r="C104" s="31">
        <f>(49+C103^2)^(1/2)</f>
        <v>7.7637725365958525</v>
      </c>
      <c r="D104" s="31">
        <f>(49+D103^2)^(1/2)</f>
        <v>7.2716546260118822</v>
      </c>
      <c r="E104" s="31"/>
    </row>
    <row r="105" spans="1:5" x14ac:dyDescent="0.2">
      <c r="A105" s="31" t="s">
        <v>376</v>
      </c>
      <c r="B105" s="31"/>
      <c r="C105" s="31"/>
      <c r="D105" s="31"/>
      <c r="E105" s="31"/>
    </row>
    <row r="106" spans="1:5" x14ac:dyDescent="0.2">
      <c r="A106" s="31" t="s">
        <v>59</v>
      </c>
      <c r="B106" s="31"/>
      <c r="C106" s="31"/>
      <c r="D106" s="32"/>
      <c r="E106" s="31"/>
    </row>
    <row r="107" spans="1:5" x14ac:dyDescent="0.2">
      <c r="E107" s="31"/>
    </row>
    <row r="108" spans="1:5" x14ac:dyDescent="0.2">
      <c r="A108" s="31"/>
      <c r="B108" s="33"/>
      <c r="C108" s="31"/>
      <c r="D108" s="31"/>
      <c r="E108" s="31"/>
    </row>
    <row r="109" spans="1:5" x14ac:dyDescent="0.2">
      <c r="A109" s="31"/>
      <c r="B109" s="31"/>
      <c r="C109" s="31"/>
      <c r="D109" s="31"/>
      <c r="E109" s="31"/>
    </row>
    <row r="110" spans="1:5" x14ac:dyDescent="0.2">
      <c r="A110" s="31"/>
      <c r="B110" s="31"/>
      <c r="C110" s="31"/>
      <c r="D110" s="31"/>
      <c r="E110" s="31"/>
    </row>
    <row r="111" spans="1:5" x14ac:dyDescent="0.2">
      <c r="A111" s="31"/>
      <c r="B111" s="31"/>
      <c r="C111" s="31"/>
      <c r="D111" s="31"/>
      <c r="E111" s="31"/>
    </row>
    <row r="112" spans="1:5" x14ac:dyDescent="0.2">
      <c r="A112" s="31"/>
      <c r="B112" s="31"/>
      <c r="C112" s="31"/>
      <c r="D112" s="31"/>
      <c r="E112" s="31"/>
    </row>
    <row r="113" spans="1:5" x14ac:dyDescent="0.2">
      <c r="A113" s="31"/>
      <c r="B113" s="31"/>
      <c r="C113" s="31"/>
      <c r="D113" s="31"/>
      <c r="E113" s="31"/>
    </row>
    <row r="114" spans="1:5" x14ac:dyDescent="0.2">
      <c r="A114" s="31"/>
      <c r="B114" s="31"/>
      <c r="C114" s="31"/>
      <c r="D114" s="32"/>
      <c r="E114" s="31"/>
    </row>
    <row r="115" spans="1:5" x14ac:dyDescent="0.2">
      <c r="E115" s="31"/>
    </row>
    <row r="116" spans="1:5" x14ac:dyDescent="0.2">
      <c r="E116" s="31"/>
    </row>
    <row r="117" spans="1:5" x14ac:dyDescent="0.2">
      <c r="E117" s="31"/>
    </row>
    <row r="118" spans="1:5" x14ac:dyDescent="0.2">
      <c r="E118" s="31"/>
    </row>
    <row r="119" spans="1:5" x14ac:dyDescent="0.2">
      <c r="E119" s="31"/>
    </row>
    <row r="120" spans="1:5" x14ac:dyDescent="0.2">
      <c r="E120" s="31"/>
    </row>
    <row r="121" spans="1:5" x14ac:dyDescent="0.2">
      <c r="E121" s="31"/>
    </row>
    <row r="122" spans="1:5" x14ac:dyDescent="0.2">
      <c r="E122" s="3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079-AE5D-E244-AB27-AB52AF8B32FC}">
  <dimension ref="A1:L448"/>
  <sheetViews>
    <sheetView topLeftCell="A2" zoomScale="170" zoomScaleNormal="170" workbookViewId="0">
      <selection activeCell="B25" sqref="B25"/>
    </sheetView>
  </sheetViews>
  <sheetFormatPr baseColWidth="10" defaultRowHeight="16" x14ac:dyDescent="0.2"/>
  <cols>
    <col min="1" max="1" width="26.1640625" style="30" customWidth="1"/>
    <col min="2" max="16384" width="10.83203125" style="30"/>
  </cols>
  <sheetData>
    <row r="1" spans="1:12" x14ac:dyDescent="0.2">
      <c r="A1" s="37"/>
      <c r="B1" s="37"/>
      <c r="C1" s="36" t="s">
        <v>294</v>
      </c>
      <c r="D1" s="31"/>
      <c r="E1" s="36" t="s">
        <v>31</v>
      </c>
    </row>
    <row r="2" spans="1:12" x14ac:dyDescent="0.2">
      <c r="A2" s="31"/>
      <c r="B2" s="31"/>
      <c r="C2" s="31">
        <f>AVERAGE(C14:E14)</f>
        <v>1154.5106666666666</v>
      </c>
      <c r="D2" s="31"/>
      <c r="E2" s="31">
        <v>37.283999999999999</v>
      </c>
    </row>
    <row r="3" spans="1:12" x14ac:dyDescent="0.2">
      <c r="A3" s="31"/>
      <c r="B3" s="31"/>
      <c r="C3" s="31"/>
      <c r="D3" s="31"/>
      <c r="E3" s="31"/>
    </row>
    <row r="4" spans="1:12" x14ac:dyDescent="0.2">
      <c r="A4" s="34" t="s">
        <v>469</v>
      </c>
      <c r="B4" s="35" t="s">
        <v>70</v>
      </c>
      <c r="C4" s="34" t="s">
        <v>283</v>
      </c>
      <c r="D4" s="34" t="s">
        <v>283</v>
      </c>
      <c r="E4" s="34" t="s">
        <v>283</v>
      </c>
      <c r="F4" s="34" t="s">
        <v>283</v>
      </c>
      <c r="G4" s="34" t="s">
        <v>283</v>
      </c>
      <c r="H4" s="34" t="s">
        <v>283</v>
      </c>
      <c r="I4" s="34" t="s">
        <v>283</v>
      </c>
      <c r="J4" s="34" t="s">
        <v>283</v>
      </c>
      <c r="K4" s="34" t="s">
        <v>283</v>
      </c>
      <c r="L4" s="34" t="s">
        <v>283</v>
      </c>
    </row>
    <row r="5" spans="1:12" x14ac:dyDescent="0.2">
      <c r="A5" s="31" t="s">
        <v>63</v>
      </c>
      <c r="B5" s="31">
        <v>845.59199999999998</v>
      </c>
      <c r="C5" s="31">
        <v>1043.462</v>
      </c>
      <c r="D5" s="31">
        <v>1205.596</v>
      </c>
      <c r="E5" s="31">
        <v>2939.8850000000002</v>
      </c>
      <c r="F5" s="31">
        <v>1207.846</v>
      </c>
      <c r="G5" s="31">
        <v>1621.596</v>
      </c>
      <c r="H5" s="31">
        <v>883.154</v>
      </c>
      <c r="I5" s="31">
        <v>986.596</v>
      </c>
      <c r="J5" s="31">
        <v>1234.558</v>
      </c>
      <c r="K5" s="31">
        <v>973.154</v>
      </c>
      <c r="L5" s="31">
        <v>1170.846</v>
      </c>
    </row>
    <row r="6" spans="1:12" x14ac:dyDescent="0.2">
      <c r="A6" s="31" t="s">
        <v>62</v>
      </c>
      <c r="B6" s="31"/>
      <c r="C6" s="31">
        <f t="shared" ref="C6:L6" si="0">C5-$B$5</f>
        <v>197.87</v>
      </c>
      <c r="D6" s="31">
        <f t="shared" si="0"/>
        <v>360.00400000000002</v>
      </c>
      <c r="E6" s="31">
        <f t="shared" si="0"/>
        <v>2094.2930000000001</v>
      </c>
      <c r="F6" s="31">
        <f t="shared" si="0"/>
        <v>362.25400000000002</v>
      </c>
      <c r="G6" s="31">
        <f t="shared" si="0"/>
        <v>776.00400000000002</v>
      </c>
      <c r="H6" s="31">
        <f t="shared" si="0"/>
        <v>37.562000000000012</v>
      </c>
      <c r="I6" s="31">
        <f t="shared" si="0"/>
        <v>141.00400000000002</v>
      </c>
      <c r="J6" s="31">
        <f t="shared" si="0"/>
        <v>388.96600000000001</v>
      </c>
      <c r="K6" s="31">
        <f t="shared" si="0"/>
        <v>127.56200000000001</v>
      </c>
      <c r="L6" s="31">
        <f t="shared" si="0"/>
        <v>325.25400000000002</v>
      </c>
    </row>
    <row r="7" spans="1:12" x14ac:dyDescent="0.2">
      <c r="A7" s="31" t="s">
        <v>61</v>
      </c>
      <c r="B7" s="31"/>
      <c r="C7" s="31">
        <v>3.0059999999999998</v>
      </c>
      <c r="D7" s="31">
        <v>2.0019999999999998</v>
      </c>
      <c r="E7" s="31">
        <v>1.4039999999999999</v>
      </c>
      <c r="F7" s="31">
        <v>1.9590000000000001</v>
      </c>
      <c r="G7" s="31">
        <v>2.0179999999999998</v>
      </c>
      <c r="H7" s="31">
        <v>2.9369999999999998</v>
      </c>
      <c r="I7" s="31">
        <v>2.7349999999999999</v>
      </c>
      <c r="J7" s="31">
        <v>2.5459999999999998</v>
      </c>
      <c r="K7" s="31">
        <v>3.375</v>
      </c>
      <c r="L7" s="31">
        <v>2.3730000000000002</v>
      </c>
    </row>
    <row r="8" spans="1:12" x14ac:dyDescent="0.2">
      <c r="A8" s="31" t="s">
        <v>60</v>
      </c>
      <c r="B8" s="31"/>
      <c r="C8" s="31">
        <f t="shared" ref="C8:L8" si="1">(0+C7^2)^(1/2)</f>
        <v>3.0059999999999998</v>
      </c>
      <c r="D8" s="31">
        <f t="shared" si="1"/>
        <v>2.0019999999999998</v>
      </c>
      <c r="E8" s="31">
        <f t="shared" si="1"/>
        <v>1.4039999999999999</v>
      </c>
      <c r="F8" s="31">
        <f t="shared" si="1"/>
        <v>1.9590000000000001</v>
      </c>
      <c r="G8" s="31">
        <f t="shared" si="1"/>
        <v>2.0179999999999998</v>
      </c>
      <c r="H8" s="31">
        <f t="shared" si="1"/>
        <v>2.9369999999999998</v>
      </c>
      <c r="I8" s="31">
        <f t="shared" si="1"/>
        <v>2.7349999999999999</v>
      </c>
      <c r="J8" s="31">
        <f t="shared" si="1"/>
        <v>2.5459999999999998</v>
      </c>
      <c r="K8" s="31">
        <f t="shared" si="1"/>
        <v>3.375</v>
      </c>
      <c r="L8" s="31">
        <f t="shared" si="1"/>
        <v>2.3730000000000002</v>
      </c>
    </row>
    <row r="9" spans="1:12" x14ac:dyDescent="0.2">
      <c r="A9" s="31" t="s">
        <v>376</v>
      </c>
      <c r="B9" s="31"/>
      <c r="C9" s="31">
        <f t="shared" ref="C9:L9" si="2">C8/$E$2*100</f>
        <v>8.0624396523978117</v>
      </c>
      <c r="D9" s="31">
        <f t="shared" si="2"/>
        <v>5.3695955369595527</v>
      </c>
      <c r="E9" s="31">
        <f t="shared" si="2"/>
        <v>3.7656903765690379</v>
      </c>
      <c r="F9" s="31">
        <f t="shared" si="2"/>
        <v>5.2542645638879959</v>
      </c>
      <c r="G9" s="31">
        <f t="shared" si="2"/>
        <v>5.4125093874047847</v>
      </c>
      <c r="H9" s="31">
        <f t="shared" si="2"/>
        <v>7.8773736723527517</v>
      </c>
      <c r="I9" s="31">
        <f t="shared" si="2"/>
        <v>7.3355863104817081</v>
      </c>
      <c r="J9" s="31">
        <f t="shared" si="2"/>
        <v>6.8286664520974139</v>
      </c>
      <c r="K9" s="31">
        <f t="shared" si="2"/>
        <v>9.0521403282909549</v>
      </c>
      <c r="L9" s="31">
        <f t="shared" si="2"/>
        <v>6.3646604441583525</v>
      </c>
    </row>
    <row r="10" spans="1:12" x14ac:dyDescent="0.2">
      <c r="A10" s="31" t="s">
        <v>59</v>
      </c>
      <c r="B10" s="31"/>
      <c r="C10" s="32">
        <f t="shared" ref="C10:L10" si="3">C6/$C$2</f>
        <v>0.17138862871773672</v>
      </c>
      <c r="D10" s="32">
        <f t="shared" si="3"/>
        <v>0.31182388382726078</v>
      </c>
      <c r="E10" s="32">
        <f t="shared" si="3"/>
        <v>1.8140092252648454</v>
      </c>
      <c r="F10" s="32">
        <f t="shared" si="3"/>
        <v>0.31377276144698535</v>
      </c>
      <c r="G10" s="32">
        <f t="shared" si="3"/>
        <v>0.67214970151856557</v>
      </c>
      <c r="H10" s="32">
        <f t="shared" si="3"/>
        <v>3.2534996067598063E-2</v>
      </c>
      <c r="I10" s="32">
        <f t="shared" si="3"/>
        <v>0.12213312884073255</v>
      </c>
      <c r="J10" s="32">
        <f t="shared" si="3"/>
        <v>0.33690983654835588</v>
      </c>
      <c r="K10" s="32">
        <f t="shared" si="3"/>
        <v>0.11049010085658226</v>
      </c>
      <c r="L10" s="32">
        <f t="shared" si="3"/>
        <v>0.281724551700403</v>
      </c>
    </row>
    <row r="11" spans="1:12" x14ac:dyDescent="0.2">
      <c r="A11" s="31"/>
      <c r="B11" s="31"/>
      <c r="C11" s="31"/>
      <c r="D11" s="31"/>
      <c r="E11" s="31"/>
    </row>
    <row r="12" spans="1:12" x14ac:dyDescent="0.2">
      <c r="A12" s="34" t="s">
        <v>468</v>
      </c>
      <c r="B12" s="35"/>
      <c r="C12" s="34">
        <v>1</v>
      </c>
      <c r="D12" s="34">
        <v>1</v>
      </c>
      <c r="E12" s="34">
        <v>1</v>
      </c>
      <c r="F12" s="34" t="s">
        <v>283</v>
      </c>
      <c r="G12" s="34" t="s">
        <v>283</v>
      </c>
    </row>
    <row r="13" spans="1:12" x14ac:dyDescent="0.2">
      <c r="A13" s="31" t="s">
        <v>63</v>
      </c>
      <c r="B13" s="31"/>
      <c r="C13" s="31">
        <v>1895.712</v>
      </c>
      <c r="D13" s="31">
        <v>1973.846</v>
      </c>
      <c r="E13" s="31">
        <v>2130.75</v>
      </c>
      <c r="F13" s="31">
        <v>1850.135</v>
      </c>
      <c r="G13" s="31">
        <v>1091.0830000000001</v>
      </c>
    </row>
    <row r="14" spans="1:12" x14ac:dyDescent="0.2">
      <c r="A14" s="31" t="s">
        <v>62</v>
      </c>
      <c r="B14" s="31"/>
      <c r="C14" s="31">
        <f>C13-$B$5</f>
        <v>1050.1199999999999</v>
      </c>
      <c r="D14" s="31">
        <f>D13-$B$5</f>
        <v>1128.2539999999999</v>
      </c>
      <c r="E14" s="31">
        <f>E13-$B$5</f>
        <v>1285.1579999999999</v>
      </c>
      <c r="F14" s="31">
        <f>F13-$B$5</f>
        <v>1004.543</v>
      </c>
      <c r="G14" s="31">
        <f>G13-$B$5</f>
        <v>245.4910000000001</v>
      </c>
    </row>
    <row r="15" spans="1:12" x14ac:dyDescent="0.2">
      <c r="A15" s="31" t="s">
        <v>61</v>
      </c>
      <c r="B15" s="31"/>
      <c r="C15" s="31">
        <v>2.6539999999999999</v>
      </c>
      <c r="D15" s="31">
        <v>2.0379999999999998</v>
      </c>
      <c r="E15" s="31">
        <v>1.6779999999999999</v>
      </c>
      <c r="F15" s="31">
        <v>1.1930000000000001</v>
      </c>
      <c r="G15" s="31">
        <v>3.548</v>
      </c>
    </row>
    <row r="16" spans="1:12" x14ac:dyDescent="0.2">
      <c r="A16" s="31" t="s">
        <v>60</v>
      </c>
      <c r="B16" s="31"/>
      <c r="C16" s="31">
        <f>(1+C15^2)^(1/2)</f>
        <v>2.8361445661319875</v>
      </c>
      <c r="D16" s="31">
        <f>(1+D15^2)^(1/2)</f>
        <v>2.2701198206262152</v>
      </c>
      <c r="E16" s="31">
        <f>(1+E15^2)^(1/2)</f>
        <v>1.9533775876670643</v>
      </c>
      <c r="F16" s="31">
        <f>(1+F15^2)^(1/2)</f>
        <v>1.5566788364977537</v>
      </c>
      <c r="G16" s="31">
        <f>(1+G15^2)^(1/2)</f>
        <v>3.6862316801850641</v>
      </c>
    </row>
    <row r="17" spans="1:10" x14ac:dyDescent="0.2">
      <c r="A17" s="31" t="s">
        <v>376</v>
      </c>
      <c r="B17" s="31"/>
      <c r="C17" s="31"/>
      <c r="D17" s="31"/>
      <c r="E17" s="31"/>
      <c r="F17" s="31">
        <f>F16/$E$2*100</f>
        <v>4.1751926737950695</v>
      </c>
      <c r="G17" s="31">
        <f>G16/$E$2*100</f>
        <v>9.8868996893709475</v>
      </c>
    </row>
    <row r="18" spans="1:10" x14ac:dyDescent="0.2">
      <c r="A18" s="31" t="s">
        <v>59</v>
      </c>
      <c r="B18" s="31"/>
      <c r="C18" s="31"/>
      <c r="D18" s="32"/>
      <c r="E18" s="32"/>
      <c r="F18" s="32">
        <f>F14/$C$2</f>
        <v>0.87010283144489509</v>
      </c>
      <c r="G18" s="32">
        <f>G14/$C$2</f>
        <v>0.21263640699725031</v>
      </c>
    </row>
    <row r="20" spans="1:10" x14ac:dyDescent="0.2">
      <c r="A20" s="34" t="s">
        <v>467</v>
      </c>
      <c r="B20" s="35"/>
      <c r="C20" s="34" t="s">
        <v>283</v>
      </c>
      <c r="D20" s="34" t="s">
        <v>283</v>
      </c>
      <c r="E20" s="34" t="s">
        <v>283</v>
      </c>
      <c r="F20" s="34" t="s">
        <v>283</v>
      </c>
      <c r="G20" s="34" t="s">
        <v>283</v>
      </c>
      <c r="H20" s="34" t="s">
        <v>283</v>
      </c>
    </row>
    <row r="21" spans="1:10" x14ac:dyDescent="0.2">
      <c r="A21" s="31" t="s">
        <v>63</v>
      </c>
      <c r="B21" s="31"/>
      <c r="C21" s="31">
        <v>1515.154</v>
      </c>
      <c r="D21" s="31">
        <v>1383.981</v>
      </c>
      <c r="E21" s="31">
        <v>1694.173</v>
      </c>
      <c r="F21" s="31">
        <v>992.577</v>
      </c>
      <c r="G21" s="31">
        <v>1148.673</v>
      </c>
      <c r="H21" s="31">
        <v>1111.288</v>
      </c>
    </row>
    <row r="22" spans="1:10" x14ac:dyDescent="0.2">
      <c r="A22" s="31" t="s">
        <v>62</v>
      </c>
      <c r="B22" s="31"/>
      <c r="C22" s="31">
        <f t="shared" ref="C22:H22" si="4">C21-$B$5</f>
        <v>669.56200000000001</v>
      </c>
      <c r="D22" s="31">
        <f t="shared" si="4"/>
        <v>538.38900000000001</v>
      </c>
      <c r="E22" s="31">
        <f t="shared" si="4"/>
        <v>848.58100000000002</v>
      </c>
      <c r="F22" s="31">
        <f t="shared" si="4"/>
        <v>146.98500000000001</v>
      </c>
      <c r="G22" s="31">
        <f t="shared" si="4"/>
        <v>303.08100000000002</v>
      </c>
      <c r="H22" s="31">
        <f t="shared" si="4"/>
        <v>265.69600000000003</v>
      </c>
    </row>
    <row r="23" spans="1:10" x14ac:dyDescent="0.2">
      <c r="A23" s="31" t="s">
        <v>61</v>
      </c>
      <c r="B23" s="31"/>
      <c r="C23" s="31">
        <v>1.891</v>
      </c>
      <c r="D23" s="31">
        <v>1.405</v>
      </c>
      <c r="E23" s="31">
        <v>2.4830000000000001</v>
      </c>
      <c r="F23" s="31">
        <v>3.75</v>
      </c>
      <c r="G23" s="31">
        <v>1.8939999999999999</v>
      </c>
      <c r="H23" s="31">
        <v>2.6259999999999999</v>
      </c>
    </row>
    <row r="24" spans="1:10" x14ac:dyDescent="0.2">
      <c r="A24" s="31" t="s">
        <v>60</v>
      </c>
      <c r="B24" s="31"/>
      <c r="C24" s="31">
        <f t="shared" ref="C24:H24" si="5">(4+C23^2)^(1/2)</f>
        <v>2.7524318338516576</v>
      </c>
      <c r="D24" s="31">
        <f t="shared" si="5"/>
        <v>2.4441818672103759</v>
      </c>
      <c r="E24" s="31">
        <f t="shared" si="5"/>
        <v>3.1883050355949321</v>
      </c>
      <c r="F24" s="31">
        <f t="shared" si="5"/>
        <v>4.25</v>
      </c>
      <c r="G24" s="31">
        <f t="shared" si="5"/>
        <v>2.7544937828936917</v>
      </c>
      <c r="H24" s="31">
        <f t="shared" si="5"/>
        <v>3.3008901829658011</v>
      </c>
    </row>
    <row r="25" spans="1:10" x14ac:dyDescent="0.2">
      <c r="A25" s="31" t="s">
        <v>376</v>
      </c>
      <c r="B25" s="31"/>
      <c r="C25" s="31">
        <f t="shared" ref="C25:H25" si="6">C24/$E$2*100</f>
        <v>7.382340504912718</v>
      </c>
      <c r="D25" s="31">
        <f t="shared" si="6"/>
        <v>6.5555784444007505</v>
      </c>
      <c r="E25" s="31">
        <f t="shared" si="6"/>
        <v>8.5514028419561523</v>
      </c>
      <c r="F25" s="31">
        <f t="shared" si="6"/>
        <v>11.398991524514537</v>
      </c>
      <c r="G25" s="31">
        <f t="shared" si="6"/>
        <v>7.3878708907136899</v>
      </c>
      <c r="H25" s="31">
        <f t="shared" si="6"/>
        <v>8.8533692279953904</v>
      </c>
    </row>
    <row r="26" spans="1:10" x14ac:dyDescent="0.2">
      <c r="A26" s="31" t="s">
        <v>59</v>
      </c>
      <c r="B26" s="31"/>
      <c r="C26" s="32">
        <f t="shared" ref="C26:H26" si="7">C22/$C$2</f>
        <v>0.57995306525246493</v>
      </c>
      <c r="D26" s="32">
        <f t="shared" si="7"/>
        <v>0.46633523235818242</v>
      </c>
      <c r="E26" s="32">
        <f t="shared" si="7"/>
        <v>0.73501356418823338</v>
      </c>
      <c r="F26" s="32">
        <f t="shared" si="7"/>
        <v>0.12731367863787604</v>
      </c>
      <c r="G26" s="32">
        <f t="shared" si="7"/>
        <v>0.26251901238389025</v>
      </c>
      <c r="H26" s="32">
        <f t="shared" si="7"/>
        <v>0.23013732802237721</v>
      </c>
    </row>
    <row r="28" spans="1:10" x14ac:dyDescent="0.2">
      <c r="A28" s="34" t="s">
        <v>466</v>
      </c>
      <c r="B28" s="35"/>
      <c r="C28" s="34" t="s">
        <v>283</v>
      </c>
      <c r="D28" s="34" t="s">
        <v>283</v>
      </c>
      <c r="E28" s="34" t="s">
        <v>283</v>
      </c>
      <c r="F28" s="34" t="s">
        <v>283</v>
      </c>
      <c r="G28" s="34" t="s">
        <v>283</v>
      </c>
      <c r="H28" s="34" t="s">
        <v>283</v>
      </c>
      <c r="I28" s="34" t="s">
        <v>283</v>
      </c>
    </row>
    <row r="29" spans="1:10" x14ac:dyDescent="0.2">
      <c r="A29" s="31" t="s">
        <v>63</v>
      </c>
      <c r="B29" s="31"/>
      <c r="C29" s="31">
        <v>1134.962</v>
      </c>
      <c r="D29" s="31">
        <v>1042.173</v>
      </c>
      <c r="E29" s="31">
        <v>1049.385</v>
      </c>
      <c r="F29" s="31">
        <v>972.38499999999999</v>
      </c>
      <c r="G29" s="31">
        <v>1721.712</v>
      </c>
      <c r="H29" s="31">
        <v>1539.673</v>
      </c>
      <c r="I29" s="31">
        <v>1202.654</v>
      </c>
    </row>
    <row r="30" spans="1:10" x14ac:dyDescent="0.2">
      <c r="A30" s="31" t="s">
        <v>62</v>
      </c>
      <c r="B30" s="31"/>
      <c r="C30" s="31">
        <f t="shared" ref="C30:I30" si="8">C29-$B$5</f>
        <v>289.37</v>
      </c>
      <c r="D30" s="31">
        <f t="shared" si="8"/>
        <v>196.58100000000002</v>
      </c>
      <c r="E30" s="31">
        <f t="shared" si="8"/>
        <v>203.79300000000001</v>
      </c>
      <c r="F30" s="31">
        <f t="shared" si="8"/>
        <v>126.79300000000001</v>
      </c>
      <c r="G30" s="31">
        <f t="shared" si="8"/>
        <v>876.12</v>
      </c>
      <c r="H30" s="31">
        <f t="shared" si="8"/>
        <v>694.08100000000002</v>
      </c>
      <c r="I30" s="31">
        <f t="shared" si="8"/>
        <v>357.06200000000001</v>
      </c>
    </row>
    <row r="31" spans="1:10" x14ac:dyDescent="0.2">
      <c r="A31" s="31" t="s">
        <v>61</v>
      </c>
      <c r="B31" s="31"/>
      <c r="C31" s="31">
        <v>2.1139999999999999</v>
      </c>
      <c r="D31" s="31">
        <v>1.4430000000000001</v>
      </c>
      <c r="E31" s="31">
        <v>1.9970000000000001</v>
      </c>
      <c r="F31" s="31">
        <v>3.4220000000000002</v>
      </c>
      <c r="G31" s="31">
        <v>1.579</v>
      </c>
      <c r="H31" s="31">
        <v>2.0880000000000001</v>
      </c>
      <c r="I31" s="31">
        <v>2.5859999999999999</v>
      </c>
      <c r="J31" s="31"/>
    </row>
    <row r="32" spans="1:10" x14ac:dyDescent="0.2">
      <c r="A32" s="31" t="s">
        <v>60</v>
      </c>
      <c r="B32" s="31"/>
      <c r="C32" s="31">
        <f t="shared" ref="C32:I32" si="9">(9+C31^2)^(1/2)</f>
        <v>3.6700130789957686</v>
      </c>
      <c r="D32" s="31">
        <f t="shared" si="9"/>
        <v>3.3290012015618138</v>
      </c>
      <c r="E32" s="31">
        <f t="shared" si="9"/>
        <v>3.6038880393264163</v>
      </c>
      <c r="F32" s="31">
        <f t="shared" si="9"/>
        <v>4.5508333302813897</v>
      </c>
      <c r="G32" s="31">
        <f t="shared" si="9"/>
        <v>3.3901682849085826</v>
      </c>
      <c r="H32" s="31">
        <f t="shared" si="9"/>
        <v>3.6550983570897237</v>
      </c>
      <c r="I32" s="31">
        <f t="shared" si="9"/>
        <v>3.960731750573371</v>
      </c>
    </row>
    <row r="33" spans="1:9" x14ac:dyDescent="0.2">
      <c r="A33" s="31" t="s">
        <v>376</v>
      </c>
      <c r="B33" s="31"/>
      <c r="C33" s="31">
        <f t="shared" ref="C33:I33" si="10">C32/$E$2*100</f>
        <v>9.8433995252541795</v>
      </c>
      <c r="D33" s="31">
        <f t="shared" si="10"/>
        <v>8.9287662309886642</v>
      </c>
      <c r="E33" s="31">
        <f t="shared" si="10"/>
        <v>9.6660445213132071</v>
      </c>
      <c r="F33" s="31">
        <f t="shared" si="10"/>
        <v>12.205861308554313</v>
      </c>
      <c r="G33" s="31">
        <f t="shared" si="10"/>
        <v>9.0928234226708042</v>
      </c>
      <c r="H33" s="31">
        <f t="shared" si="10"/>
        <v>9.8033965161724161</v>
      </c>
      <c r="I33" s="31">
        <f t="shared" si="10"/>
        <v>10.623140624861525</v>
      </c>
    </row>
    <row r="34" spans="1:9" x14ac:dyDescent="0.2">
      <c r="A34" s="31" t="s">
        <v>59</v>
      </c>
      <c r="B34" s="31"/>
      <c r="C34" s="32">
        <f t="shared" ref="C34:I34" si="11">C30/$C$2</f>
        <v>0.250642985253204</v>
      </c>
      <c r="D34" s="32">
        <f t="shared" si="11"/>
        <v>0.17027213838359226</v>
      </c>
      <c r="E34" s="32">
        <f t="shared" si="11"/>
        <v>0.17651894078068286</v>
      </c>
      <c r="F34" s="32">
        <f t="shared" si="11"/>
        <v>0.10982401779455193</v>
      </c>
      <c r="G34" s="32">
        <f t="shared" si="11"/>
        <v>0.75886696008583154</v>
      </c>
      <c r="H34" s="32">
        <f t="shared" si="11"/>
        <v>0.60119063430047714</v>
      </c>
      <c r="I34" s="32">
        <f t="shared" si="11"/>
        <v>0.30927561806849196</v>
      </c>
    </row>
    <row r="35" spans="1:9" x14ac:dyDescent="0.2">
      <c r="E35" s="31"/>
    </row>
    <row r="36" spans="1:9" x14ac:dyDescent="0.2">
      <c r="A36" s="34" t="s">
        <v>465</v>
      </c>
      <c r="B36" s="35"/>
      <c r="C36" s="34" t="s">
        <v>283</v>
      </c>
      <c r="D36" s="31"/>
      <c r="E36" s="31"/>
    </row>
    <row r="37" spans="1:9" x14ac:dyDescent="0.2">
      <c r="A37" s="31" t="s">
        <v>63</v>
      </c>
      <c r="B37" s="31"/>
      <c r="C37" s="31">
        <v>3275.8649999999998</v>
      </c>
      <c r="D37" s="31"/>
      <c r="E37" s="31"/>
    </row>
    <row r="38" spans="1:9" x14ac:dyDescent="0.2">
      <c r="A38" s="31" t="s">
        <v>62</v>
      </c>
      <c r="B38" s="31"/>
      <c r="C38" s="31">
        <f>C37-$B$5</f>
        <v>2430.2729999999997</v>
      </c>
      <c r="D38" s="31"/>
      <c r="E38" s="31"/>
    </row>
    <row r="39" spans="1:9" x14ac:dyDescent="0.2">
      <c r="A39" s="31" t="s">
        <v>61</v>
      </c>
      <c r="B39" s="31"/>
      <c r="C39" s="31">
        <v>1.639</v>
      </c>
      <c r="D39" s="31"/>
      <c r="E39" s="31"/>
    </row>
    <row r="40" spans="1:9" x14ac:dyDescent="0.2">
      <c r="A40" s="31" t="s">
        <v>60</v>
      </c>
      <c r="B40" s="31"/>
      <c r="C40" s="31">
        <f>(16+C39^2)^(1/2)</f>
        <v>4.3227677476357664</v>
      </c>
      <c r="D40" s="31"/>
      <c r="E40" s="31"/>
    </row>
    <row r="41" spans="1:9" x14ac:dyDescent="0.2">
      <c r="A41" s="31" t="s">
        <v>376</v>
      </c>
      <c r="B41" s="31"/>
      <c r="C41" s="31">
        <f>C40/$E$2*100</f>
        <v>11.594163039469388</v>
      </c>
      <c r="D41" s="31"/>
      <c r="E41" s="31"/>
    </row>
    <row r="42" spans="1:9" x14ac:dyDescent="0.2">
      <c r="A42" s="31" t="s">
        <v>59</v>
      </c>
      <c r="B42" s="31"/>
      <c r="C42" s="32">
        <f>C38/$C$2</f>
        <v>2.105024293120433</v>
      </c>
      <c r="D42" s="32"/>
      <c r="E42" s="31"/>
    </row>
    <row r="43" spans="1:9" x14ac:dyDescent="0.2">
      <c r="E43" s="31"/>
    </row>
    <row r="44" spans="1:9" x14ac:dyDescent="0.2">
      <c r="A44" s="34" t="s">
        <v>464</v>
      </c>
      <c r="B44" s="35"/>
      <c r="C44" s="34" t="s">
        <v>283</v>
      </c>
      <c r="D44" s="31"/>
      <c r="E44" s="31"/>
    </row>
    <row r="45" spans="1:9" x14ac:dyDescent="0.2">
      <c r="A45" s="31" t="s">
        <v>63</v>
      </c>
      <c r="B45" s="31"/>
      <c r="C45" s="31">
        <v>2553.308</v>
      </c>
      <c r="D45" s="31"/>
      <c r="E45" s="31"/>
    </row>
    <row r="46" spans="1:9" x14ac:dyDescent="0.2">
      <c r="A46" s="31" t="s">
        <v>62</v>
      </c>
      <c r="B46" s="31"/>
      <c r="C46" s="31">
        <f>C45-$B$5</f>
        <v>1707.7159999999999</v>
      </c>
      <c r="D46" s="31"/>
      <c r="E46" s="31"/>
    </row>
    <row r="47" spans="1:9" x14ac:dyDescent="0.2">
      <c r="A47" s="31" t="s">
        <v>61</v>
      </c>
      <c r="B47" s="31"/>
      <c r="C47" s="31">
        <v>1.6379999999999999</v>
      </c>
      <c r="D47" s="31"/>
      <c r="E47" s="31"/>
    </row>
    <row r="48" spans="1:9" x14ac:dyDescent="0.2">
      <c r="A48" s="31" t="s">
        <v>60</v>
      </c>
      <c r="B48" s="31"/>
      <c r="C48" s="31">
        <f>(25+C47^2)^(1/2)</f>
        <v>5.2614678560264911</v>
      </c>
      <c r="D48" s="31"/>
      <c r="E48" s="31"/>
    </row>
    <row r="49" spans="1:6" x14ac:dyDescent="0.2">
      <c r="A49" s="31" t="s">
        <v>376</v>
      </c>
      <c r="B49" s="31"/>
      <c r="C49" s="31">
        <f>C48/$E$2*100</f>
        <v>14.111865293494505</v>
      </c>
      <c r="D49" s="31"/>
      <c r="E49" s="31"/>
    </row>
    <row r="50" spans="1:6" x14ac:dyDescent="0.2">
      <c r="A50" s="31" t="s">
        <v>59</v>
      </c>
      <c r="B50" s="31"/>
      <c r="C50" s="32">
        <f>C46/$C$2</f>
        <v>1.4791686636647214</v>
      </c>
      <c r="D50" s="32"/>
      <c r="E50" s="31"/>
    </row>
    <row r="51" spans="1:6" x14ac:dyDescent="0.2">
      <c r="E51" s="31"/>
    </row>
    <row r="52" spans="1:6" x14ac:dyDescent="0.2">
      <c r="A52" s="34" t="s">
        <v>463</v>
      </c>
      <c r="B52" s="35"/>
      <c r="C52" s="34" t="s">
        <v>283</v>
      </c>
      <c r="D52" s="34" t="s">
        <v>283</v>
      </c>
      <c r="E52" s="34" t="s">
        <v>283</v>
      </c>
      <c r="F52" s="34" t="s">
        <v>283</v>
      </c>
    </row>
    <row r="53" spans="1:6" x14ac:dyDescent="0.2">
      <c r="A53" s="31" t="s">
        <v>63</v>
      </c>
      <c r="B53" s="31"/>
      <c r="C53" s="31">
        <v>1168.5</v>
      </c>
      <c r="D53" s="31">
        <v>1452.308</v>
      </c>
      <c r="E53" s="31">
        <v>1034.058</v>
      </c>
      <c r="F53" s="31">
        <v>1048.481</v>
      </c>
    </row>
    <row r="54" spans="1:6" x14ac:dyDescent="0.2">
      <c r="A54" s="31" t="s">
        <v>62</v>
      </c>
      <c r="B54" s="31"/>
      <c r="C54" s="31">
        <f>C53-$B$5</f>
        <v>322.90800000000002</v>
      </c>
      <c r="D54" s="31">
        <f>D53-$B$5</f>
        <v>606.71600000000001</v>
      </c>
      <c r="E54" s="31">
        <f>E53-$B$5</f>
        <v>188.46600000000001</v>
      </c>
      <c r="F54" s="31">
        <f>F53-$B$5</f>
        <v>202.88900000000001</v>
      </c>
    </row>
    <row r="55" spans="1:6" x14ac:dyDescent="0.2">
      <c r="A55" s="31" t="s">
        <v>61</v>
      </c>
      <c r="B55" s="31"/>
      <c r="C55" s="31">
        <v>3.0609999999999999</v>
      </c>
      <c r="D55" s="31">
        <v>1.3</v>
      </c>
      <c r="E55" s="31">
        <v>1.9790000000000001</v>
      </c>
      <c r="F55" s="31">
        <v>2.2469999999999999</v>
      </c>
    </row>
    <row r="56" spans="1:6" x14ac:dyDescent="0.2">
      <c r="A56" s="31" t="s">
        <v>60</v>
      </c>
      <c r="B56" s="31"/>
      <c r="C56" s="31">
        <f>(1+C55^2)^(1/2)</f>
        <v>3.2202051176904867</v>
      </c>
      <c r="D56" s="31">
        <f>(1+D55^2)^(1/2)</f>
        <v>1.6401219466856727</v>
      </c>
      <c r="E56" s="31">
        <f>(1+E55^2)^(1/2)</f>
        <v>2.2173048955883359</v>
      </c>
      <c r="F56" s="31">
        <f>(1+F55^2)^(1/2)</f>
        <v>2.4594733176027748</v>
      </c>
    </row>
    <row r="57" spans="1:6" x14ac:dyDescent="0.2">
      <c r="A57" s="31" t="s">
        <v>376</v>
      </c>
      <c r="B57" s="31"/>
      <c r="C57" s="31">
        <f>C56/$E$2*100</f>
        <v>8.6369625514711039</v>
      </c>
      <c r="D57" s="31">
        <f>D56/$E$2*100</f>
        <v>4.3989967457506509</v>
      </c>
      <c r="E57" s="31">
        <f>E56/$E$2*100</f>
        <v>5.9470681675473012</v>
      </c>
      <c r="F57" s="31">
        <f>F56/$E$2*100</f>
        <v>6.5965918828526302</v>
      </c>
    </row>
    <row r="58" spans="1:6" x14ac:dyDescent="0.2">
      <c r="A58" s="31" t="s">
        <v>59</v>
      </c>
      <c r="B58" s="31"/>
      <c r="C58" s="32">
        <f>C54/$C$2</f>
        <v>0.27969252196890348</v>
      </c>
      <c r="D58" s="32">
        <f>D54/$C$2</f>
        <v>0.52551788174614822</v>
      </c>
      <c r="E58" s="32">
        <f>E54/$C$2</f>
        <v>0.16324318643511884</v>
      </c>
      <c r="F58" s="32">
        <f>F54/$C$2</f>
        <v>0.17573592506146907</v>
      </c>
    </row>
    <row r="59" spans="1:6" x14ac:dyDescent="0.2">
      <c r="E59" s="31"/>
    </row>
    <row r="60" spans="1:6" x14ac:dyDescent="0.2">
      <c r="A60" s="34" t="s">
        <v>462</v>
      </c>
      <c r="B60" s="35"/>
      <c r="C60" s="34" t="s">
        <v>283</v>
      </c>
      <c r="D60" s="34" t="s">
        <v>283</v>
      </c>
      <c r="E60" s="34" t="s">
        <v>283</v>
      </c>
    </row>
    <row r="61" spans="1:6" x14ac:dyDescent="0.2">
      <c r="A61" s="31" t="s">
        <v>63</v>
      </c>
      <c r="B61" s="31"/>
      <c r="C61" s="31">
        <v>1133.731</v>
      </c>
      <c r="D61" s="31">
        <v>1012.442</v>
      </c>
      <c r="E61" s="31">
        <v>925.26900000000001</v>
      </c>
    </row>
    <row r="62" spans="1:6" x14ac:dyDescent="0.2">
      <c r="A62" s="31" t="s">
        <v>62</v>
      </c>
      <c r="B62" s="31"/>
      <c r="C62" s="31">
        <f>C61-$B$5</f>
        <v>288.13900000000001</v>
      </c>
      <c r="D62" s="31">
        <f>D61-$B$5</f>
        <v>166.85000000000002</v>
      </c>
      <c r="E62" s="31">
        <f>E61-$B$5</f>
        <v>79.677000000000021</v>
      </c>
    </row>
    <row r="63" spans="1:6" x14ac:dyDescent="0.2">
      <c r="A63" s="31" t="s">
        <v>61</v>
      </c>
      <c r="B63" s="31"/>
      <c r="C63" s="31">
        <v>1.5509999999999999</v>
      </c>
      <c r="D63" s="31">
        <v>0.66900000000000004</v>
      </c>
      <c r="E63" s="31">
        <v>1.5980000000000001</v>
      </c>
    </row>
    <row r="64" spans="1:6" x14ac:dyDescent="0.2">
      <c r="A64" s="31" t="s">
        <v>60</v>
      </c>
      <c r="B64" s="31"/>
      <c r="C64" s="31">
        <f>(4+C63^2)^(1/2)</f>
        <v>2.5309288808656794</v>
      </c>
      <c r="D64" s="31">
        <f>(4+D63^2)^(1/2)</f>
        <v>2.1089241332964068</v>
      </c>
      <c r="E64" s="31">
        <f>(4+E63^2)^(1/2)</f>
        <v>2.5600007812498808</v>
      </c>
    </row>
    <row r="65" spans="1:5" x14ac:dyDescent="0.2">
      <c r="A65" s="31" t="s">
        <v>376</v>
      </c>
      <c r="B65" s="31"/>
      <c r="C65" s="31">
        <f>C64/$E$2*100</f>
        <v>6.7882439675616331</v>
      </c>
      <c r="D65" s="31">
        <f>D64/$E$2*100</f>
        <v>5.6563784285388019</v>
      </c>
      <c r="E65" s="31">
        <f>E64/$E$2*100</f>
        <v>6.8662181666395261</v>
      </c>
    </row>
    <row r="66" spans="1:5" x14ac:dyDescent="0.2">
      <c r="A66" s="31" t="s">
        <v>59</v>
      </c>
      <c r="B66" s="31"/>
      <c r="C66" s="32">
        <f>C62/$C$2</f>
        <v>0.24957673265325689</v>
      </c>
      <c r="D66" s="32">
        <f>D62/$C$2</f>
        <v>0.14452010260046683</v>
      </c>
      <c r="E66" s="32">
        <f>E62/$C$2</f>
        <v>6.9013654269687724E-2</v>
      </c>
    </row>
    <row r="67" spans="1:5" x14ac:dyDescent="0.2">
      <c r="E67" s="31"/>
    </row>
    <row r="68" spans="1:5" x14ac:dyDescent="0.2">
      <c r="A68" s="34" t="s">
        <v>461</v>
      </c>
      <c r="B68" s="35"/>
      <c r="C68" s="34" t="s">
        <v>283</v>
      </c>
      <c r="E68" s="31"/>
    </row>
    <row r="69" spans="1:5" x14ac:dyDescent="0.2">
      <c r="A69" s="31" t="s">
        <v>63</v>
      </c>
      <c r="B69" s="31"/>
      <c r="C69" s="31">
        <v>980.05799999999999</v>
      </c>
      <c r="E69" s="31"/>
    </row>
    <row r="70" spans="1:5" x14ac:dyDescent="0.2">
      <c r="A70" s="31" t="s">
        <v>62</v>
      </c>
      <c r="B70" s="31"/>
      <c r="C70" s="31">
        <f>C69-$B$5</f>
        <v>134.46600000000001</v>
      </c>
      <c r="E70" s="31"/>
    </row>
    <row r="71" spans="1:5" x14ac:dyDescent="0.2">
      <c r="A71" s="31" t="s">
        <v>61</v>
      </c>
      <c r="B71" s="31"/>
      <c r="C71" s="31">
        <v>1.649</v>
      </c>
      <c r="E71" s="31"/>
    </row>
    <row r="72" spans="1:5" x14ac:dyDescent="0.2">
      <c r="A72" s="31" t="s">
        <v>60</v>
      </c>
      <c r="B72" s="31"/>
      <c r="C72" s="31">
        <f>(9+C71^2)^(1/2)</f>
        <v>3.4233318565397659</v>
      </c>
      <c r="E72" s="31"/>
    </row>
    <row r="73" spans="1:5" x14ac:dyDescent="0.2">
      <c r="A73" s="31" t="s">
        <v>376</v>
      </c>
      <c r="B73" s="31"/>
      <c r="C73" s="31">
        <f>C72/$E$2*100</f>
        <v>9.1817719572464487</v>
      </c>
      <c r="E73" s="31"/>
    </row>
    <row r="74" spans="1:5" x14ac:dyDescent="0.2">
      <c r="A74" s="31" t="s">
        <v>59</v>
      </c>
      <c r="B74" s="31"/>
      <c r="C74" s="32">
        <f>C70/$C$2</f>
        <v>0.11647012356172834</v>
      </c>
      <c r="E74" s="31"/>
    </row>
    <row r="75" spans="1:5" x14ac:dyDescent="0.2">
      <c r="E75" s="31"/>
    </row>
    <row r="76" spans="1:5" x14ac:dyDescent="0.2">
      <c r="E76" s="31"/>
    </row>
    <row r="77" spans="1:5" x14ac:dyDescent="0.2">
      <c r="E77" s="31"/>
    </row>
    <row r="78" spans="1:5" x14ac:dyDescent="0.2">
      <c r="E78" s="31"/>
    </row>
    <row r="79" spans="1:5" x14ac:dyDescent="0.2">
      <c r="E79" s="31"/>
    </row>
    <row r="80" spans="1:5" x14ac:dyDescent="0.2">
      <c r="E80" s="31"/>
    </row>
    <row r="81" spans="5:5" x14ac:dyDescent="0.2">
      <c r="E81" s="31"/>
    </row>
    <row r="82" spans="5:5" x14ac:dyDescent="0.2">
      <c r="E82" s="31"/>
    </row>
    <row r="83" spans="5:5" x14ac:dyDescent="0.2">
      <c r="E83" s="31"/>
    </row>
    <row r="84" spans="5:5" x14ac:dyDescent="0.2">
      <c r="E84" s="31"/>
    </row>
    <row r="85" spans="5:5" x14ac:dyDescent="0.2">
      <c r="E85" s="31"/>
    </row>
    <row r="86" spans="5:5" x14ac:dyDescent="0.2">
      <c r="E86" s="31"/>
    </row>
    <row r="87" spans="5:5" x14ac:dyDescent="0.2">
      <c r="E87" s="31"/>
    </row>
    <row r="88" spans="5:5" x14ac:dyDescent="0.2">
      <c r="E88" s="31"/>
    </row>
    <row r="89" spans="5:5" x14ac:dyDescent="0.2">
      <c r="E89" s="31"/>
    </row>
    <row r="90" spans="5:5" x14ac:dyDescent="0.2">
      <c r="E90" s="31"/>
    </row>
    <row r="91" spans="5:5" x14ac:dyDescent="0.2">
      <c r="E91" s="31"/>
    </row>
    <row r="92" spans="5:5" x14ac:dyDescent="0.2">
      <c r="E92" s="31"/>
    </row>
    <row r="93" spans="5:5" x14ac:dyDescent="0.2">
      <c r="E93" s="31"/>
    </row>
    <row r="94" spans="5:5" x14ac:dyDescent="0.2">
      <c r="E94" s="31"/>
    </row>
    <row r="95" spans="5:5" x14ac:dyDescent="0.2">
      <c r="E95" s="31"/>
    </row>
    <row r="96" spans="5:5" x14ac:dyDescent="0.2">
      <c r="E96" s="31"/>
    </row>
    <row r="97" spans="5:5" x14ac:dyDescent="0.2">
      <c r="E97" s="31"/>
    </row>
    <row r="98" spans="5:5" x14ac:dyDescent="0.2">
      <c r="E98" s="31"/>
    </row>
    <row r="99" spans="5:5" x14ac:dyDescent="0.2">
      <c r="E99" s="31"/>
    </row>
    <row r="100" spans="5:5" x14ac:dyDescent="0.2">
      <c r="E100" s="31"/>
    </row>
    <row r="101" spans="5:5" x14ac:dyDescent="0.2">
      <c r="E101" s="31"/>
    </row>
    <row r="102" spans="5:5" x14ac:dyDescent="0.2">
      <c r="E102" s="31"/>
    </row>
    <row r="103" spans="5:5" x14ac:dyDescent="0.2">
      <c r="E103" s="31"/>
    </row>
    <row r="104" spans="5:5" x14ac:dyDescent="0.2">
      <c r="E104" s="31"/>
    </row>
    <row r="105" spans="5:5" x14ac:dyDescent="0.2">
      <c r="E105" s="31"/>
    </row>
    <row r="106" spans="5:5" x14ac:dyDescent="0.2">
      <c r="E106" s="31"/>
    </row>
    <row r="107" spans="5:5" x14ac:dyDescent="0.2">
      <c r="E107" s="31"/>
    </row>
    <row r="108" spans="5:5" x14ac:dyDescent="0.2">
      <c r="E108" s="31"/>
    </row>
    <row r="109" spans="5:5" x14ac:dyDescent="0.2">
      <c r="E109" s="31"/>
    </row>
    <row r="110" spans="5:5" x14ac:dyDescent="0.2">
      <c r="E110" s="31"/>
    </row>
    <row r="111" spans="5:5" x14ac:dyDescent="0.2">
      <c r="E111" s="31"/>
    </row>
    <row r="112" spans="5:5" x14ac:dyDescent="0.2">
      <c r="E112" s="31"/>
    </row>
    <row r="113" spans="5:5" x14ac:dyDescent="0.2">
      <c r="E113" s="31"/>
    </row>
    <row r="114" spans="5:5" x14ac:dyDescent="0.2">
      <c r="E114" s="31"/>
    </row>
    <row r="115" spans="5:5" x14ac:dyDescent="0.2">
      <c r="E115" s="31"/>
    </row>
    <row r="116" spans="5:5" x14ac:dyDescent="0.2">
      <c r="E116" s="31"/>
    </row>
    <row r="117" spans="5:5" x14ac:dyDescent="0.2">
      <c r="E117" s="31"/>
    </row>
    <row r="118" spans="5:5" x14ac:dyDescent="0.2">
      <c r="E118" s="31"/>
    </row>
    <row r="119" spans="5:5" x14ac:dyDescent="0.2">
      <c r="E119" s="31"/>
    </row>
    <row r="120" spans="5:5" x14ac:dyDescent="0.2">
      <c r="E120" s="31"/>
    </row>
    <row r="121" spans="5:5" x14ac:dyDescent="0.2">
      <c r="E121" s="31"/>
    </row>
    <row r="122" spans="5:5" x14ac:dyDescent="0.2">
      <c r="E122" s="31"/>
    </row>
    <row r="123" spans="5:5" x14ac:dyDescent="0.2">
      <c r="E123" s="31"/>
    </row>
    <row r="124" spans="5:5" x14ac:dyDescent="0.2">
      <c r="E124" s="31"/>
    </row>
    <row r="125" spans="5:5" x14ac:dyDescent="0.2">
      <c r="E125" s="31"/>
    </row>
    <row r="126" spans="5:5" x14ac:dyDescent="0.2">
      <c r="E126" s="31"/>
    </row>
    <row r="127" spans="5:5" x14ac:dyDescent="0.2">
      <c r="E127" s="31"/>
    </row>
    <row r="128" spans="5:5" x14ac:dyDescent="0.2">
      <c r="E128" s="31"/>
    </row>
    <row r="129" spans="5:5" x14ac:dyDescent="0.2">
      <c r="E129" s="31"/>
    </row>
    <row r="130" spans="5:5" x14ac:dyDescent="0.2">
      <c r="E130" s="31"/>
    </row>
    <row r="131" spans="5:5" x14ac:dyDescent="0.2">
      <c r="E131" s="31"/>
    </row>
    <row r="132" spans="5:5" x14ac:dyDescent="0.2">
      <c r="E132" s="31"/>
    </row>
    <row r="133" spans="5:5" x14ac:dyDescent="0.2">
      <c r="E133" s="31"/>
    </row>
    <row r="134" spans="5:5" x14ac:dyDescent="0.2">
      <c r="E134" s="31"/>
    </row>
    <row r="135" spans="5:5" x14ac:dyDescent="0.2">
      <c r="E135" s="31"/>
    </row>
    <row r="136" spans="5:5" x14ac:dyDescent="0.2">
      <c r="E136" s="31"/>
    </row>
    <row r="137" spans="5:5" x14ac:dyDescent="0.2">
      <c r="E137" s="31"/>
    </row>
    <row r="138" spans="5:5" x14ac:dyDescent="0.2">
      <c r="E138" s="31"/>
    </row>
    <row r="139" spans="5:5" x14ac:dyDescent="0.2">
      <c r="E139" s="31"/>
    </row>
    <row r="140" spans="5:5" x14ac:dyDescent="0.2">
      <c r="E140" s="31"/>
    </row>
    <row r="141" spans="5:5" x14ac:dyDescent="0.2">
      <c r="E141" s="31"/>
    </row>
    <row r="142" spans="5:5" x14ac:dyDescent="0.2">
      <c r="E142" s="31"/>
    </row>
    <row r="143" spans="5:5" x14ac:dyDescent="0.2">
      <c r="E143" s="31"/>
    </row>
    <row r="144" spans="5:5" x14ac:dyDescent="0.2">
      <c r="E144" s="31"/>
    </row>
    <row r="145" spans="5:5" x14ac:dyDescent="0.2">
      <c r="E145" s="31"/>
    </row>
    <row r="146" spans="5:5" x14ac:dyDescent="0.2">
      <c r="E146" s="31"/>
    </row>
    <row r="147" spans="5:5" x14ac:dyDescent="0.2">
      <c r="E147" s="31"/>
    </row>
    <row r="148" spans="5:5" x14ac:dyDescent="0.2">
      <c r="E148" s="31"/>
    </row>
    <row r="149" spans="5:5" x14ac:dyDescent="0.2">
      <c r="E149" s="31"/>
    </row>
    <row r="150" spans="5:5" x14ac:dyDescent="0.2">
      <c r="E150" s="31"/>
    </row>
    <row r="151" spans="5:5" x14ac:dyDescent="0.2">
      <c r="E151" s="31"/>
    </row>
    <row r="152" spans="5:5" x14ac:dyDescent="0.2">
      <c r="E152" s="31"/>
    </row>
    <row r="153" spans="5:5" x14ac:dyDescent="0.2">
      <c r="E153" s="31"/>
    </row>
    <row r="154" spans="5:5" x14ac:dyDescent="0.2">
      <c r="E154" s="31"/>
    </row>
    <row r="155" spans="5:5" x14ac:dyDescent="0.2">
      <c r="E155" s="31"/>
    </row>
    <row r="156" spans="5:5" x14ac:dyDescent="0.2">
      <c r="E156" s="31"/>
    </row>
    <row r="157" spans="5:5" x14ac:dyDescent="0.2">
      <c r="E157" s="31"/>
    </row>
    <row r="158" spans="5:5" x14ac:dyDescent="0.2">
      <c r="E158" s="31"/>
    </row>
    <row r="159" spans="5:5" x14ac:dyDescent="0.2">
      <c r="E159" s="31"/>
    </row>
    <row r="160" spans="5:5" x14ac:dyDescent="0.2">
      <c r="E160" s="31"/>
    </row>
    <row r="161" spans="5:5" x14ac:dyDescent="0.2">
      <c r="E161" s="31"/>
    </row>
    <row r="162" spans="5:5" x14ac:dyDescent="0.2">
      <c r="E162" s="31"/>
    </row>
    <row r="163" spans="5:5" x14ac:dyDescent="0.2">
      <c r="E163" s="31"/>
    </row>
    <row r="164" spans="5:5" x14ac:dyDescent="0.2">
      <c r="E164" s="31"/>
    </row>
    <row r="165" spans="5:5" x14ac:dyDescent="0.2">
      <c r="E165" s="31"/>
    </row>
    <row r="166" spans="5:5" x14ac:dyDescent="0.2">
      <c r="E166" s="31"/>
    </row>
    <row r="167" spans="5:5" x14ac:dyDescent="0.2">
      <c r="E167" s="31"/>
    </row>
    <row r="168" spans="5:5" x14ac:dyDescent="0.2">
      <c r="E168" s="31"/>
    </row>
    <row r="169" spans="5:5" x14ac:dyDescent="0.2">
      <c r="E169" s="31"/>
    </row>
    <row r="170" spans="5:5" x14ac:dyDescent="0.2">
      <c r="E170" s="31"/>
    </row>
    <row r="171" spans="5:5" x14ac:dyDescent="0.2">
      <c r="E171" s="31"/>
    </row>
    <row r="172" spans="5:5" x14ac:dyDescent="0.2">
      <c r="E172" s="31"/>
    </row>
    <row r="173" spans="5:5" x14ac:dyDescent="0.2">
      <c r="E173" s="31"/>
    </row>
    <row r="174" spans="5:5" x14ac:dyDescent="0.2">
      <c r="E174" s="31"/>
    </row>
    <row r="175" spans="5:5" x14ac:dyDescent="0.2">
      <c r="E175" s="31"/>
    </row>
    <row r="176" spans="5:5" x14ac:dyDescent="0.2">
      <c r="E176" s="31"/>
    </row>
    <row r="177" spans="5:5" x14ac:dyDescent="0.2">
      <c r="E177" s="31"/>
    </row>
    <row r="178" spans="5:5" x14ac:dyDescent="0.2">
      <c r="E178" s="31"/>
    </row>
    <row r="179" spans="5:5" x14ac:dyDescent="0.2">
      <c r="E179" s="31"/>
    </row>
    <row r="180" spans="5:5" x14ac:dyDescent="0.2">
      <c r="E180" s="31"/>
    </row>
    <row r="181" spans="5:5" x14ac:dyDescent="0.2">
      <c r="E181" s="31"/>
    </row>
    <row r="182" spans="5:5" x14ac:dyDescent="0.2">
      <c r="E182" s="31"/>
    </row>
    <row r="183" spans="5:5" x14ac:dyDescent="0.2">
      <c r="E183" s="31"/>
    </row>
    <row r="184" spans="5:5" x14ac:dyDescent="0.2">
      <c r="E184" s="31"/>
    </row>
    <row r="185" spans="5:5" x14ac:dyDescent="0.2">
      <c r="E185" s="31"/>
    </row>
    <row r="186" spans="5:5" x14ac:dyDescent="0.2">
      <c r="E186" s="31"/>
    </row>
    <row r="187" spans="5:5" x14ac:dyDescent="0.2">
      <c r="E187" s="31"/>
    </row>
    <row r="188" spans="5:5" x14ac:dyDescent="0.2">
      <c r="E188" s="31"/>
    </row>
    <row r="189" spans="5:5" x14ac:dyDescent="0.2">
      <c r="E189" s="31"/>
    </row>
    <row r="190" spans="5:5" x14ac:dyDescent="0.2">
      <c r="E190" s="31"/>
    </row>
    <row r="191" spans="5:5" x14ac:dyDescent="0.2">
      <c r="E191" s="31"/>
    </row>
    <row r="192" spans="5:5" x14ac:dyDescent="0.2">
      <c r="E192" s="31"/>
    </row>
    <row r="193" spans="5:5" x14ac:dyDescent="0.2">
      <c r="E193" s="31"/>
    </row>
    <row r="194" spans="5:5" x14ac:dyDescent="0.2">
      <c r="E194" s="31"/>
    </row>
    <row r="195" spans="5:5" x14ac:dyDescent="0.2">
      <c r="E195" s="31"/>
    </row>
    <row r="196" spans="5:5" x14ac:dyDescent="0.2">
      <c r="E196" s="31"/>
    </row>
    <row r="197" spans="5:5" x14ac:dyDescent="0.2">
      <c r="E197" s="31"/>
    </row>
    <row r="198" spans="5:5" x14ac:dyDescent="0.2">
      <c r="E198" s="31"/>
    </row>
    <row r="199" spans="5:5" x14ac:dyDescent="0.2">
      <c r="E199" s="31"/>
    </row>
    <row r="200" spans="5:5" x14ac:dyDescent="0.2">
      <c r="E200" s="31"/>
    </row>
    <row r="201" spans="5:5" x14ac:dyDescent="0.2">
      <c r="E201" s="31"/>
    </row>
    <row r="202" spans="5:5" x14ac:dyDescent="0.2">
      <c r="E202" s="31"/>
    </row>
    <row r="203" spans="5:5" x14ac:dyDescent="0.2">
      <c r="E203" s="31"/>
    </row>
    <row r="204" spans="5:5" x14ac:dyDescent="0.2">
      <c r="E204" s="31"/>
    </row>
    <row r="205" spans="5:5" x14ac:dyDescent="0.2">
      <c r="E205" s="31"/>
    </row>
    <row r="206" spans="5:5" x14ac:dyDescent="0.2">
      <c r="E206" s="31"/>
    </row>
    <row r="207" spans="5:5" x14ac:dyDescent="0.2">
      <c r="E207" s="31"/>
    </row>
    <row r="208" spans="5:5" x14ac:dyDescent="0.2">
      <c r="E208" s="31"/>
    </row>
    <row r="209" spans="5:5" x14ac:dyDescent="0.2">
      <c r="E209" s="31"/>
    </row>
    <row r="210" spans="5:5" x14ac:dyDescent="0.2">
      <c r="E210" s="31"/>
    </row>
    <row r="211" spans="5:5" x14ac:dyDescent="0.2">
      <c r="E211" s="31"/>
    </row>
    <row r="212" spans="5:5" x14ac:dyDescent="0.2">
      <c r="E212" s="31"/>
    </row>
    <row r="213" spans="5:5" x14ac:dyDescent="0.2">
      <c r="E213" s="31"/>
    </row>
    <row r="214" spans="5:5" x14ac:dyDescent="0.2">
      <c r="E214" s="31"/>
    </row>
    <row r="215" spans="5:5" x14ac:dyDescent="0.2">
      <c r="E215" s="31"/>
    </row>
    <row r="216" spans="5:5" x14ac:dyDescent="0.2">
      <c r="E216" s="31"/>
    </row>
    <row r="217" spans="5:5" x14ac:dyDescent="0.2">
      <c r="E217" s="31"/>
    </row>
    <row r="218" spans="5:5" x14ac:dyDescent="0.2">
      <c r="E218" s="31"/>
    </row>
    <row r="219" spans="5:5" x14ac:dyDescent="0.2">
      <c r="E219" s="31"/>
    </row>
    <row r="220" spans="5:5" x14ac:dyDescent="0.2">
      <c r="E220" s="31"/>
    </row>
    <row r="221" spans="5:5" x14ac:dyDescent="0.2">
      <c r="E221" s="31"/>
    </row>
    <row r="222" spans="5:5" x14ac:dyDescent="0.2">
      <c r="E222" s="31"/>
    </row>
    <row r="223" spans="5:5" x14ac:dyDescent="0.2">
      <c r="E223" s="31"/>
    </row>
    <row r="224" spans="5:5" x14ac:dyDescent="0.2">
      <c r="E224" s="31"/>
    </row>
    <row r="225" spans="5:5" x14ac:dyDescent="0.2">
      <c r="E225" s="31"/>
    </row>
    <row r="226" spans="5:5" x14ac:dyDescent="0.2">
      <c r="E226" s="31"/>
    </row>
    <row r="227" spans="5:5" x14ac:dyDescent="0.2">
      <c r="E227" s="31"/>
    </row>
    <row r="228" spans="5:5" x14ac:dyDescent="0.2">
      <c r="E228" s="31"/>
    </row>
    <row r="229" spans="5:5" x14ac:dyDescent="0.2">
      <c r="E229" s="31"/>
    </row>
    <row r="230" spans="5:5" x14ac:dyDescent="0.2">
      <c r="E230" s="31"/>
    </row>
    <row r="231" spans="5:5" x14ac:dyDescent="0.2">
      <c r="E231" s="31"/>
    </row>
    <row r="232" spans="5:5" x14ac:dyDescent="0.2">
      <c r="E232" s="31"/>
    </row>
    <row r="233" spans="5:5" x14ac:dyDescent="0.2">
      <c r="E233" s="31"/>
    </row>
    <row r="234" spans="5:5" x14ac:dyDescent="0.2">
      <c r="E234" s="31"/>
    </row>
    <row r="235" spans="5:5" x14ac:dyDescent="0.2">
      <c r="E235" s="31"/>
    </row>
    <row r="236" spans="5:5" x14ac:dyDescent="0.2">
      <c r="E236" s="31"/>
    </row>
    <row r="237" spans="5:5" x14ac:dyDescent="0.2">
      <c r="E237" s="31"/>
    </row>
    <row r="238" spans="5:5" x14ac:dyDescent="0.2">
      <c r="E238" s="31"/>
    </row>
    <row r="239" spans="5:5" x14ac:dyDescent="0.2">
      <c r="E239" s="31"/>
    </row>
    <row r="240" spans="5:5" x14ac:dyDescent="0.2">
      <c r="E240" s="31"/>
    </row>
    <row r="241" spans="5:5" x14ac:dyDescent="0.2">
      <c r="E241" s="31"/>
    </row>
    <row r="242" spans="5:5" x14ac:dyDescent="0.2">
      <c r="E242" s="31"/>
    </row>
    <row r="243" spans="5:5" x14ac:dyDescent="0.2">
      <c r="E243" s="31"/>
    </row>
    <row r="244" spans="5:5" x14ac:dyDescent="0.2">
      <c r="E244" s="31"/>
    </row>
    <row r="245" spans="5:5" x14ac:dyDescent="0.2">
      <c r="E245" s="31"/>
    </row>
    <row r="246" spans="5:5" x14ac:dyDescent="0.2">
      <c r="E246" s="31"/>
    </row>
    <row r="247" spans="5:5" x14ac:dyDescent="0.2">
      <c r="E247" s="31"/>
    </row>
    <row r="248" spans="5:5" x14ac:dyDescent="0.2">
      <c r="E248" s="31"/>
    </row>
    <row r="249" spans="5:5" x14ac:dyDescent="0.2">
      <c r="E249" s="31"/>
    </row>
    <row r="250" spans="5:5" x14ac:dyDescent="0.2">
      <c r="E250" s="31"/>
    </row>
    <row r="251" spans="5:5" x14ac:dyDescent="0.2">
      <c r="E251" s="31"/>
    </row>
    <row r="252" spans="5:5" x14ac:dyDescent="0.2">
      <c r="E252" s="31"/>
    </row>
    <row r="253" spans="5:5" x14ac:dyDescent="0.2">
      <c r="E253" s="31"/>
    </row>
    <row r="254" spans="5:5" x14ac:dyDescent="0.2">
      <c r="E254" s="31"/>
    </row>
    <row r="255" spans="5:5" x14ac:dyDescent="0.2">
      <c r="E255" s="31"/>
    </row>
    <row r="256" spans="5:5" x14ac:dyDescent="0.2">
      <c r="E256" s="31"/>
    </row>
    <row r="257" spans="5:5" x14ac:dyDescent="0.2">
      <c r="E257" s="31"/>
    </row>
    <row r="258" spans="5:5" x14ac:dyDescent="0.2">
      <c r="E258" s="31"/>
    </row>
    <row r="259" spans="5:5" x14ac:dyDescent="0.2">
      <c r="E259" s="31"/>
    </row>
    <row r="260" spans="5:5" x14ac:dyDescent="0.2">
      <c r="E260" s="31"/>
    </row>
    <row r="261" spans="5:5" x14ac:dyDescent="0.2">
      <c r="E261" s="31"/>
    </row>
    <row r="262" spans="5:5" x14ac:dyDescent="0.2">
      <c r="E262" s="31"/>
    </row>
    <row r="263" spans="5:5" x14ac:dyDescent="0.2">
      <c r="E263" s="31"/>
    </row>
    <row r="264" spans="5:5" x14ac:dyDescent="0.2">
      <c r="E264" s="31"/>
    </row>
    <row r="265" spans="5:5" x14ac:dyDescent="0.2">
      <c r="E265" s="31"/>
    </row>
    <row r="266" spans="5:5" x14ac:dyDescent="0.2">
      <c r="E266" s="31"/>
    </row>
    <row r="267" spans="5:5" x14ac:dyDescent="0.2">
      <c r="E267" s="31"/>
    </row>
    <row r="268" spans="5:5" x14ac:dyDescent="0.2">
      <c r="E268" s="31"/>
    </row>
    <row r="269" spans="5:5" x14ac:dyDescent="0.2">
      <c r="E269" s="31"/>
    </row>
    <row r="270" spans="5:5" x14ac:dyDescent="0.2">
      <c r="E270" s="31"/>
    </row>
    <row r="271" spans="5:5" x14ac:dyDescent="0.2">
      <c r="E271" s="31"/>
    </row>
    <row r="272" spans="5:5" x14ac:dyDescent="0.2">
      <c r="E272" s="31"/>
    </row>
    <row r="273" spans="5:5" x14ac:dyDescent="0.2">
      <c r="E273" s="31"/>
    </row>
    <row r="274" spans="5:5" x14ac:dyDescent="0.2">
      <c r="E274" s="31"/>
    </row>
    <row r="275" spans="5:5" x14ac:dyDescent="0.2">
      <c r="E275" s="31"/>
    </row>
    <row r="276" spans="5:5" x14ac:dyDescent="0.2">
      <c r="E276" s="31"/>
    </row>
    <row r="277" spans="5:5" x14ac:dyDescent="0.2">
      <c r="E277" s="31"/>
    </row>
    <row r="278" spans="5:5" x14ac:dyDescent="0.2">
      <c r="E278" s="31"/>
    </row>
    <row r="279" spans="5:5" x14ac:dyDescent="0.2">
      <c r="E279" s="31"/>
    </row>
    <row r="280" spans="5:5" x14ac:dyDescent="0.2">
      <c r="E280" s="31"/>
    </row>
    <row r="281" spans="5:5" x14ac:dyDescent="0.2">
      <c r="E281" s="31"/>
    </row>
    <row r="282" spans="5:5" x14ac:dyDescent="0.2">
      <c r="E282" s="31"/>
    </row>
    <row r="283" spans="5:5" x14ac:dyDescent="0.2">
      <c r="E283" s="31"/>
    </row>
    <row r="284" spans="5:5" x14ac:dyDescent="0.2">
      <c r="E284" s="31"/>
    </row>
    <row r="285" spans="5:5" x14ac:dyDescent="0.2">
      <c r="E285" s="31"/>
    </row>
    <row r="286" spans="5:5" x14ac:dyDescent="0.2">
      <c r="E286" s="31"/>
    </row>
    <row r="287" spans="5:5" x14ac:dyDescent="0.2">
      <c r="E287" s="31"/>
    </row>
    <row r="288" spans="5:5" x14ac:dyDescent="0.2">
      <c r="E288" s="31"/>
    </row>
    <row r="289" spans="5:5" x14ac:dyDescent="0.2">
      <c r="E289" s="31"/>
    </row>
    <row r="290" spans="5:5" x14ac:dyDescent="0.2">
      <c r="E290" s="31"/>
    </row>
    <row r="291" spans="5:5" x14ac:dyDescent="0.2">
      <c r="E291" s="31"/>
    </row>
    <row r="292" spans="5:5" x14ac:dyDescent="0.2">
      <c r="E292" s="31"/>
    </row>
    <row r="293" spans="5:5" x14ac:dyDescent="0.2">
      <c r="E293" s="31"/>
    </row>
    <row r="294" spans="5:5" x14ac:dyDescent="0.2">
      <c r="E294" s="31"/>
    </row>
    <row r="295" spans="5:5" x14ac:dyDescent="0.2">
      <c r="E295" s="31"/>
    </row>
    <row r="296" spans="5:5" x14ac:dyDescent="0.2">
      <c r="E296" s="31"/>
    </row>
    <row r="297" spans="5:5" x14ac:dyDescent="0.2">
      <c r="E297" s="31"/>
    </row>
    <row r="298" spans="5:5" x14ac:dyDescent="0.2">
      <c r="E298" s="31"/>
    </row>
    <row r="299" spans="5:5" x14ac:dyDescent="0.2">
      <c r="E299" s="31"/>
    </row>
    <row r="300" spans="5:5" x14ac:dyDescent="0.2">
      <c r="E300" s="31"/>
    </row>
    <row r="301" spans="5:5" x14ac:dyDescent="0.2">
      <c r="E301" s="31"/>
    </row>
    <row r="302" spans="5:5" x14ac:dyDescent="0.2">
      <c r="E302" s="31"/>
    </row>
    <row r="303" spans="5:5" x14ac:dyDescent="0.2">
      <c r="E303" s="31"/>
    </row>
    <row r="304" spans="5:5" x14ac:dyDescent="0.2">
      <c r="E304" s="31"/>
    </row>
    <row r="305" spans="5:5" x14ac:dyDescent="0.2">
      <c r="E305" s="31"/>
    </row>
    <row r="306" spans="5:5" x14ac:dyDescent="0.2">
      <c r="E306" s="31"/>
    </row>
    <row r="307" spans="5:5" x14ac:dyDescent="0.2">
      <c r="E307" s="31"/>
    </row>
    <row r="308" spans="5:5" x14ac:dyDescent="0.2">
      <c r="E308" s="31"/>
    </row>
    <row r="309" spans="5:5" x14ac:dyDescent="0.2">
      <c r="E309" s="31"/>
    </row>
    <row r="310" spans="5:5" x14ac:dyDescent="0.2">
      <c r="E310" s="31"/>
    </row>
    <row r="311" spans="5:5" x14ac:dyDescent="0.2">
      <c r="E311" s="31"/>
    </row>
    <row r="312" spans="5:5" x14ac:dyDescent="0.2">
      <c r="E312" s="31"/>
    </row>
    <row r="313" spans="5:5" x14ac:dyDescent="0.2">
      <c r="E313" s="31"/>
    </row>
    <row r="314" spans="5:5" x14ac:dyDescent="0.2">
      <c r="E314" s="31"/>
    </row>
    <row r="315" spans="5:5" x14ac:dyDescent="0.2">
      <c r="E315" s="31"/>
    </row>
    <row r="316" spans="5:5" x14ac:dyDescent="0.2">
      <c r="E316" s="31"/>
    </row>
    <row r="317" spans="5:5" x14ac:dyDescent="0.2">
      <c r="E317" s="31"/>
    </row>
    <row r="318" spans="5:5" x14ac:dyDescent="0.2">
      <c r="E318" s="31"/>
    </row>
    <row r="319" spans="5:5" x14ac:dyDescent="0.2">
      <c r="E319" s="31"/>
    </row>
    <row r="320" spans="5:5" x14ac:dyDescent="0.2">
      <c r="E320" s="31"/>
    </row>
    <row r="321" spans="5:5" x14ac:dyDescent="0.2">
      <c r="E321" s="31"/>
    </row>
    <row r="322" spans="5:5" x14ac:dyDescent="0.2">
      <c r="E322" s="31"/>
    </row>
    <row r="323" spans="5:5" x14ac:dyDescent="0.2">
      <c r="E323" s="31"/>
    </row>
    <row r="324" spans="5:5" x14ac:dyDescent="0.2">
      <c r="E324" s="31"/>
    </row>
    <row r="325" spans="5:5" x14ac:dyDescent="0.2">
      <c r="E325" s="31"/>
    </row>
    <row r="326" spans="5:5" x14ac:dyDescent="0.2">
      <c r="E326" s="31"/>
    </row>
    <row r="327" spans="5:5" x14ac:dyDescent="0.2">
      <c r="E327" s="31"/>
    </row>
    <row r="328" spans="5:5" x14ac:dyDescent="0.2">
      <c r="E328" s="31"/>
    </row>
    <row r="329" spans="5:5" x14ac:dyDescent="0.2">
      <c r="E329" s="31"/>
    </row>
    <row r="330" spans="5:5" x14ac:dyDescent="0.2">
      <c r="E330" s="31"/>
    </row>
    <row r="331" spans="5:5" x14ac:dyDescent="0.2">
      <c r="E331" s="31"/>
    </row>
    <row r="332" spans="5:5" x14ac:dyDescent="0.2">
      <c r="E332" s="31"/>
    </row>
    <row r="333" spans="5:5" x14ac:dyDescent="0.2">
      <c r="E333" s="31"/>
    </row>
    <row r="334" spans="5:5" x14ac:dyDescent="0.2">
      <c r="E334" s="31"/>
    </row>
    <row r="335" spans="5:5" x14ac:dyDescent="0.2">
      <c r="E335" s="31"/>
    </row>
    <row r="336" spans="5:5" x14ac:dyDescent="0.2">
      <c r="E336" s="31"/>
    </row>
    <row r="337" spans="5:5" x14ac:dyDescent="0.2">
      <c r="E337" s="31"/>
    </row>
    <row r="338" spans="5:5" x14ac:dyDescent="0.2">
      <c r="E338" s="31"/>
    </row>
    <row r="339" spans="5:5" x14ac:dyDescent="0.2">
      <c r="E339" s="31"/>
    </row>
    <row r="340" spans="5:5" x14ac:dyDescent="0.2">
      <c r="E340" s="31"/>
    </row>
    <row r="341" spans="5:5" x14ac:dyDescent="0.2">
      <c r="E341" s="31"/>
    </row>
    <row r="342" spans="5:5" x14ac:dyDescent="0.2">
      <c r="E342" s="31"/>
    </row>
    <row r="343" spans="5:5" x14ac:dyDescent="0.2">
      <c r="E343" s="31"/>
    </row>
    <row r="344" spans="5:5" x14ac:dyDescent="0.2">
      <c r="E344" s="31"/>
    </row>
    <row r="345" spans="5:5" x14ac:dyDescent="0.2">
      <c r="E345" s="31"/>
    </row>
    <row r="346" spans="5:5" x14ac:dyDescent="0.2">
      <c r="E346" s="31"/>
    </row>
    <row r="347" spans="5:5" x14ac:dyDescent="0.2">
      <c r="E347" s="31"/>
    </row>
    <row r="348" spans="5:5" x14ac:dyDescent="0.2">
      <c r="E348" s="31"/>
    </row>
    <row r="349" spans="5:5" x14ac:dyDescent="0.2">
      <c r="E349" s="31"/>
    </row>
    <row r="350" spans="5:5" x14ac:dyDescent="0.2">
      <c r="E350" s="31"/>
    </row>
    <row r="351" spans="5:5" x14ac:dyDescent="0.2">
      <c r="E351" s="31"/>
    </row>
    <row r="352" spans="5:5" x14ac:dyDescent="0.2">
      <c r="E352" s="31"/>
    </row>
    <row r="353" spans="5:5" x14ac:dyDescent="0.2">
      <c r="E353" s="31"/>
    </row>
    <row r="354" spans="5:5" x14ac:dyDescent="0.2">
      <c r="E354" s="31"/>
    </row>
    <row r="355" spans="5:5" x14ac:dyDescent="0.2">
      <c r="E355" s="31"/>
    </row>
    <row r="356" spans="5:5" x14ac:dyDescent="0.2">
      <c r="E356" s="31"/>
    </row>
    <row r="357" spans="5:5" x14ac:dyDescent="0.2">
      <c r="E357" s="31"/>
    </row>
    <row r="358" spans="5:5" x14ac:dyDescent="0.2">
      <c r="E358" s="31"/>
    </row>
    <row r="359" spans="5:5" x14ac:dyDescent="0.2">
      <c r="E359" s="31"/>
    </row>
    <row r="360" spans="5:5" x14ac:dyDescent="0.2">
      <c r="E360" s="31"/>
    </row>
    <row r="361" spans="5:5" x14ac:dyDescent="0.2">
      <c r="E361" s="31"/>
    </row>
    <row r="362" spans="5:5" x14ac:dyDescent="0.2">
      <c r="E362" s="31"/>
    </row>
    <row r="363" spans="5:5" x14ac:dyDescent="0.2">
      <c r="E363" s="31"/>
    </row>
    <row r="364" spans="5:5" x14ac:dyDescent="0.2">
      <c r="E364" s="31"/>
    </row>
    <row r="365" spans="5:5" x14ac:dyDescent="0.2">
      <c r="E365" s="31"/>
    </row>
    <row r="366" spans="5:5" x14ac:dyDescent="0.2">
      <c r="E366" s="31"/>
    </row>
    <row r="367" spans="5:5" x14ac:dyDescent="0.2">
      <c r="E367" s="31"/>
    </row>
    <row r="368" spans="5:5" x14ac:dyDescent="0.2">
      <c r="E368" s="31"/>
    </row>
    <row r="369" spans="5:5" x14ac:dyDescent="0.2">
      <c r="E369" s="31"/>
    </row>
    <row r="370" spans="5:5" x14ac:dyDescent="0.2">
      <c r="E370" s="31"/>
    </row>
    <row r="371" spans="5:5" x14ac:dyDescent="0.2">
      <c r="E371" s="31"/>
    </row>
    <row r="372" spans="5:5" x14ac:dyDescent="0.2">
      <c r="E372" s="31"/>
    </row>
    <row r="373" spans="5:5" x14ac:dyDescent="0.2">
      <c r="E373" s="31"/>
    </row>
    <row r="374" spans="5:5" x14ac:dyDescent="0.2">
      <c r="E374" s="31"/>
    </row>
    <row r="375" spans="5:5" x14ac:dyDescent="0.2">
      <c r="E375" s="31"/>
    </row>
    <row r="376" spans="5:5" x14ac:dyDescent="0.2">
      <c r="E376" s="31"/>
    </row>
    <row r="377" spans="5:5" x14ac:dyDescent="0.2">
      <c r="E377" s="31"/>
    </row>
    <row r="378" spans="5:5" x14ac:dyDescent="0.2">
      <c r="E378" s="31"/>
    </row>
    <row r="379" spans="5:5" x14ac:dyDescent="0.2">
      <c r="E379" s="31"/>
    </row>
    <row r="380" spans="5:5" x14ac:dyDescent="0.2">
      <c r="E380" s="31"/>
    </row>
    <row r="381" spans="5:5" x14ac:dyDescent="0.2">
      <c r="E381" s="31"/>
    </row>
    <row r="382" spans="5:5" x14ac:dyDescent="0.2">
      <c r="E382" s="31"/>
    </row>
    <row r="383" spans="5:5" x14ac:dyDescent="0.2">
      <c r="E383" s="31"/>
    </row>
    <row r="384" spans="5:5" x14ac:dyDescent="0.2">
      <c r="E384" s="31"/>
    </row>
    <row r="385" spans="5:5" x14ac:dyDescent="0.2">
      <c r="E385" s="31"/>
    </row>
    <row r="386" spans="5:5" x14ac:dyDescent="0.2">
      <c r="E386" s="31"/>
    </row>
    <row r="387" spans="5:5" x14ac:dyDescent="0.2">
      <c r="E387" s="31"/>
    </row>
    <row r="388" spans="5:5" x14ac:dyDescent="0.2">
      <c r="E388" s="31"/>
    </row>
    <row r="389" spans="5:5" x14ac:dyDescent="0.2">
      <c r="E389" s="31"/>
    </row>
    <row r="390" spans="5:5" x14ac:dyDescent="0.2">
      <c r="E390" s="31"/>
    </row>
    <row r="391" spans="5:5" x14ac:dyDescent="0.2">
      <c r="E391" s="31"/>
    </row>
    <row r="392" spans="5:5" x14ac:dyDescent="0.2">
      <c r="E392" s="31"/>
    </row>
    <row r="393" spans="5:5" x14ac:dyDescent="0.2">
      <c r="E393" s="31"/>
    </row>
    <row r="394" spans="5:5" x14ac:dyDescent="0.2">
      <c r="E394" s="31"/>
    </row>
    <row r="395" spans="5:5" x14ac:dyDescent="0.2">
      <c r="E395" s="31"/>
    </row>
    <row r="396" spans="5:5" x14ac:dyDescent="0.2">
      <c r="E396" s="31"/>
    </row>
    <row r="397" spans="5:5" x14ac:dyDescent="0.2">
      <c r="E397" s="31"/>
    </row>
    <row r="398" spans="5:5" x14ac:dyDescent="0.2">
      <c r="E398" s="31"/>
    </row>
    <row r="399" spans="5:5" x14ac:dyDescent="0.2">
      <c r="E399" s="31"/>
    </row>
    <row r="400" spans="5:5" x14ac:dyDescent="0.2">
      <c r="E400" s="31"/>
    </row>
    <row r="401" spans="5:5" x14ac:dyDescent="0.2">
      <c r="E401" s="31"/>
    </row>
    <row r="402" spans="5:5" x14ac:dyDescent="0.2">
      <c r="E402" s="31"/>
    </row>
    <row r="403" spans="5:5" x14ac:dyDescent="0.2">
      <c r="E403" s="31"/>
    </row>
    <row r="404" spans="5:5" x14ac:dyDescent="0.2">
      <c r="E404" s="31"/>
    </row>
    <row r="405" spans="5:5" x14ac:dyDescent="0.2">
      <c r="E405" s="31"/>
    </row>
    <row r="406" spans="5:5" x14ac:dyDescent="0.2">
      <c r="E406" s="31"/>
    </row>
    <row r="407" spans="5:5" x14ac:dyDescent="0.2">
      <c r="E407" s="31"/>
    </row>
    <row r="408" spans="5:5" x14ac:dyDescent="0.2">
      <c r="E408" s="31"/>
    </row>
    <row r="409" spans="5:5" x14ac:dyDescent="0.2">
      <c r="E409" s="31"/>
    </row>
    <row r="410" spans="5:5" x14ac:dyDescent="0.2">
      <c r="E410" s="31"/>
    </row>
    <row r="411" spans="5:5" x14ac:dyDescent="0.2">
      <c r="E411" s="31"/>
    </row>
    <row r="412" spans="5:5" x14ac:dyDescent="0.2">
      <c r="E412" s="31"/>
    </row>
    <row r="413" spans="5:5" x14ac:dyDescent="0.2">
      <c r="E413" s="31"/>
    </row>
    <row r="414" spans="5:5" x14ac:dyDescent="0.2">
      <c r="E414" s="31"/>
    </row>
    <row r="415" spans="5:5" x14ac:dyDescent="0.2">
      <c r="E415" s="31"/>
    </row>
    <row r="416" spans="5:5" x14ac:dyDescent="0.2">
      <c r="E416" s="31"/>
    </row>
    <row r="417" spans="5:5" x14ac:dyDescent="0.2">
      <c r="E417" s="31"/>
    </row>
    <row r="418" spans="5:5" x14ac:dyDescent="0.2">
      <c r="E418" s="31"/>
    </row>
    <row r="419" spans="5:5" x14ac:dyDescent="0.2">
      <c r="E419" s="31"/>
    </row>
    <row r="420" spans="5:5" x14ac:dyDescent="0.2">
      <c r="E420" s="31"/>
    </row>
    <row r="421" spans="5:5" x14ac:dyDescent="0.2">
      <c r="E421" s="31"/>
    </row>
    <row r="422" spans="5:5" x14ac:dyDescent="0.2">
      <c r="E422" s="31"/>
    </row>
    <row r="423" spans="5:5" x14ac:dyDescent="0.2">
      <c r="E423" s="31"/>
    </row>
    <row r="424" spans="5:5" x14ac:dyDescent="0.2">
      <c r="E424" s="31"/>
    </row>
    <row r="425" spans="5:5" x14ac:dyDescent="0.2">
      <c r="E425" s="31"/>
    </row>
    <row r="426" spans="5:5" x14ac:dyDescent="0.2">
      <c r="E426" s="31"/>
    </row>
    <row r="427" spans="5:5" x14ac:dyDescent="0.2">
      <c r="E427" s="31"/>
    </row>
    <row r="428" spans="5:5" x14ac:dyDescent="0.2">
      <c r="E428" s="31"/>
    </row>
    <row r="429" spans="5:5" x14ac:dyDescent="0.2">
      <c r="E429" s="31"/>
    </row>
    <row r="430" spans="5:5" x14ac:dyDescent="0.2">
      <c r="E430" s="31"/>
    </row>
    <row r="431" spans="5:5" x14ac:dyDescent="0.2">
      <c r="E431" s="31"/>
    </row>
    <row r="432" spans="5:5" x14ac:dyDescent="0.2">
      <c r="E432" s="31"/>
    </row>
    <row r="433" spans="5:5" x14ac:dyDescent="0.2">
      <c r="E433" s="31"/>
    </row>
    <row r="434" spans="5:5" x14ac:dyDescent="0.2">
      <c r="E434" s="31"/>
    </row>
    <row r="435" spans="5:5" x14ac:dyDescent="0.2">
      <c r="E435" s="31"/>
    </row>
    <row r="436" spans="5:5" x14ac:dyDescent="0.2">
      <c r="E436" s="31"/>
    </row>
    <row r="437" spans="5:5" x14ac:dyDescent="0.2">
      <c r="E437" s="31"/>
    </row>
    <row r="438" spans="5:5" x14ac:dyDescent="0.2">
      <c r="E438" s="31"/>
    </row>
    <row r="439" spans="5:5" x14ac:dyDescent="0.2">
      <c r="E439" s="31"/>
    </row>
    <row r="440" spans="5:5" x14ac:dyDescent="0.2">
      <c r="E440" s="31"/>
    </row>
    <row r="441" spans="5:5" x14ac:dyDescent="0.2">
      <c r="E441" s="31"/>
    </row>
    <row r="442" spans="5:5" x14ac:dyDescent="0.2">
      <c r="E442" s="31"/>
    </row>
    <row r="443" spans="5:5" x14ac:dyDescent="0.2">
      <c r="E443" s="31"/>
    </row>
    <row r="444" spans="5:5" x14ac:dyDescent="0.2">
      <c r="E444" s="31"/>
    </row>
    <row r="445" spans="5:5" x14ac:dyDescent="0.2">
      <c r="E445" s="31"/>
    </row>
    <row r="446" spans="5:5" x14ac:dyDescent="0.2">
      <c r="E446" s="31"/>
    </row>
    <row r="447" spans="5:5" x14ac:dyDescent="0.2">
      <c r="E447" s="31"/>
    </row>
    <row r="448" spans="5:5" x14ac:dyDescent="0.2">
      <c r="E448" s="31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B8EF-8009-3D49-953E-77F6D960E619}">
  <dimension ref="A1:N45"/>
  <sheetViews>
    <sheetView workbookViewId="0">
      <selection activeCell="AA32" sqref="AA32"/>
    </sheetView>
  </sheetViews>
  <sheetFormatPr baseColWidth="10" defaultRowHeight="16" x14ac:dyDescent="0.2"/>
  <cols>
    <col min="1" max="1" width="35" style="30" bestFit="1" customWidth="1"/>
    <col min="2" max="16384" width="10.83203125" style="30"/>
  </cols>
  <sheetData>
    <row r="1" spans="1:14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4" x14ac:dyDescent="0.2">
      <c r="A2" s="30" t="s">
        <v>703</v>
      </c>
      <c r="B2" s="42">
        <v>45257</v>
      </c>
      <c r="C2" s="30" t="s">
        <v>222</v>
      </c>
      <c r="E2" s="30">
        <v>32.978999999999999</v>
      </c>
      <c r="G2" s="30">
        <f>AVERAGE(C8:D8,C14:F14,C21:D21,C28:D28,C35:D35,C42:E42)</f>
        <v>355.89566666666661</v>
      </c>
    </row>
    <row r="4" spans="1:14" x14ac:dyDescent="0.2">
      <c r="A4" s="30" t="s">
        <v>751</v>
      </c>
    </row>
    <row r="6" spans="1:14" x14ac:dyDescent="0.2">
      <c r="A6" s="45" t="s">
        <v>750</v>
      </c>
      <c r="B6" s="30" t="s">
        <v>235</v>
      </c>
      <c r="C6" s="30">
        <v>1</v>
      </c>
      <c r="D6" s="30">
        <v>1</v>
      </c>
    </row>
    <row r="7" spans="1:14" x14ac:dyDescent="0.2">
      <c r="A7" s="30" t="s">
        <v>215</v>
      </c>
      <c r="B7" s="30">
        <v>219.042</v>
      </c>
      <c r="C7" s="30">
        <v>918.10900000000004</v>
      </c>
      <c r="D7" s="30">
        <v>610.28099999999995</v>
      </c>
      <c r="E7" s="30">
        <v>789.53499999999997</v>
      </c>
      <c r="F7" s="30">
        <v>746.08199999999999</v>
      </c>
      <c r="G7" s="30">
        <v>740.76</v>
      </c>
      <c r="H7" s="30">
        <v>1441.633</v>
      </c>
      <c r="I7" s="30">
        <v>1037.3109999999999</v>
      </c>
      <c r="J7" s="30">
        <v>1190.5119999999999</v>
      </c>
      <c r="K7" s="30">
        <v>783.39099999999996</v>
      </c>
      <c r="L7" s="30">
        <v>976.60500000000002</v>
      </c>
      <c r="M7" s="30">
        <v>1150.078</v>
      </c>
    </row>
    <row r="8" spans="1:14" x14ac:dyDescent="0.2">
      <c r="A8" s="30" t="s">
        <v>62</v>
      </c>
      <c r="C8" s="30">
        <f t="shared" ref="C8:M8" si="0">C7-$B$7</f>
        <v>699.06700000000001</v>
      </c>
      <c r="D8" s="30">
        <f t="shared" si="0"/>
        <v>391.23899999999992</v>
      </c>
      <c r="E8" s="30">
        <f t="shared" si="0"/>
        <v>570.49299999999994</v>
      </c>
      <c r="F8" s="30">
        <f t="shared" si="0"/>
        <v>527.04</v>
      </c>
      <c r="G8" s="30">
        <f t="shared" si="0"/>
        <v>521.71799999999996</v>
      </c>
      <c r="H8" s="30">
        <f t="shared" si="0"/>
        <v>1222.5910000000001</v>
      </c>
      <c r="I8" s="30">
        <f t="shared" si="0"/>
        <v>818.26899999999989</v>
      </c>
      <c r="J8" s="30">
        <f t="shared" si="0"/>
        <v>971.46999999999991</v>
      </c>
      <c r="K8" s="30">
        <f t="shared" si="0"/>
        <v>564.34899999999993</v>
      </c>
      <c r="L8" s="30">
        <f t="shared" si="0"/>
        <v>757.56299999999999</v>
      </c>
      <c r="M8" s="30">
        <f t="shared" si="0"/>
        <v>931.03599999999994</v>
      </c>
    </row>
    <row r="9" spans="1:14" x14ac:dyDescent="0.2">
      <c r="A9" s="30" t="s">
        <v>214</v>
      </c>
      <c r="C9" s="30">
        <v>1.4850000000000001</v>
      </c>
      <c r="D9" s="30">
        <v>1.6919999999999999</v>
      </c>
      <c r="E9" s="30">
        <v>2.024</v>
      </c>
      <c r="F9" s="30">
        <v>2.3940000000000001</v>
      </c>
      <c r="G9" s="30">
        <v>2.12</v>
      </c>
      <c r="H9" s="30">
        <v>1.488</v>
      </c>
      <c r="I9" s="30">
        <v>2.0129999999999999</v>
      </c>
      <c r="J9" s="30">
        <v>1.5629999999999999</v>
      </c>
      <c r="K9" s="30">
        <v>1.079</v>
      </c>
      <c r="L9" s="30">
        <v>1.649</v>
      </c>
      <c r="M9" s="30">
        <v>1.9990000000000001</v>
      </c>
    </row>
    <row r="10" spans="1:14" x14ac:dyDescent="0.2">
      <c r="A10" s="30" t="s">
        <v>59</v>
      </c>
      <c r="E10" s="30">
        <f t="shared" ref="E10:M10" si="1">E8/$G$2</f>
        <v>1.602978213652503</v>
      </c>
      <c r="F10" s="30">
        <f t="shared" si="1"/>
        <v>1.4808834424320987</v>
      </c>
      <c r="G10" s="30">
        <f t="shared" si="1"/>
        <v>1.4659296216962463</v>
      </c>
      <c r="H10" s="30">
        <f t="shared" si="1"/>
        <v>3.435251155066982</v>
      </c>
      <c r="I10" s="30">
        <f t="shared" si="1"/>
        <v>2.2991822509780491</v>
      </c>
      <c r="J10" s="30">
        <f t="shared" si="1"/>
        <v>2.7296482958020469</v>
      </c>
      <c r="K10" s="30">
        <f t="shared" si="1"/>
        <v>1.5857147272562091</v>
      </c>
      <c r="L10" s="30">
        <f t="shared" si="1"/>
        <v>2.1286097891985203</v>
      </c>
      <c r="M10" s="30">
        <f t="shared" si="1"/>
        <v>2.6160363477311237</v>
      </c>
    </row>
    <row r="12" spans="1:14" x14ac:dyDescent="0.2">
      <c r="A12" s="45" t="s">
        <v>749</v>
      </c>
      <c r="C12" s="30">
        <v>1</v>
      </c>
      <c r="D12" s="30">
        <v>1</v>
      </c>
      <c r="E12" s="30">
        <v>1</v>
      </c>
      <c r="F12" s="30">
        <v>1</v>
      </c>
    </row>
    <row r="13" spans="1:14" x14ac:dyDescent="0.2">
      <c r="A13" s="30" t="s">
        <v>215</v>
      </c>
      <c r="C13" s="30">
        <v>491.89100000000002</v>
      </c>
      <c r="D13" s="30">
        <v>457.10500000000002</v>
      </c>
      <c r="E13" s="30">
        <v>417.21899999999999</v>
      </c>
      <c r="F13" s="30">
        <v>332.78100000000001</v>
      </c>
      <c r="G13" s="30">
        <v>989.32</v>
      </c>
      <c r="H13" s="30">
        <v>1189.0509999999999</v>
      </c>
      <c r="I13" s="30">
        <v>1017.059</v>
      </c>
      <c r="J13" s="30">
        <v>1154.1880000000001</v>
      </c>
      <c r="K13" s="30">
        <v>952.13699999999994</v>
      </c>
      <c r="L13" s="30">
        <v>957.59</v>
      </c>
      <c r="M13" s="30">
        <v>694.66399999999999</v>
      </c>
      <c r="N13" s="30">
        <v>974.84799999999996</v>
      </c>
    </row>
    <row r="14" spans="1:14" x14ac:dyDescent="0.2">
      <c r="A14" s="30" t="s">
        <v>62</v>
      </c>
      <c r="C14" s="30">
        <f t="shared" ref="C14:N14" si="2">C13-$B$7</f>
        <v>272.84900000000005</v>
      </c>
      <c r="D14" s="30">
        <f t="shared" si="2"/>
        <v>238.06300000000002</v>
      </c>
      <c r="E14" s="30">
        <f t="shared" si="2"/>
        <v>198.17699999999999</v>
      </c>
      <c r="F14" s="30">
        <f t="shared" si="2"/>
        <v>113.739</v>
      </c>
      <c r="G14" s="30">
        <f t="shared" si="2"/>
        <v>770.27800000000002</v>
      </c>
      <c r="H14" s="30">
        <f t="shared" si="2"/>
        <v>970.0089999999999</v>
      </c>
      <c r="I14" s="30">
        <f t="shared" si="2"/>
        <v>798.01699999999994</v>
      </c>
      <c r="J14" s="30">
        <f t="shared" si="2"/>
        <v>935.14600000000007</v>
      </c>
      <c r="K14" s="30">
        <f t="shared" si="2"/>
        <v>733.09499999999991</v>
      </c>
      <c r="L14" s="30">
        <f t="shared" si="2"/>
        <v>738.548</v>
      </c>
      <c r="M14" s="30">
        <f t="shared" si="2"/>
        <v>475.62199999999996</v>
      </c>
      <c r="N14" s="30">
        <f t="shared" si="2"/>
        <v>755.80599999999993</v>
      </c>
    </row>
    <row r="15" spans="1:14" x14ac:dyDescent="0.2">
      <c r="A15" s="30" t="s">
        <v>214</v>
      </c>
      <c r="C15" s="30">
        <v>2.867</v>
      </c>
      <c r="D15" s="30">
        <v>2.3679999999999999</v>
      </c>
      <c r="E15" s="30">
        <v>1.3460000000000001</v>
      </c>
      <c r="F15" s="30">
        <v>12.159000000000001</v>
      </c>
      <c r="G15" s="30">
        <v>2.4140000000000001</v>
      </c>
      <c r="H15" s="30">
        <v>2.4689999999999999</v>
      </c>
      <c r="I15" s="30">
        <v>2.0840000000000001</v>
      </c>
      <c r="J15" s="30">
        <v>1.8640000000000001</v>
      </c>
      <c r="K15" s="30">
        <v>1.92</v>
      </c>
      <c r="L15" s="30">
        <v>1.5349999999999999</v>
      </c>
      <c r="M15" s="30">
        <v>1.8120000000000001</v>
      </c>
      <c r="N15" s="30">
        <v>1.9690000000000001</v>
      </c>
    </row>
    <row r="16" spans="1:14" x14ac:dyDescent="0.2">
      <c r="A16" s="30" t="s">
        <v>60</v>
      </c>
      <c r="C16" s="30">
        <f t="shared" ref="C16:N16" si="3">SQRT((1+(C15^2)))</f>
        <v>3.0363940785082559</v>
      </c>
      <c r="D16" s="30">
        <f t="shared" si="3"/>
        <v>2.5704910036800359</v>
      </c>
      <c r="E16" s="30">
        <f t="shared" si="3"/>
        <v>1.6768172231939893</v>
      </c>
      <c r="F16" s="30">
        <f t="shared" si="3"/>
        <v>12.20005249988704</v>
      </c>
      <c r="G16" s="30">
        <f t="shared" si="3"/>
        <v>2.6129286251254551</v>
      </c>
      <c r="H16" s="30">
        <f t="shared" si="3"/>
        <v>2.6638245062315948</v>
      </c>
      <c r="I16" s="30">
        <f t="shared" si="3"/>
        <v>2.3115051373509861</v>
      </c>
      <c r="J16" s="30">
        <f t="shared" si="3"/>
        <v>2.1153004514725562</v>
      </c>
      <c r="K16" s="30">
        <f t="shared" si="3"/>
        <v>2.1648094604375694</v>
      </c>
      <c r="L16" s="30">
        <f t="shared" si="3"/>
        <v>1.8320002729257439</v>
      </c>
      <c r="M16" s="30">
        <f t="shared" si="3"/>
        <v>2.069624120462457</v>
      </c>
      <c r="N16" s="30">
        <f t="shared" si="3"/>
        <v>2.2083842509853215</v>
      </c>
    </row>
    <row r="17" spans="1:14" x14ac:dyDescent="0.2">
      <c r="A17" s="30" t="s">
        <v>59</v>
      </c>
      <c r="G17" s="30">
        <f t="shared" ref="G17:N17" si="4">G14/$G$2</f>
        <v>2.1643365518171529</v>
      </c>
      <c r="H17" s="30">
        <f t="shared" si="4"/>
        <v>2.725543160120897</v>
      </c>
      <c r="I17" s="30">
        <f t="shared" si="4"/>
        <v>2.2422779335142229</v>
      </c>
      <c r="J17" s="30">
        <f t="shared" si="4"/>
        <v>2.6275846760333326</v>
      </c>
      <c r="K17" s="30">
        <f t="shared" si="4"/>
        <v>2.0598593033351533</v>
      </c>
      <c r="L17" s="30">
        <f t="shared" si="4"/>
        <v>2.0751812094743127</v>
      </c>
      <c r="M17" s="30">
        <f t="shared" si="4"/>
        <v>1.3364085167282171</v>
      </c>
      <c r="N17" s="30">
        <f t="shared" si="4"/>
        <v>2.1236729490946318</v>
      </c>
    </row>
    <row r="19" spans="1:14" x14ac:dyDescent="0.2">
      <c r="A19" s="45" t="s">
        <v>748</v>
      </c>
      <c r="C19" s="30">
        <v>1</v>
      </c>
      <c r="D19" s="30">
        <v>1</v>
      </c>
    </row>
    <row r="20" spans="1:14" x14ac:dyDescent="0.2">
      <c r="A20" s="30" t="s">
        <v>215</v>
      </c>
      <c r="C20" s="30">
        <v>530.68399999999997</v>
      </c>
      <c r="D20" s="30">
        <v>667.38300000000004</v>
      </c>
      <c r="E20" s="30">
        <v>809.04300000000001</v>
      </c>
      <c r="F20" s="30">
        <v>887.14800000000002</v>
      </c>
      <c r="G20" s="30">
        <v>987.87099999999998</v>
      </c>
      <c r="H20" s="30">
        <v>782.53899999999999</v>
      </c>
      <c r="I20" s="30">
        <v>725.25</v>
      </c>
      <c r="J20" s="30">
        <v>726.19100000000003</v>
      </c>
      <c r="K20" s="30">
        <v>713.63699999999994</v>
      </c>
      <c r="L20" s="30">
        <v>810.55100000000004</v>
      </c>
      <c r="M20" s="30">
        <v>826.50400000000002</v>
      </c>
      <c r="N20" s="30">
        <v>827.76599999999996</v>
      </c>
    </row>
    <row r="21" spans="1:14" x14ac:dyDescent="0.2">
      <c r="A21" s="30" t="s">
        <v>62</v>
      </c>
      <c r="C21" s="30">
        <f t="shared" ref="C21:N21" si="5">C20-$B$7</f>
        <v>311.64199999999994</v>
      </c>
      <c r="D21" s="30">
        <f t="shared" si="5"/>
        <v>448.34100000000001</v>
      </c>
      <c r="E21" s="30">
        <f t="shared" si="5"/>
        <v>590.00099999999998</v>
      </c>
      <c r="F21" s="30">
        <f t="shared" si="5"/>
        <v>668.10599999999999</v>
      </c>
      <c r="G21" s="30">
        <f t="shared" si="5"/>
        <v>768.82899999999995</v>
      </c>
      <c r="H21" s="30">
        <f t="shared" si="5"/>
        <v>563.49699999999996</v>
      </c>
      <c r="I21" s="30">
        <f t="shared" si="5"/>
        <v>506.20799999999997</v>
      </c>
      <c r="J21" s="30">
        <f t="shared" si="5"/>
        <v>507.149</v>
      </c>
      <c r="K21" s="30">
        <f t="shared" si="5"/>
        <v>494.59499999999991</v>
      </c>
      <c r="L21" s="30">
        <f t="shared" si="5"/>
        <v>591.50900000000001</v>
      </c>
      <c r="M21" s="30">
        <f t="shared" si="5"/>
        <v>607.46199999999999</v>
      </c>
      <c r="N21" s="30">
        <f t="shared" si="5"/>
        <v>608.72399999999993</v>
      </c>
    </row>
    <row r="22" spans="1:14" x14ac:dyDescent="0.2">
      <c r="A22" s="30" t="s">
        <v>214</v>
      </c>
      <c r="C22" s="30">
        <v>2.2109999999999999</v>
      </c>
      <c r="D22" s="30">
        <v>1.321</v>
      </c>
      <c r="E22" s="30">
        <v>2.0009999999999999</v>
      </c>
      <c r="F22" s="30">
        <v>2.6509999999999998</v>
      </c>
      <c r="G22" s="30">
        <v>2.86</v>
      </c>
      <c r="H22" s="30">
        <v>2.7040000000000002</v>
      </c>
      <c r="I22" s="30">
        <v>3.1349999999999998</v>
      </c>
      <c r="J22" s="30">
        <v>1.702</v>
      </c>
      <c r="K22" s="30">
        <v>2.2309999999999999</v>
      </c>
      <c r="L22" s="30">
        <v>1.669</v>
      </c>
      <c r="M22" s="30">
        <v>2.4689999999999999</v>
      </c>
      <c r="N22" s="30">
        <v>2.0550000000000002</v>
      </c>
    </row>
    <row r="23" spans="1:14" x14ac:dyDescent="0.2">
      <c r="A23" s="30" t="s">
        <v>60</v>
      </c>
      <c r="C23" s="30">
        <f t="shared" ref="C23:N23" si="6">SQRT((4+(C22^2)))</f>
        <v>2.9813622725190574</v>
      </c>
      <c r="D23" s="30">
        <f t="shared" si="6"/>
        <v>2.3968815156365153</v>
      </c>
      <c r="E23" s="30">
        <f t="shared" si="6"/>
        <v>2.829134319893631</v>
      </c>
      <c r="F23" s="30">
        <f t="shared" si="6"/>
        <v>3.3208133039964771</v>
      </c>
      <c r="G23" s="30">
        <f t="shared" si="6"/>
        <v>3.4899283660270162</v>
      </c>
      <c r="H23" s="30">
        <f t="shared" si="6"/>
        <v>3.3632745947959708</v>
      </c>
      <c r="I23" s="30">
        <f t="shared" si="6"/>
        <v>3.7186321409894791</v>
      </c>
      <c r="J23" s="30">
        <f t="shared" si="6"/>
        <v>2.6261766886483473</v>
      </c>
      <c r="K23" s="30">
        <f t="shared" si="6"/>
        <v>2.9962244575465302</v>
      </c>
      <c r="L23" s="30">
        <f t="shared" si="6"/>
        <v>2.6049109389766092</v>
      </c>
      <c r="M23" s="30">
        <f t="shared" si="6"/>
        <v>3.1774142002578132</v>
      </c>
      <c r="N23" s="30">
        <f t="shared" si="6"/>
        <v>2.8675817337959173</v>
      </c>
    </row>
    <row r="24" spans="1:14" x14ac:dyDescent="0.2">
      <c r="A24" s="30" t="s">
        <v>59</v>
      </c>
      <c r="E24" s="30">
        <f t="shared" ref="E24:N24" si="7">E21/$G$2</f>
        <v>1.6577920308105281</v>
      </c>
      <c r="F24" s="30">
        <f t="shared" si="7"/>
        <v>1.8772524157360728</v>
      </c>
      <c r="G24" s="30">
        <f t="shared" si="7"/>
        <v>2.1602651338828704</v>
      </c>
      <c r="H24" s="30">
        <f t="shared" si="7"/>
        <v>1.583320767228598</v>
      </c>
      <c r="I24" s="30">
        <f t="shared" si="7"/>
        <v>1.4223494338696643</v>
      </c>
      <c r="J24" s="30">
        <f t="shared" si="7"/>
        <v>1.4249934671865445</v>
      </c>
      <c r="K24" s="30">
        <f t="shared" si="7"/>
        <v>1.3897190843383875</v>
      </c>
      <c r="L24" s="30">
        <f t="shared" si="7"/>
        <v>1.6620292276669102</v>
      </c>
      <c r="M24" s="30">
        <f t="shared" si="7"/>
        <v>1.7068541623153604</v>
      </c>
      <c r="N24" s="30">
        <f t="shared" si="7"/>
        <v>1.7104001453609532</v>
      </c>
    </row>
    <row r="26" spans="1:14" x14ac:dyDescent="0.2">
      <c r="A26" s="45" t="s">
        <v>747</v>
      </c>
      <c r="C26" s="30">
        <v>1</v>
      </c>
      <c r="D26" s="30">
        <v>1</v>
      </c>
    </row>
    <row r="27" spans="1:14" x14ac:dyDescent="0.2">
      <c r="A27" s="30" t="s">
        <v>215</v>
      </c>
      <c r="C27" s="30">
        <v>561.57399999999996</v>
      </c>
      <c r="D27" s="30">
        <v>553.31200000000001</v>
      </c>
      <c r="E27" s="30">
        <v>548.22299999999996</v>
      </c>
    </row>
    <row r="28" spans="1:14" x14ac:dyDescent="0.2">
      <c r="A28" s="30" t="s">
        <v>62</v>
      </c>
      <c r="C28" s="30">
        <f>C27-$B$7</f>
        <v>342.53199999999993</v>
      </c>
      <c r="D28" s="30">
        <f>D27-$B$7</f>
        <v>334.27</v>
      </c>
      <c r="E28" s="30">
        <f>E27-$B$7</f>
        <v>329.18099999999993</v>
      </c>
    </row>
    <row r="29" spans="1:14" x14ac:dyDescent="0.2">
      <c r="A29" s="30" t="s">
        <v>214</v>
      </c>
      <c r="C29" s="30">
        <v>6.492</v>
      </c>
      <c r="D29" s="30">
        <v>6.976</v>
      </c>
      <c r="E29" s="30">
        <v>2.6509999999999998</v>
      </c>
    </row>
    <row r="30" spans="1:14" x14ac:dyDescent="0.2">
      <c r="A30" s="30" t="s">
        <v>60</v>
      </c>
      <c r="C30" s="30">
        <f>SQRT((9+(C29^2)))</f>
        <v>7.1516476423269069</v>
      </c>
      <c r="D30" s="30">
        <f>SQRT((9+(D29^2)))</f>
        <v>7.5937195102268555</v>
      </c>
      <c r="E30" s="30">
        <f>SQRT((9+(E29^2)))</f>
        <v>4.0034736167483356</v>
      </c>
    </row>
    <row r="31" spans="1:14" x14ac:dyDescent="0.2">
      <c r="A31" s="30" t="s">
        <v>59</v>
      </c>
      <c r="E31" s="30">
        <f>E28/$G$2</f>
        <v>0.92493680263972489</v>
      </c>
    </row>
    <row r="33" spans="1:10" x14ac:dyDescent="0.2">
      <c r="A33" s="45" t="s">
        <v>746</v>
      </c>
      <c r="C33" s="30">
        <v>1</v>
      </c>
      <c r="D33" s="30">
        <v>1</v>
      </c>
    </row>
    <row r="34" spans="1:10" x14ac:dyDescent="0.2">
      <c r="A34" s="30" t="s">
        <v>215</v>
      </c>
      <c r="C34" s="30">
        <v>542.07399999999996</v>
      </c>
      <c r="D34" s="30">
        <v>830.625</v>
      </c>
      <c r="E34" s="30">
        <v>1197.828</v>
      </c>
      <c r="F34" s="30">
        <v>1489.68</v>
      </c>
      <c r="G34" s="30">
        <v>1627.098</v>
      </c>
      <c r="H34" s="30">
        <v>1481.02</v>
      </c>
      <c r="I34" s="30">
        <v>1304.4839999999999</v>
      </c>
      <c r="J34" s="30">
        <v>1339.98</v>
      </c>
    </row>
    <row r="35" spans="1:10" x14ac:dyDescent="0.2">
      <c r="A35" s="30" t="s">
        <v>62</v>
      </c>
      <c r="C35" s="30">
        <f t="shared" ref="C35:J35" si="8">C34-$B$7</f>
        <v>323.03199999999993</v>
      </c>
      <c r="D35" s="30">
        <f t="shared" si="8"/>
        <v>611.58299999999997</v>
      </c>
      <c r="E35" s="30">
        <f t="shared" si="8"/>
        <v>978.78599999999994</v>
      </c>
      <c r="F35" s="30">
        <f t="shared" si="8"/>
        <v>1270.6380000000001</v>
      </c>
      <c r="G35" s="30">
        <f t="shared" si="8"/>
        <v>1408.056</v>
      </c>
      <c r="H35" s="30">
        <f t="shared" si="8"/>
        <v>1261.9780000000001</v>
      </c>
      <c r="I35" s="30">
        <f t="shared" si="8"/>
        <v>1085.442</v>
      </c>
      <c r="J35" s="30">
        <f t="shared" si="8"/>
        <v>1120.9380000000001</v>
      </c>
    </row>
    <row r="36" spans="1:10" x14ac:dyDescent="0.2">
      <c r="A36" s="30" t="s">
        <v>214</v>
      </c>
      <c r="C36" s="30">
        <v>1.7370000000000001</v>
      </c>
      <c r="D36" s="30">
        <v>2.4649999999999999</v>
      </c>
      <c r="E36" s="30">
        <v>1.659</v>
      </c>
      <c r="F36" s="30">
        <v>1.966</v>
      </c>
      <c r="G36" s="30">
        <v>1.6259999999999999</v>
      </c>
      <c r="H36" s="30">
        <v>0.70099999999999996</v>
      </c>
      <c r="I36" s="30">
        <v>1.78</v>
      </c>
      <c r="J36" s="30">
        <v>0.82899999999999996</v>
      </c>
    </row>
    <row r="37" spans="1:10" x14ac:dyDescent="0.2">
      <c r="A37" s="30" t="s">
        <v>60</v>
      </c>
      <c r="C37" s="30">
        <f t="shared" ref="C37:J37" si="9">SQRT((1+(C36^2)))</f>
        <v>2.0042876540057817</v>
      </c>
      <c r="D37" s="30">
        <f t="shared" si="9"/>
        <v>2.6601174786087922</v>
      </c>
      <c r="E37" s="30">
        <f t="shared" si="9"/>
        <v>1.9370805352385325</v>
      </c>
      <c r="F37" s="30">
        <f t="shared" si="9"/>
        <v>2.2057098630599627</v>
      </c>
      <c r="G37" s="30">
        <f t="shared" si="9"/>
        <v>1.9088939205728535</v>
      </c>
      <c r="H37" s="30">
        <f t="shared" si="9"/>
        <v>1.2212292986986515</v>
      </c>
      <c r="I37" s="30">
        <f t="shared" si="9"/>
        <v>2.0416659863944444</v>
      </c>
      <c r="J37" s="30">
        <f t="shared" si="9"/>
        <v>1.2989384127047747</v>
      </c>
    </row>
    <row r="38" spans="1:10" x14ac:dyDescent="0.2">
      <c r="A38" s="30" t="s">
        <v>59</v>
      </c>
      <c r="E38" s="30">
        <f t="shared" ref="E38:J38" si="10">E35/$G$2</f>
        <v>2.7502048821424259</v>
      </c>
      <c r="F38" s="30">
        <f t="shared" si="10"/>
        <v>3.5702542037132616</v>
      </c>
      <c r="G38" s="30">
        <f t="shared" si="10"/>
        <v>3.9563729819694355</v>
      </c>
      <c r="H38" s="30">
        <f t="shared" si="10"/>
        <v>3.5459212297236933</v>
      </c>
      <c r="I38" s="30">
        <f t="shared" si="10"/>
        <v>3.0498882163030929</v>
      </c>
      <c r="J38" s="30">
        <f t="shared" si="10"/>
        <v>3.1496253115379327</v>
      </c>
    </row>
    <row r="40" spans="1:10" x14ac:dyDescent="0.2">
      <c r="A40" s="45" t="s">
        <v>745</v>
      </c>
      <c r="C40" s="30">
        <v>1</v>
      </c>
      <c r="D40" s="30">
        <v>1</v>
      </c>
      <c r="E40" s="30">
        <v>1</v>
      </c>
    </row>
    <row r="41" spans="1:10" x14ac:dyDescent="0.2">
      <c r="A41" s="30" t="s">
        <v>215</v>
      </c>
      <c r="C41" s="30">
        <v>460.45299999999997</v>
      </c>
      <c r="D41" s="30">
        <v>693.71100000000001</v>
      </c>
      <c r="E41" s="30">
        <v>556.86300000000006</v>
      </c>
      <c r="F41" s="30">
        <v>608.31200000000001</v>
      </c>
      <c r="G41" s="30">
        <v>538.37900000000002</v>
      </c>
    </row>
    <row r="42" spans="1:10" x14ac:dyDescent="0.2">
      <c r="A42" s="30" t="s">
        <v>62</v>
      </c>
      <c r="C42" s="30">
        <f>C41-$B$7</f>
        <v>241.41099999999997</v>
      </c>
      <c r="D42" s="30">
        <f>D41-$B$7</f>
        <v>474.66899999999998</v>
      </c>
      <c r="E42" s="30">
        <f>E41-$B$7</f>
        <v>337.82100000000003</v>
      </c>
      <c r="F42" s="30">
        <f>F41-$B$7</f>
        <v>389.27</v>
      </c>
      <c r="G42" s="30">
        <f>G41-$B$7</f>
        <v>319.33699999999999</v>
      </c>
    </row>
    <row r="43" spans="1:10" x14ac:dyDescent="0.2">
      <c r="A43" s="30" t="s">
        <v>214</v>
      </c>
      <c r="C43" s="30">
        <v>5.6550000000000002</v>
      </c>
      <c r="D43" s="30">
        <v>2.1190000000000002</v>
      </c>
      <c r="E43" s="30">
        <v>1.0649999999999999</v>
      </c>
      <c r="F43" s="30">
        <v>0.55400000000000005</v>
      </c>
      <c r="G43" s="30">
        <v>1.613</v>
      </c>
    </row>
    <row r="44" spans="1:10" x14ac:dyDescent="0.2">
      <c r="A44" s="30" t="s">
        <v>60</v>
      </c>
      <c r="C44" s="30">
        <f>SQRT((4+(C43^2)))</f>
        <v>5.9982518286580806</v>
      </c>
      <c r="D44" s="30">
        <f>SQRT((4+(D43^2)))</f>
        <v>2.9137880842641937</v>
      </c>
      <c r="E44" s="30">
        <f>SQRT((4+(E43^2)))</f>
        <v>2.2658828301569347</v>
      </c>
      <c r="F44" s="30">
        <f>SQRT((4+(F43^2)))</f>
        <v>2.0753110610219374</v>
      </c>
      <c r="G44" s="30">
        <f>SQRT((4+(G43^2)))</f>
        <v>2.5693907838240566</v>
      </c>
    </row>
    <row r="45" spans="1:10" x14ac:dyDescent="0.2">
      <c r="A45" s="30" t="s">
        <v>59</v>
      </c>
      <c r="F45" s="30">
        <f>F42/$G$2</f>
        <v>1.0937756102678033</v>
      </c>
      <c r="G45" s="30">
        <f>G42/$G$2</f>
        <v>0.89727701095920442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ACCC-C754-0A4A-B3B1-93AABCE4CE53}">
  <dimension ref="A1:Z45"/>
  <sheetViews>
    <sheetView workbookViewId="0">
      <selection activeCell="P45" sqref="P45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26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26" x14ac:dyDescent="0.2">
      <c r="A2" s="30" t="s">
        <v>703</v>
      </c>
      <c r="B2" s="42">
        <v>45229</v>
      </c>
      <c r="C2" s="30" t="s">
        <v>222</v>
      </c>
      <c r="E2" s="30">
        <v>46.377000000000002</v>
      </c>
      <c r="G2" s="30">
        <f>AVERAGE(C8:H8,C15:G15,C21:E21,C28,C35:H35,C42)</f>
        <v>572.49413636363624</v>
      </c>
    </row>
    <row r="4" spans="1:26" x14ac:dyDescent="0.2">
      <c r="A4" s="30" t="s">
        <v>532</v>
      </c>
    </row>
    <row r="6" spans="1:26" x14ac:dyDescent="0.2">
      <c r="A6" s="45" t="s">
        <v>744</v>
      </c>
      <c r="B6" s="30" t="s">
        <v>235</v>
      </c>
      <c r="C6" s="30">
        <v>1</v>
      </c>
      <c r="D6" s="30">
        <v>1</v>
      </c>
      <c r="E6" s="30">
        <v>1</v>
      </c>
      <c r="F6" s="30">
        <v>1</v>
      </c>
      <c r="G6" s="30">
        <v>1</v>
      </c>
      <c r="H6" s="30">
        <v>1</v>
      </c>
    </row>
    <row r="7" spans="1:26" x14ac:dyDescent="0.2">
      <c r="A7" s="30" t="s">
        <v>215</v>
      </c>
      <c r="B7" s="30">
        <v>217.922</v>
      </c>
      <c r="C7" s="30">
        <v>667.88300000000004</v>
      </c>
      <c r="D7" s="30">
        <v>1274.07</v>
      </c>
      <c r="E7" s="30">
        <v>887.31200000000001</v>
      </c>
      <c r="F7" s="30">
        <v>1058.6990000000001</v>
      </c>
      <c r="G7" s="30">
        <v>860.02700000000004</v>
      </c>
      <c r="H7" s="30">
        <v>707.79300000000001</v>
      </c>
      <c r="I7" s="30">
        <v>2125.4569999999999</v>
      </c>
      <c r="J7" s="30">
        <v>1940.434</v>
      </c>
      <c r="K7" s="30">
        <v>758.43399999999997</v>
      </c>
      <c r="L7" s="30">
        <v>1039.2190000000001</v>
      </c>
      <c r="M7" s="30">
        <v>957.39800000000002</v>
      </c>
      <c r="N7" s="30">
        <v>1663.9770000000001</v>
      </c>
      <c r="O7" s="30">
        <v>924.33199999999999</v>
      </c>
      <c r="P7" s="30">
        <v>1302.789</v>
      </c>
      <c r="Q7" s="30">
        <v>1383.6410000000001</v>
      </c>
      <c r="R7" s="30">
        <v>1654.008</v>
      </c>
      <c r="S7" s="30">
        <v>968.12900000000002</v>
      </c>
      <c r="T7" s="30">
        <v>1567.4490000000001</v>
      </c>
      <c r="U7" s="30">
        <v>1170.9770000000001</v>
      </c>
      <c r="V7" s="30">
        <v>2015.8320000000001</v>
      </c>
      <c r="W7" s="30">
        <v>1521.3789999999999</v>
      </c>
      <c r="X7" s="30">
        <v>1316.7339999999999</v>
      </c>
      <c r="Y7" s="30">
        <v>490.79700000000003</v>
      </c>
      <c r="Z7" s="30">
        <v>525.96900000000005</v>
      </c>
    </row>
    <row r="8" spans="1:26" x14ac:dyDescent="0.2">
      <c r="A8" s="30" t="s">
        <v>62</v>
      </c>
      <c r="C8" s="30">
        <f t="shared" ref="C8:Z8" si="0">C7-$B$7</f>
        <v>449.96100000000001</v>
      </c>
      <c r="D8" s="30">
        <f t="shared" si="0"/>
        <v>1056.1479999999999</v>
      </c>
      <c r="E8" s="30">
        <f t="shared" si="0"/>
        <v>669.39</v>
      </c>
      <c r="F8" s="30">
        <f t="shared" si="0"/>
        <v>840.77700000000004</v>
      </c>
      <c r="G8" s="30">
        <f t="shared" si="0"/>
        <v>642.10500000000002</v>
      </c>
      <c r="H8" s="30">
        <f t="shared" si="0"/>
        <v>489.87099999999998</v>
      </c>
      <c r="I8" s="30">
        <f t="shared" si="0"/>
        <v>1907.5349999999999</v>
      </c>
      <c r="J8" s="30">
        <f t="shared" si="0"/>
        <v>1722.5119999999999</v>
      </c>
      <c r="K8" s="30">
        <f t="shared" si="0"/>
        <v>540.51199999999994</v>
      </c>
      <c r="L8" s="30">
        <f t="shared" si="0"/>
        <v>821.29700000000003</v>
      </c>
      <c r="M8" s="30">
        <f t="shared" si="0"/>
        <v>739.476</v>
      </c>
      <c r="N8" s="30">
        <f t="shared" si="0"/>
        <v>1446.0550000000001</v>
      </c>
      <c r="O8" s="30">
        <f t="shared" si="0"/>
        <v>706.41</v>
      </c>
      <c r="P8" s="30">
        <f t="shared" si="0"/>
        <v>1084.867</v>
      </c>
      <c r="Q8" s="30">
        <f t="shared" si="0"/>
        <v>1165.7190000000001</v>
      </c>
      <c r="R8" s="30">
        <f t="shared" si="0"/>
        <v>1436.086</v>
      </c>
      <c r="S8" s="30">
        <f t="shared" si="0"/>
        <v>750.20699999999999</v>
      </c>
      <c r="T8" s="30">
        <f t="shared" si="0"/>
        <v>1349.527</v>
      </c>
      <c r="U8" s="30">
        <f t="shared" si="0"/>
        <v>953.05500000000006</v>
      </c>
      <c r="V8" s="30">
        <f t="shared" si="0"/>
        <v>1797.91</v>
      </c>
      <c r="W8" s="30">
        <f t="shared" si="0"/>
        <v>1303.4569999999999</v>
      </c>
      <c r="X8" s="30">
        <f t="shared" si="0"/>
        <v>1098.8119999999999</v>
      </c>
      <c r="Y8" s="30">
        <f t="shared" si="0"/>
        <v>272.875</v>
      </c>
      <c r="Z8" s="30">
        <f t="shared" si="0"/>
        <v>308.04700000000003</v>
      </c>
    </row>
    <row r="9" spans="1:26" x14ac:dyDescent="0.2">
      <c r="A9" s="30" t="s">
        <v>214</v>
      </c>
      <c r="C9" s="30">
        <v>5.9740000000000002</v>
      </c>
      <c r="D9" s="30">
        <v>3.4329999999999998</v>
      </c>
      <c r="E9" s="30">
        <v>3.26</v>
      </c>
      <c r="F9" s="30">
        <v>2.3260000000000001</v>
      </c>
      <c r="G9" s="30">
        <v>2.1509999999999998</v>
      </c>
      <c r="H9" s="30">
        <v>2.4860000000000002</v>
      </c>
      <c r="I9" s="30">
        <v>3.629</v>
      </c>
      <c r="J9" s="30">
        <v>2.8519999999999999</v>
      </c>
      <c r="K9" s="30">
        <v>6.2140000000000004</v>
      </c>
      <c r="L9" s="30">
        <v>2.899</v>
      </c>
      <c r="M9" s="30">
        <v>2.8420000000000001</v>
      </c>
      <c r="N9" s="30">
        <v>2.2360000000000002</v>
      </c>
      <c r="O9" s="30">
        <v>2.76</v>
      </c>
      <c r="P9" s="30">
        <v>2.0920000000000001</v>
      </c>
      <c r="Q9" s="30">
        <v>1.502</v>
      </c>
      <c r="R9" s="30">
        <v>2.2719999999999998</v>
      </c>
      <c r="S9" s="30">
        <v>2.8340000000000001</v>
      </c>
      <c r="T9" s="30">
        <v>2.734</v>
      </c>
      <c r="U9" s="30">
        <v>3.085</v>
      </c>
      <c r="V9" s="30">
        <v>3.6219999999999999</v>
      </c>
      <c r="W9" s="30">
        <v>3.8069999999999999</v>
      </c>
      <c r="X9" s="30">
        <v>4.2080000000000002</v>
      </c>
      <c r="Y9" s="30">
        <v>6.2169999999999996</v>
      </c>
      <c r="Z9" s="30">
        <v>8.2189999999999994</v>
      </c>
    </row>
    <row r="10" spans="1:26" x14ac:dyDescent="0.2">
      <c r="A10" s="30" t="s">
        <v>59</v>
      </c>
      <c r="I10" s="30">
        <f t="shared" ref="I10:Z10" si="1">I8/$G$2</f>
        <v>3.3319729912279374</v>
      </c>
      <c r="J10" s="30">
        <f t="shared" si="1"/>
        <v>3.0087854016130859</v>
      </c>
      <c r="K10" s="30">
        <f t="shared" si="1"/>
        <v>0.94413543417792856</v>
      </c>
      <c r="L10" s="30">
        <f t="shared" si="1"/>
        <v>1.4345946060106534</v>
      </c>
      <c r="M10" s="30">
        <f t="shared" si="1"/>
        <v>1.2916743649061593</v>
      </c>
      <c r="N10" s="30">
        <f t="shared" si="1"/>
        <v>2.5258861325376025</v>
      </c>
      <c r="O10" s="30">
        <f t="shared" si="1"/>
        <v>1.2339165681014124</v>
      </c>
      <c r="P10" s="30">
        <f t="shared" si="1"/>
        <v>1.8949836008641934</v>
      </c>
      <c r="Q10" s="30">
        <f t="shared" si="1"/>
        <v>2.0362112482136583</v>
      </c>
      <c r="R10" s="30">
        <f t="shared" si="1"/>
        <v>2.508472853751341</v>
      </c>
      <c r="S10" s="30">
        <f t="shared" si="1"/>
        <v>1.3104186616917317</v>
      </c>
      <c r="T10" s="30">
        <f t="shared" si="1"/>
        <v>2.3572765453492939</v>
      </c>
      <c r="U10" s="30">
        <f t="shared" si="1"/>
        <v>1.6647419413823299</v>
      </c>
      <c r="V10" s="30">
        <f t="shared" si="1"/>
        <v>3.1404863138336241</v>
      </c>
      <c r="W10" s="30">
        <f t="shared" si="1"/>
        <v>2.2768041054171975</v>
      </c>
      <c r="X10" s="30">
        <f t="shared" si="1"/>
        <v>1.9193419289486968</v>
      </c>
      <c r="Y10" s="30">
        <f t="shared" si="1"/>
        <v>0.47664243643305287</v>
      </c>
      <c r="Z10" s="30">
        <f t="shared" si="1"/>
        <v>0.53807887353510819</v>
      </c>
    </row>
    <row r="12" spans="1:26" x14ac:dyDescent="0.2">
      <c r="A12" s="45" t="s">
        <v>743</v>
      </c>
    </row>
    <row r="13" spans="1:26" x14ac:dyDescent="0.2">
      <c r="A13" s="30" t="s">
        <v>215</v>
      </c>
      <c r="C13" s="30">
        <v>1</v>
      </c>
      <c r="D13" s="30">
        <v>1</v>
      </c>
      <c r="E13" s="30">
        <v>1</v>
      </c>
      <c r="F13" s="30">
        <v>1</v>
      </c>
      <c r="G13" s="30">
        <v>1</v>
      </c>
    </row>
    <row r="14" spans="1:26" x14ac:dyDescent="0.2">
      <c r="A14" s="30" t="s">
        <v>62</v>
      </c>
      <c r="C14" s="30">
        <v>772.68</v>
      </c>
      <c r="D14" s="30">
        <v>923.23800000000006</v>
      </c>
      <c r="E14" s="30">
        <v>595.21100000000001</v>
      </c>
      <c r="F14" s="30">
        <v>601.85500000000002</v>
      </c>
      <c r="G14" s="30">
        <v>840.27</v>
      </c>
      <c r="H14" s="30">
        <v>790.74199999999996</v>
      </c>
      <c r="I14" s="30">
        <v>705.48400000000004</v>
      </c>
      <c r="J14" s="30">
        <v>364.43400000000003</v>
      </c>
      <c r="K14" s="30">
        <v>1842.23</v>
      </c>
      <c r="L14" s="30">
        <v>1512.883</v>
      </c>
      <c r="M14" s="30">
        <v>1628.367</v>
      </c>
      <c r="N14" s="30">
        <v>1554.5820000000001</v>
      </c>
      <c r="O14" s="30">
        <v>1013.715</v>
      </c>
      <c r="P14" s="30">
        <v>997.35199999999998</v>
      </c>
    </row>
    <row r="15" spans="1:26" x14ac:dyDescent="0.2">
      <c r="A15" s="30" t="s">
        <v>214</v>
      </c>
      <c r="C15" s="30">
        <f t="shared" ref="C15:P15" si="2">C14-$B$7</f>
        <v>554.75799999999992</v>
      </c>
      <c r="D15" s="30">
        <f t="shared" si="2"/>
        <v>705.31600000000003</v>
      </c>
      <c r="E15" s="30">
        <f t="shared" si="2"/>
        <v>377.28899999999999</v>
      </c>
      <c r="F15" s="30">
        <f t="shared" si="2"/>
        <v>383.93299999999999</v>
      </c>
      <c r="G15" s="30">
        <f t="shared" si="2"/>
        <v>622.34799999999996</v>
      </c>
      <c r="H15" s="30">
        <f t="shared" si="2"/>
        <v>572.81999999999994</v>
      </c>
      <c r="I15" s="30">
        <f t="shared" si="2"/>
        <v>487.56200000000001</v>
      </c>
      <c r="J15" s="30">
        <f t="shared" si="2"/>
        <v>146.51200000000003</v>
      </c>
      <c r="K15" s="30">
        <f t="shared" si="2"/>
        <v>1624.308</v>
      </c>
      <c r="L15" s="30">
        <f t="shared" si="2"/>
        <v>1294.961</v>
      </c>
      <c r="M15" s="30">
        <f t="shared" si="2"/>
        <v>1410.4449999999999</v>
      </c>
      <c r="N15" s="30">
        <f t="shared" si="2"/>
        <v>1336.66</v>
      </c>
      <c r="O15" s="30">
        <f t="shared" si="2"/>
        <v>795.79300000000001</v>
      </c>
      <c r="P15" s="30">
        <f t="shared" si="2"/>
        <v>779.43</v>
      </c>
    </row>
    <row r="16" spans="1:26" x14ac:dyDescent="0.2">
      <c r="A16" s="30" t="s">
        <v>60</v>
      </c>
      <c r="C16" s="30">
        <v>3.5030000000000001</v>
      </c>
      <c r="D16" s="30">
        <v>3.1309999999999998</v>
      </c>
      <c r="E16" s="30">
        <v>2.7250000000000001</v>
      </c>
      <c r="F16" s="30">
        <v>1.411</v>
      </c>
      <c r="G16" s="30">
        <v>2.798</v>
      </c>
      <c r="H16" s="30">
        <v>2.6960000000000002</v>
      </c>
      <c r="I16" s="30">
        <v>3.2719999999999998</v>
      </c>
      <c r="J16" s="30">
        <v>5.9880000000000004</v>
      </c>
      <c r="K16" s="30">
        <v>2.7450000000000001</v>
      </c>
      <c r="L16" s="30">
        <v>2.9009999999999998</v>
      </c>
      <c r="M16" s="30">
        <v>3.5990000000000002</v>
      </c>
      <c r="N16" s="30">
        <v>3.8839999999999999</v>
      </c>
      <c r="O16" s="30">
        <v>5.8339999999999996</v>
      </c>
      <c r="P16" s="30">
        <v>9.5039999999999996</v>
      </c>
    </row>
    <row r="17" spans="1:16" x14ac:dyDescent="0.2">
      <c r="A17" s="30" t="s">
        <v>59</v>
      </c>
      <c r="C17" s="30">
        <f t="shared" ref="C17:P17" si="3">SQRT((1+(C16^2)))</f>
        <v>3.6429396097108171</v>
      </c>
      <c r="D17" s="30">
        <f t="shared" si="3"/>
        <v>3.2868162406803334</v>
      </c>
      <c r="E17" s="30">
        <f t="shared" si="3"/>
        <v>2.9026927153937603</v>
      </c>
      <c r="F17" s="30">
        <f t="shared" si="3"/>
        <v>1.7294279401004253</v>
      </c>
      <c r="G17" s="30">
        <f t="shared" si="3"/>
        <v>2.9713303417829531</v>
      </c>
      <c r="H17" s="30">
        <f t="shared" si="3"/>
        <v>2.8754853503365307</v>
      </c>
      <c r="I17" s="30">
        <f t="shared" si="3"/>
        <v>3.4214008826794911</v>
      </c>
      <c r="J17" s="30">
        <f t="shared" si="3"/>
        <v>6.0709261237475136</v>
      </c>
      <c r="K17" s="30">
        <f t="shared" si="3"/>
        <v>2.9214765102598381</v>
      </c>
      <c r="L17" s="30">
        <f t="shared" si="3"/>
        <v>3.0685177203333858</v>
      </c>
      <c r="M17" s="30">
        <f t="shared" si="3"/>
        <v>3.735344830132822</v>
      </c>
      <c r="N17" s="30">
        <f t="shared" si="3"/>
        <v>4.0106677748225419</v>
      </c>
      <c r="O17" s="30">
        <f t="shared" si="3"/>
        <v>5.9190840507632592</v>
      </c>
      <c r="P17" s="30">
        <f t="shared" si="3"/>
        <v>9.5564646182571096</v>
      </c>
    </row>
    <row r="18" spans="1:16" x14ac:dyDescent="0.2">
      <c r="H18" s="30">
        <f t="shared" ref="H18:P18" si="4">H15/$G$2</f>
        <v>1.0005691999544895</v>
      </c>
      <c r="I18" s="30">
        <f t="shared" si="4"/>
        <v>0.85164540391084609</v>
      </c>
      <c r="J18" s="30">
        <f t="shared" si="4"/>
        <v>0.25591877836620963</v>
      </c>
      <c r="K18" s="30">
        <f t="shared" si="4"/>
        <v>2.8372482735234055</v>
      </c>
      <c r="L18" s="30">
        <f t="shared" si="4"/>
        <v>2.2619637787477145</v>
      </c>
      <c r="M18" s="30">
        <f t="shared" si="4"/>
        <v>2.4636846220973605</v>
      </c>
      <c r="N18" s="30">
        <f t="shared" si="4"/>
        <v>2.3348012059829757</v>
      </c>
      <c r="O18" s="30">
        <f t="shared" si="4"/>
        <v>1.390045678117704</v>
      </c>
      <c r="P18" s="30">
        <f t="shared" si="4"/>
        <v>1.3614637259881426</v>
      </c>
    </row>
    <row r="19" spans="1:16" x14ac:dyDescent="0.2">
      <c r="A19" s="45" t="s">
        <v>742</v>
      </c>
      <c r="C19" s="30">
        <v>1</v>
      </c>
      <c r="D19" s="30">
        <v>1</v>
      </c>
      <c r="E19" s="30">
        <v>1</v>
      </c>
    </row>
    <row r="20" spans="1:16" x14ac:dyDescent="0.2">
      <c r="A20" s="30" t="s">
        <v>215</v>
      </c>
      <c r="C20" s="30">
        <v>710.74599999999998</v>
      </c>
      <c r="D20" s="30">
        <v>633.36300000000006</v>
      </c>
      <c r="E20" s="30">
        <v>390.46899999999999</v>
      </c>
      <c r="F20" s="30">
        <v>894.78099999999995</v>
      </c>
      <c r="G20" s="30">
        <v>1178.883</v>
      </c>
      <c r="H20" s="30">
        <v>508.21100000000001</v>
      </c>
    </row>
    <row r="21" spans="1:16" x14ac:dyDescent="0.2">
      <c r="A21" s="30" t="s">
        <v>62</v>
      </c>
      <c r="C21" s="30">
        <f t="shared" ref="C21:H21" si="5">C20-$B$7</f>
        <v>492.82399999999996</v>
      </c>
      <c r="D21" s="30">
        <f t="shared" si="5"/>
        <v>415.44100000000003</v>
      </c>
      <c r="E21" s="30">
        <f t="shared" si="5"/>
        <v>172.547</v>
      </c>
      <c r="F21" s="30">
        <f t="shared" si="5"/>
        <v>676.85899999999992</v>
      </c>
      <c r="G21" s="30">
        <f t="shared" si="5"/>
        <v>960.96100000000001</v>
      </c>
      <c r="H21" s="30">
        <f t="shared" si="5"/>
        <v>290.28899999999999</v>
      </c>
    </row>
    <row r="22" spans="1:16" x14ac:dyDescent="0.2">
      <c r="A22" s="30" t="s">
        <v>214</v>
      </c>
      <c r="C22" s="30">
        <v>1.8520000000000001</v>
      </c>
      <c r="D22" s="30">
        <v>1.2629999999999999</v>
      </c>
      <c r="E22" s="30">
        <v>3.165</v>
      </c>
      <c r="F22" s="30">
        <v>1.3839999999999999</v>
      </c>
      <c r="G22" s="30">
        <v>3.3170000000000002</v>
      </c>
      <c r="H22" s="30">
        <v>9.5719999999999992</v>
      </c>
    </row>
    <row r="23" spans="1:16" x14ac:dyDescent="0.2">
      <c r="A23" s="30" t="s">
        <v>60</v>
      </c>
      <c r="C23" s="30">
        <f t="shared" ref="C23:H23" si="6">SQRT((4+(C22^2)))</f>
        <v>2.7257850245388027</v>
      </c>
      <c r="D23" s="30">
        <f t="shared" si="6"/>
        <v>2.3654109579521272</v>
      </c>
      <c r="E23" s="30">
        <f t="shared" si="6"/>
        <v>3.7439584666499708</v>
      </c>
      <c r="F23" s="30">
        <f t="shared" si="6"/>
        <v>2.432171046616582</v>
      </c>
      <c r="G23" s="30">
        <f t="shared" si="6"/>
        <v>3.873304661397035</v>
      </c>
      <c r="H23" s="30">
        <f t="shared" si="6"/>
        <v>9.7787107534684754</v>
      </c>
    </row>
    <row r="24" spans="1:16" x14ac:dyDescent="0.2">
      <c r="A24" s="30" t="s">
        <v>59</v>
      </c>
      <c r="F24" s="30">
        <f>F21/$G$2</f>
        <v>1.1822985721727519</v>
      </c>
      <c r="G24" s="30">
        <f>G21/$G$2</f>
        <v>1.6785516898108765</v>
      </c>
      <c r="H24" s="30">
        <f>H21/$G$2</f>
        <v>0.50706021522570588</v>
      </c>
    </row>
    <row r="26" spans="1:16" x14ac:dyDescent="0.2">
      <c r="A26" s="45" t="s">
        <v>741</v>
      </c>
      <c r="C26" s="30">
        <v>1</v>
      </c>
    </row>
    <row r="27" spans="1:16" x14ac:dyDescent="0.2">
      <c r="A27" s="30" t="s">
        <v>215</v>
      </c>
      <c r="C27" s="30">
        <v>449.43400000000003</v>
      </c>
    </row>
    <row r="28" spans="1:16" x14ac:dyDescent="0.2">
      <c r="A28" s="30" t="s">
        <v>62</v>
      </c>
      <c r="C28" s="30">
        <f>C27-$B$7</f>
        <v>231.51200000000003</v>
      </c>
    </row>
    <row r="29" spans="1:16" x14ac:dyDescent="0.2">
      <c r="A29" s="30" t="s">
        <v>214</v>
      </c>
      <c r="C29" s="30">
        <v>3.0619999999999998</v>
      </c>
    </row>
    <row r="30" spans="1:16" x14ac:dyDescent="0.2">
      <c r="A30" s="30" t="s">
        <v>60</v>
      </c>
      <c r="C30" s="30">
        <f>SQRT((9+(C29^2)))</f>
        <v>4.2867054948993175</v>
      </c>
    </row>
    <row r="31" spans="1:16" x14ac:dyDescent="0.2">
      <c r="A31" s="30" t="s">
        <v>59</v>
      </c>
    </row>
    <row r="33" spans="1:19" x14ac:dyDescent="0.2">
      <c r="A33" s="45" t="s">
        <v>740</v>
      </c>
      <c r="C33" s="30">
        <v>1</v>
      </c>
      <c r="D33" s="30">
        <v>1</v>
      </c>
      <c r="E33" s="30">
        <v>1</v>
      </c>
      <c r="F33" s="30">
        <v>1</v>
      </c>
      <c r="G33" s="30">
        <v>1</v>
      </c>
      <c r="H33" s="30">
        <v>1</v>
      </c>
    </row>
    <row r="34" spans="1:19" x14ac:dyDescent="0.2">
      <c r="A34" s="30" t="s">
        <v>215</v>
      </c>
      <c r="C34" s="30">
        <v>1135.8399999999999</v>
      </c>
      <c r="D34" s="30">
        <v>836.29700000000003</v>
      </c>
      <c r="E34" s="30">
        <v>717.99599999999998</v>
      </c>
      <c r="F34" s="30">
        <v>1224.8399999999999</v>
      </c>
      <c r="G34" s="30">
        <v>961.77300000000002</v>
      </c>
      <c r="H34" s="30">
        <v>653.60900000000004</v>
      </c>
      <c r="I34" s="30">
        <v>1781.777</v>
      </c>
      <c r="J34" s="30">
        <v>2261.328</v>
      </c>
      <c r="K34" s="30">
        <v>2194.25</v>
      </c>
      <c r="L34" s="30">
        <v>1933.2190000000001</v>
      </c>
      <c r="M34" s="30">
        <v>2131.1840000000002</v>
      </c>
      <c r="N34" s="30">
        <v>1991.4059999999999</v>
      </c>
      <c r="O34" s="30">
        <v>1651.1369999999999</v>
      </c>
      <c r="P34" s="30">
        <v>717.25800000000004</v>
      </c>
      <c r="Q34" s="30">
        <v>723.13699999999994</v>
      </c>
      <c r="R34" s="30">
        <v>613.36300000000006</v>
      </c>
      <c r="S34" s="30">
        <v>1361.922</v>
      </c>
    </row>
    <row r="35" spans="1:19" x14ac:dyDescent="0.2">
      <c r="A35" s="30" t="s">
        <v>62</v>
      </c>
      <c r="C35" s="30">
        <f t="shared" ref="C35:S35" si="7">C34-$B$7</f>
        <v>917.91799999999989</v>
      </c>
      <c r="D35" s="30">
        <f t="shared" si="7"/>
        <v>618.375</v>
      </c>
      <c r="E35" s="30">
        <f t="shared" si="7"/>
        <v>500.07399999999996</v>
      </c>
      <c r="F35" s="30">
        <f t="shared" si="7"/>
        <v>1006.9179999999999</v>
      </c>
      <c r="G35" s="30">
        <f t="shared" si="7"/>
        <v>743.851</v>
      </c>
      <c r="H35" s="30">
        <f t="shared" si="7"/>
        <v>435.68700000000001</v>
      </c>
      <c r="I35" s="30">
        <f t="shared" si="7"/>
        <v>1563.855</v>
      </c>
      <c r="J35" s="30">
        <f t="shared" si="7"/>
        <v>2043.4059999999999</v>
      </c>
      <c r="K35" s="30">
        <f t="shared" si="7"/>
        <v>1976.328</v>
      </c>
      <c r="L35" s="30">
        <f t="shared" si="7"/>
        <v>1715.297</v>
      </c>
      <c r="M35" s="30">
        <f t="shared" si="7"/>
        <v>1913.2620000000002</v>
      </c>
      <c r="N35" s="30">
        <f t="shared" si="7"/>
        <v>1773.4839999999999</v>
      </c>
      <c r="O35" s="30">
        <f t="shared" si="7"/>
        <v>1433.2149999999999</v>
      </c>
      <c r="P35" s="30">
        <f t="shared" si="7"/>
        <v>499.33600000000001</v>
      </c>
      <c r="Q35" s="30">
        <f t="shared" si="7"/>
        <v>505.21499999999992</v>
      </c>
      <c r="R35" s="30">
        <f t="shared" si="7"/>
        <v>395.44100000000003</v>
      </c>
      <c r="S35" s="30">
        <f t="shared" si="7"/>
        <v>1144</v>
      </c>
    </row>
    <row r="36" spans="1:19" x14ac:dyDescent="0.2">
      <c r="A36" s="30" t="s">
        <v>214</v>
      </c>
      <c r="C36" s="30">
        <v>6.681</v>
      </c>
      <c r="D36" s="30">
        <v>6.0339999999999998</v>
      </c>
      <c r="E36" s="30">
        <v>3.8220000000000001</v>
      </c>
      <c r="F36" s="30">
        <v>3.069</v>
      </c>
      <c r="G36" s="30">
        <v>3.2080000000000002</v>
      </c>
      <c r="H36" s="30">
        <v>2.5499999999999998</v>
      </c>
      <c r="I36" s="30">
        <v>3.5579999999999998</v>
      </c>
      <c r="J36" s="30">
        <v>2.625</v>
      </c>
      <c r="K36" s="30">
        <v>2.1880000000000002</v>
      </c>
      <c r="L36" s="30">
        <v>2.5299999999999998</v>
      </c>
      <c r="M36" s="30">
        <v>1.6870000000000001</v>
      </c>
      <c r="N36" s="30">
        <v>1.595</v>
      </c>
      <c r="O36" s="30">
        <v>0.75900000000000001</v>
      </c>
      <c r="P36" s="30">
        <v>2.0979999999999999</v>
      </c>
      <c r="Q36" s="30">
        <v>2.742</v>
      </c>
      <c r="R36" s="30">
        <v>3.7719999999999998</v>
      </c>
      <c r="S36" s="30">
        <v>8.3320000000000007</v>
      </c>
    </row>
    <row r="37" spans="1:19" x14ac:dyDescent="0.2">
      <c r="A37" s="30" t="s">
        <v>60</v>
      </c>
      <c r="C37" s="30">
        <f t="shared" ref="C37:S37" si="8">SQRT((1+(C36^2)))</f>
        <v>6.7554245610472181</v>
      </c>
      <c r="D37" s="30">
        <f t="shared" si="8"/>
        <v>6.116302477804707</v>
      </c>
      <c r="E37" s="30">
        <f t="shared" si="8"/>
        <v>3.9506561480341467</v>
      </c>
      <c r="F37" s="30">
        <f t="shared" si="8"/>
        <v>3.2278105582577177</v>
      </c>
      <c r="G37" s="30">
        <f t="shared" si="8"/>
        <v>3.3602476099240071</v>
      </c>
      <c r="H37" s="30">
        <f t="shared" si="8"/>
        <v>2.7390691849604676</v>
      </c>
      <c r="I37" s="30">
        <f t="shared" si="8"/>
        <v>3.6958576812426096</v>
      </c>
      <c r="J37" s="30">
        <f t="shared" si="8"/>
        <v>2.8090256317805289</v>
      </c>
      <c r="K37" s="30">
        <f t="shared" si="8"/>
        <v>2.4056899218311574</v>
      </c>
      <c r="L37" s="30">
        <f t="shared" si="8"/>
        <v>2.7204595200076032</v>
      </c>
      <c r="M37" s="30">
        <f t="shared" si="8"/>
        <v>1.9611142241083257</v>
      </c>
      <c r="N37" s="30">
        <f t="shared" si="8"/>
        <v>1.8825581000330376</v>
      </c>
      <c r="O37" s="30">
        <f t="shared" si="8"/>
        <v>1.2554206466360189</v>
      </c>
      <c r="P37" s="30">
        <f t="shared" si="8"/>
        <v>2.3241351079487611</v>
      </c>
      <c r="Q37" s="30">
        <f t="shared" si="8"/>
        <v>2.9186579107528172</v>
      </c>
      <c r="R37" s="30">
        <f t="shared" si="8"/>
        <v>3.9023049598922941</v>
      </c>
      <c r="S37" s="30">
        <f t="shared" si="8"/>
        <v>8.3917950403951131</v>
      </c>
    </row>
    <row r="38" spans="1:19" x14ac:dyDescent="0.2">
      <c r="A38" s="30" t="s">
        <v>59</v>
      </c>
      <c r="I38" s="30">
        <f t="shared" ref="I38:S38" si="9">I35/$G$2</f>
        <v>2.7316524321686191</v>
      </c>
      <c r="J38" s="30">
        <f t="shared" si="9"/>
        <v>3.5693046796588872</v>
      </c>
      <c r="K38" s="30">
        <f t="shared" si="9"/>
        <v>3.4521366673783329</v>
      </c>
      <c r="L38" s="30">
        <f t="shared" si="9"/>
        <v>2.9961826524463815</v>
      </c>
      <c r="M38" s="30">
        <f t="shared" si="9"/>
        <v>3.3419765871361458</v>
      </c>
      <c r="N38" s="30">
        <f t="shared" si="9"/>
        <v>3.0978203746588595</v>
      </c>
      <c r="O38" s="30">
        <f t="shared" si="9"/>
        <v>2.503457955226378</v>
      </c>
      <c r="P38" s="30">
        <f t="shared" si="9"/>
        <v>0.87221155341726031</v>
      </c>
      <c r="Q38" s="30">
        <f t="shared" si="9"/>
        <v>0.8824806542282172</v>
      </c>
      <c r="R38" s="30">
        <f t="shared" si="9"/>
        <v>0.69073371215949753</v>
      </c>
      <c r="S38" s="30">
        <f t="shared" si="9"/>
        <v>1.9982737417477325</v>
      </c>
    </row>
    <row r="40" spans="1:19" x14ac:dyDescent="0.2">
      <c r="A40" s="45" t="s">
        <v>739</v>
      </c>
      <c r="C40" s="30">
        <v>1</v>
      </c>
    </row>
    <row r="41" spans="1:19" x14ac:dyDescent="0.2">
      <c r="A41" s="30" t="s">
        <v>215</v>
      </c>
      <c r="C41" s="30">
        <v>485.75</v>
      </c>
      <c r="D41" s="30">
        <v>1564.7729999999999</v>
      </c>
      <c r="E41" s="30">
        <v>1061.1559999999999</v>
      </c>
    </row>
    <row r="42" spans="1:19" x14ac:dyDescent="0.2">
      <c r="A42" s="30" t="s">
        <v>62</v>
      </c>
      <c r="C42" s="30">
        <f>C41-$B$7</f>
        <v>267.82799999999997</v>
      </c>
      <c r="D42" s="30">
        <f>D41-$B$7</f>
        <v>1346.8509999999999</v>
      </c>
      <c r="E42" s="30">
        <f>E41-$B$7</f>
        <v>843.23399999999992</v>
      </c>
    </row>
    <row r="43" spans="1:19" x14ac:dyDescent="0.2">
      <c r="A43" s="30" t="s">
        <v>214</v>
      </c>
      <c r="C43" s="30">
        <v>4.4359999999999999</v>
      </c>
      <c r="D43" s="30">
        <v>2.512</v>
      </c>
      <c r="E43" s="30">
        <v>2.3690000000000002</v>
      </c>
    </row>
    <row r="44" spans="1:19" x14ac:dyDescent="0.2">
      <c r="A44" s="30" t="s">
        <v>60</v>
      </c>
      <c r="C44" s="30">
        <f>SQRT((4+(C43^2)))</f>
        <v>4.8660143855110007</v>
      </c>
      <c r="D44" s="30">
        <f>SQRT((4+(D43^2)))</f>
        <v>3.2109412950099228</v>
      </c>
      <c r="E44" s="30">
        <f>SQRT((4+(E43^2)))</f>
        <v>3.100348528794787</v>
      </c>
    </row>
    <row r="45" spans="1:19" x14ac:dyDescent="0.2">
      <c r="A45" s="30" t="s">
        <v>59</v>
      </c>
      <c r="D45" s="30">
        <f>D42/$G$2</f>
        <v>2.3526022616666742</v>
      </c>
      <c r="E45" s="30">
        <f>E42/$G$2</f>
        <v>1.4729129024028911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18E-0EC4-1146-AE14-167F8121C36C}">
  <dimension ref="A1:T52"/>
  <sheetViews>
    <sheetView workbookViewId="0">
      <selection activeCell="S45" sqref="S45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20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20" x14ac:dyDescent="0.2">
      <c r="A2" s="30" t="s">
        <v>703</v>
      </c>
      <c r="B2" s="42">
        <v>45229</v>
      </c>
      <c r="C2" s="30" t="s">
        <v>222</v>
      </c>
      <c r="E2" s="30">
        <v>46.542999999999999</v>
      </c>
      <c r="G2" s="30">
        <f>AVERAGE(C8:H8,C14:G14,C21:D21,C28:I28,C35,C49:D49)</f>
        <v>177.05439130434786</v>
      </c>
    </row>
    <row r="4" spans="1:20" x14ac:dyDescent="0.2">
      <c r="A4" s="30" t="s">
        <v>738</v>
      </c>
    </row>
    <row r="6" spans="1:20" x14ac:dyDescent="0.2">
      <c r="A6" s="45" t="s">
        <v>737</v>
      </c>
      <c r="B6" s="30" t="s">
        <v>235</v>
      </c>
      <c r="C6" s="30">
        <v>1</v>
      </c>
      <c r="D6" s="30">
        <v>1</v>
      </c>
      <c r="E6" s="30">
        <v>1</v>
      </c>
      <c r="F6" s="30">
        <v>1</v>
      </c>
      <c r="G6" s="30">
        <v>1</v>
      </c>
      <c r="H6" s="30">
        <v>1</v>
      </c>
    </row>
    <row r="7" spans="1:20" x14ac:dyDescent="0.2">
      <c r="A7" s="30" t="s">
        <v>215</v>
      </c>
      <c r="B7" s="30">
        <v>218.68299999999999</v>
      </c>
      <c r="C7" s="30">
        <v>330.55500000000001</v>
      </c>
      <c r="D7" s="30">
        <v>701.99199999999996</v>
      </c>
      <c r="E7" s="30">
        <v>422.86700000000002</v>
      </c>
      <c r="F7" s="30">
        <v>463.03100000000001</v>
      </c>
      <c r="G7" s="30">
        <v>342.47699999999998</v>
      </c>
      <c r="H7" s="30">
        <v>298.613</v>
      </c>
      <c r="I7" s="30">
        <v>498.69900000000001</v>
      </c>
      <c r="J7" s="30">
        <v>263.64100000000002</v>
      </c>
      <c r="K7" s="30">
        <v>828.33600000000001</v>
      </c>
      <c r="L7" s="30">
        <v>885.87099999999998</v>
      </c>
      <c r="M7" s="30">
        <v>793.07</v>
      </c>
      <c r="N7" s="30">
        <v>1141.836</v>
      </c>
      <c r="O7" s="30">
        <v>1333.6410000000001</v>
      </c>
      <c r="P7" s="30">
        <v>792.23800000000006</v>
      </c>
      <c r="Q7" s="30">
        <v>881.375</v>
      </c>
      <c r="R7" s="30">
        <v>1148.6679999999999</v>
      </c>
      <c r="S7" s="30">
        <v>915.84</v>
      </c>
      <c r="T7" s="30">
        <v>668.64499999999998</v>
      </c>
    </row>
    <row r="8" spans="1:20" x14ac:dyDescent="0.2">
      <c r="A8" s="30" t="s">
        <v>62</v>
      </c>
      <c r="C8" s="30">
        <f t="shared" ref="C8:T8" si="0">C7-$B$7</f>
        <v>111.87200000000001</v>
      </c>
      <c r="D8" s="30">
        <f t="shared" si="0"/>
        <v>483.30899999999997</v>
      </c>
      <c r="E8" s="30">
        <f t="shared" si="0"/>
        <v>204.18400000000003</v>
      </c>
      <c r="F8" s="30">
        <f t="shared" si="0"/>
        <v>244.34800000000001</v>
      </c>
      <c r="G8" s="30">
        <f t="shared" si="0"/>
        <v>123.79399999999998</v>
      </c>
      <c r="H8" s="30">
        <f t="shared" si="0"/>
        <v>79.930000000000007</v>
      </c>
      <c r="I8" s="30">
        <f t="shared" si="0"/>
        <v>280.01600000000002</v>
      </c>
      <c r="J8" s="30">
        <f t="shared" si="0"/>
        <v>44.958000000000027</v>
      </c>
      <c r="K8" s="30">
        <f t="shared" si="0"/>
        <v>609.65300000000002</v>
      </c>
      <c r="L8" s="30">
        <f t="shared" si="0"/>
        <v>667.18799999999999</v>
      </c>
      <c r="M8" s="30">
        <f t="shared" si="0"/>
        <v>574.38700000000006</v>
      </c>
      <c r="N8" s="30">
        <f t="shared" si="0"/>
        <v>923.15300000000002</v>
      </c>
      <c r="O8" s="30">
        <f t="shared" si="0"/>
        <v>1114.9580000000001</v>
      </c>
      <c r="P8" s="30">
        <f t="shared" si="0"/>
        <v>573.55500000000006</v>
      </c>
      <c r="Q8" s="30">
        <f t="shared" si="0"/>
        <v>662.69200000000001</v>
      </c>
      <c r="R8" s="30">
        <f t="shared" si="0"/>
        <v>929.9849999999999</v>
      </c>
      <c r="S8" s="30">
        <f t="shared" si="0"/>
        <v>697.15700000000004</v>
      </c>
      <c r="T8" s="30">
        <f t="shared" si="0"/>
        <v>449.96199999999999</v>
      </c>
    </row>
    <row r="9" spans="1:20" x14ac:dyDescent="0.2">
      <c r="A9" s="30" t="s">
        <v>214</v>
      </c>
      <c r="C9" s="30">
        <v>4.2039999999999997</v>
      </c>
      <c r="D9" s="30">
        <v>1.034</v>
      </c>
      <c r="E9" s="30">
        <v>2.2879999999999998</v>
      </c>
      <c r="F9" s="30">
        <v>1.3580000000000001</v>
      </c>
      <c r="G9" s="30">
        <v>0.873</v>
      </c>
      <c r="H9" s="30">
        <v>9.2989999999999995</v>
      </c>
      <c r="I9" s="30">
        <v>2.0209999999999999</v>
      </c>
      <c r="J9" s="30">
        <v>4.9320000000000004</v>
      </c>
      <c r="K9" s="30">
        <v>2.5739999999999998</v>
      </c>
      <c r="L9" s="30">
        <v>3.3119999999999998</v>
      </c>
      <c r="M9" s="30">
        <v>3.8860000000000001</v>
      </c>
      <c r="N9" s="30">
        <v>4.5119999999999996</v>
      </c>
      <c r="O9" s="30">
        <v>4.9020000000000001</v>
      </c>
      <c r="P9" s="30">
        <v>5.4</v>
      </c>
      <c r="Q9" s="30">
        <v>5.2469999999999999</v>
      </c>
      <c r="R9" s="30">
        <v>5.617</v>
      </c>
      <c r="S9" s="30">
        <v>6.1859999999999999</v>
      </c>
      <c r="T9" s="30">
        <v>6.4029999999999996</v>
      </c>
    </row>
    <row r="10" spans="1:20" x14ac:dyDescent="0.2">
      <c r="A10" s="30" t="s">
        <v>59</v>
      </c>
      <c r="I10" s="30">
        <f t="shared" ref="I10:T10" si="1">I8/$G$2</f>
        <v>1.5815253038184531</v>
      </c>
      <c r="J10" s="30">
        <f t="shared" si="1"/>
        <v>0.25392197091976904</v>
      </c>
      <c r="K10" s="30">
        <f t="shared" si="1"/>
        <v>3.4433091182247848</v>
      </c>
      <c r="L10" s="30">
        <f t="shared" si="1"/>
        <v>3.7682657576853678</v>
      </c>
      <c r="M10" s="30">
        <f t="shared" si="1"/>
        <v>3.2441273880220054</v>
      </c>
      <c r="N10" s="30">
        <f t="shared" si="1"/>
        <v>5.2139514484740737</v>
      </c>
      <c r="O10" s="30">
        <f t="shared" si="1"/>
        <v>6.297262619617503</v>
      </c>
      <c r="P10" s="30">
        <f t="shared" si="1"/>
        <v>3.2394282670689991</v>
      </c>
      <c r="Q10" s="30">
        <f t="shared" si="1"/>
        <v>3.7428724309970081</v>
      </c>
      <c r="R10" s="30">
        <f t="shared" si="1"/>
        <v>5.2525384609151038</v>
      </c>
      <c r="S10" s="30">
        <f t="shared" si="1"/>
        <v>3.9375301276861365</v>
      </c>
      <c r="T10" s="30">
        <f t="shared" si="1"/>
        <v>2.5413772382890931</v>
      </c>
    </row>
    <row r="12" spans="1:20" x14ac:dyDescent="0.2">
      <c r="A12" s="45" t="s">
        <v>736</v>
      </c>
      <c r="C12" s="30">
        <v>1</v>
      </c>
      <c r="D12" s="30">
        <v>1</v>
      </c>
      <c r="E12" s="30">
        <v>1</v>
      </c>
      <c r="F12" s="30">
        <v>1</v>
      </c>
      <c r="G12" s="30">
        <v>1</v>
      </c>
    </row>
    <row r="13" spans="1:20" x14ac:dyDescent="0.2">
      <c r="A13" s="30" t="s">
        <v>215</v>
      </c>
      <c r="C13" s="30">
        <v>413.71499999999997</v>
      </c>
      <c r="D13" s="30">
        <v>351.57400000000001</v>
      </c>
      <c r="E13" s="30">
        <v>414.863</v>
      </c>
      <c r="F13" s="30">
        <v>381.21499999999997</v>
      </c>
      <c r="G13" s="30">
        <v>601.58600000000001</v>
      </c>
      <c r="H13" s="30">
        <v>711.29300000000001</v>
      </c>
      <c r="I13" s="30">
        <v>781.86300000000006</v>
      </c>
      <c r="J13" s="30">
        <v>539.71900000000005</v>
      </c>
      <c r="K13" s="30">
        <v>631.05899999999997</v>
      </c>
      <c r="L13" s="30">
        <v>722.89099999999996</v>
      </c>
    </row>
    <row r="14" spans="1:20" x14ac:dyDescent="0.2">
      <c r="A14" s="30" t="s">
        <v>62</v>
      </c>
      <c r="C14" s="30">
        <f t="shared" ref="C14:L14" si="2">C13-$B$7</f>
        <v>195.03199999999998</v>
      </c>
      <c r="D14" s="30">
        <f t="shared" si="2"/>
        <v>132.89100000000002</v>
      </c>
      <c r="E14" s="30">
        <f t="shared" si="2"/>
        <v>196.18</v>
      </c>
      <c r="F14" s="30">
        <f t="shared" si="2"/>
        <v>162.53199999999998</v>
      </c>
      <c r="G14" s="30">
        <f t="shared" si="2"/>
        <v>382.90300000000002</v>
      </c>
      <c r="H14" s="30">
        <f t="shared" si="2"/>
        <v>492.61</v>
      </c>
      <c r="I14" s="30">
        <f t="shared" si="2"/>
        <v>563.18000000000006</v>
      </c>
      <c r="J14" s="30">
        <f t="shared" si="2"/>
        <v>321.03600000000006</v>
      </c>
      <c r="K14" s="30">
        <f t="shared" si="2"/>
        <v>412.37599999999998</v>
      </c>
      <c r="L14" s="30">
        <f t="shared" si="2"/>
        <v>504.20799999999997</v>
      </c>
    </row>
    <row r="15" spans="1:20" x14ac:dyDescent="0.2">
      <c r="A15" s="30" t="s">
        <v>214</v>
      </c>
      <c r="C15" s="30">
        <v>2.3460000000000001</v>
      </c>
      <c r="D15" s="30">
        <v>1.3839999999999999</v>
      </c>
      <c r="E15" s="30">
        <v>1.1379999999999999</v>
      </c>
      <c r="F15" s="30">
        <v>0.873</v>
      </c>
      <c r="G15" s="30">
        <v>1.546</v>
      </c>
      <c r="H15" s="30">
        <v>2.31</v>
      </c>
      <c r="I15" s="30">
        <v>2.9630000000000001</v>
      </c>
      <c r="J15" s="30">
        <v>2.7250000000000001</v>
      </c>
      <c r="K15" s="30">
        <v>4.8810000000000002</v>
      </c>
      <c r="L15" s="30">
        <v>5.6669999999999998</v>
      </c>
    </row>
    <row r="16" spans="1:20" x14ac:dyDescent="0.2">
      <c r="A16" s="30" t="s">
        <v>60</v>
      </c>
      <c r="C16" s="30">
        <f t="shared" ref="C16:L16" si="3">SQRT((1+(C15^2)))</f>
        <v>2.5502384202266266</v>
      </c>
      <c r="D16" s="30">
        <f t="shared" si="3"/>
        <v>1.7074706439643406</v>
      </c>
      <c r="E16" s="30">
        <f t="shared" si="3"/>
        <v>1.5149402628486708</v>
      </c>
      <c r="F16" s="30">
        <f t="shared" si="3"/>
        <v>1.3274520706978463</v>
      </c>
      <c r="G16" s="30">
        <f t="shared" si="3"/>
        <v>1.841226764958624</v>
      </c>
      <c r="H16" s="30">
        <f t="shared" si="3"/>
        <v>2.5171610993339302</v>
      </c>
      <c r="I16" s="30">
        <f t="shared" si="3"/>
        <v>3.1271982668196783</v>
      </c>
      <c r="J16" s="30">
        <f t="shared" si="3"/>
        <v>2.9026927153937603</v>
      </c>
      <c r="K16" s="30">
        <f t="shared" si="3"/>
        <v>4.9823850714291451</v>
      </c>
      <c r="L16" s="30">
        <f t="shared" si="3"/>
        <v>5.7545537620218647</v>
      </c>
    </row>
    <row r="17" spans="1:18" x14ac:dyDescent="0.2">
      <c r="A17" s="30" t="s">
        <v>59</v>
      </c>
      <c r="H17" s="30">
        <f>H14/$G$2</f>
        <v>2.7822523709859728</v>
      </c>
      <c r="I17" s="30">
        <f>I14/$G$2</f>
        <v>3.18083045470429</v>
      </c>
      <c r="J17" s="30">
        <f>J14/$G$2</f>
        <v>1.8132055219582486</v>
      </c>
      <c r="K17" s="30">
        <f>K14/$G$2</f>
        <v>2.3290921900442774</v>
      </c>
      <c r="L17" s="30">
        <f>L14/$G$2</f>
        <v>2.847757665232324</v>
      </c>
    </row>
    <row r="19" spans="1:18" x14ac:dyDescent="0.2">
      <c r="A19" s="45" t="s">
        <v>735</v>
      </c>
      <c r="C19" s="30">
        <v>1</v>
      </c>
      <c r="D19" s="30">
        <v>1</v>
      </c>
    </row>
    <row r="20" spans="1:18" x14ac:dyDescent="0.2">
      <c r="A20" s="30" t="s">
        <v>215</v>
      </c>
      <c r="C20" s="30">
        <v>500.93</v>
      </c>
      <c r="D20" s="30">
        <v>299.69099999999997</v>
      </c>
      <c r="E20" s="30">
        <v>525.15599999999995</v>
      </c>
      <c r="F20" s="30">
        <v>518.34799999999996</v>
      </c>
      <c r="G20" s="30">
        <v>872.31600000000003</v>
      </c>
      <c r="H20" s="30">
        <v>857.32799999999997</v>
      </c>
      <c r="I20" s="30">
        <v>692.29300000000001</v>
      </c>
      <c r="J20" s="30">
        <v>962.39099999999996</v>
      </c>
      <c r="K20" s="30">
        <v>286.14800000000002</v>
      </c>
      <c r="L20" s="30">
        <v>632.25800000000004</v>
      </c>
      <c r="M20" s="30">
        <v>1163.066</v>
      </c>
      <c r="N20" s="30">
        <v>1103.355</v>
      </c>
      <c r="O20" s="30">
        <v>1028.0509999999999</v>
      </c>
      <c r="P20" s="30">
        <v>1240.3710000000001</v>
      </c>
      <c r="Q20" s="30">
        <v>1050.2660000000001</v>
      </c>
      <c r="R20" s="30">
        <v>759.53899999999999</v>
      </c>
    </row>
    <row r="21" spans="1:18" x14ac:dyDescent="0.2">
      <c r="A21" s="30" t="s">
        <v>62</v>
      </c>
      <c r="C21" s="30">
        <f t="shared" ref="C21:R21" si="4">C20-$B$7</f>
        <v>282.24700000000001</v>
      </c>
      <c r="D21" s="30">
        <f t="shared" si="4"/>
        <v>81.007999999999981</v>
      </c>
      <c r="E21" s="30">
        <f t="shared" si="4"/>
        <v>306.47299999999996</v>
      </c>
      <c r="F21" s="30">
        <f t="shared" si="4"/>
        <v>299.66499999999996</v>
      </c>
      <c r="G21" s="30">
        <f t="shared" si="4"/>
        <v>653.63300000000004</v>
      </c>
      <c r="H21" s="30">
        <f t="shared" si="4"/>
        <v>638.64499999999998</v>
      </c>
      <c r="I21" s="30">
        <f t="shared" si="4"/>
        <v>473.61</v>
      </c>
      <c r="J21" s="30">
        <f t="shared" si="4"/>
        <v>743.70799999999997</v>
      </c>
      <c r="K21" s="30">
        <f t="shared" si="4"/>
        <v>67.465000000000032</v>
      </c>
      <c r="L21" s="30">
        <f t="shared" si="4"/>
        <v>413.57500000000005</v>
      </c>
      <c r="M21" s="30">
        <f t="shared" si="4"/>
        <v>944.38300000000004</v>
      </c>
      <c r="N21" s="30">
        <f t="shared" si="4"/>
        <v>884.67200000000003</v>
      </c>
      <c r="O21" s="30">
        <f t="shared" si="4"/>
        <v>809.36799999999994</v>
      </c>
      <c r="P21" s="30">
        <f t="shared" si="4"/>
        <v>1021.6880000000001</v>
      </c>
      <c r="Q21" s="30">
        <f t="shared" si="4"/>
        <v>831.58300000000008</v>
      </c>
      <c r="R21" s="30">
        <f t="shared" si="4"/>
        <v>540.85599999999999</v>
      </c>
    </row>
    <row r="22" spans="1:18" x14ac:dyDescent="0.2">
      <c r="A22" s="30" t="s">
        <v>214</v>
      </c>
      <c r="C22" s="30">
        <v>2.2839999999999998</v>
      </c>
      <c r="D22" s="30">
        <v>4.12</v>
      </c>
      <c r="E22" s="30">
        <v>2.9319999999999999</v>
      </c>
      <c r="F22" s="30">
        <v>2.5299999999999998</v>
      </c>
      <c r="G22" s="30">
        <v>2.4830000000000001</v>
      </c>
      <c r="H22" s="30">
        <v>1.9650000000000001</v>
      </c>
      <c r="I22" s="30">
        <v>1.1359999999999999</v>
      </c>
      <c r="J22" s="30">
        <v>2.0979999999999999</v>
      </c>
      <c r="K22" s="30">
        <v>7.5430000000000001</v>
      </c>
      <c r="L22" s="30">
        <v>4.3659999999999997</v>
      </c>
      <c r="M22" s="30">
        <v>4.327</v>
      </c>
      <c r="N22" s="30">
        <v>5.2510000000000003</v>
      </c>
      <c r="O22" s="30">
        <v>4.5359999999999996</v>
      </c>
      <c r="P22" s="30">
        <v>5.1319999999999997</v>
      </c>
      <c r="Q22" s="30">
        <v>5.8440000000000003</v>
      </c>
      <c r="R22" s="30">
        <v>6.6269999999999998</v>
      </c>
    </row>
    <row r="23" spans="1:18" x14ac:dyDescent="0.2">
      <c r="A23" s="30" t="s">
        <v>60</v>
      </c>
      <c r="C23" s="30">
        <f t="shared" ref="C23:R23" si="5">SQRT((1+(C22^2)))</f>
        <v>2.493322281615435</v>
      </c>
      <c r="D23" s="30">
        <f t="shared" si="5"/>
        <v>4.2396226247155537</v>
      </c>
      <c r="E23" s="30">
        <f t="shared" si="5"/>
        <v>3.0978418294031735</v>
      </c>
      <c r="F23" s="30">
        <f t="shared" si="5"/>
        <v>2.7204595200076032</v>
      </c>
      <c r="G23" s="30">
        <f t="shared" si="5"/>
        <v>2.6768057456603009</v>
      </c>
      <c r="H23" s="30">
        <f t="shared" si="5"/>
        <v>2.2048185866415406</v>
      </c>
      <c r="I23" s="30">
        <f t="shared" si="5"/>
        <v>1.5134384691820146</v>
      </c>
      <c r="J23" s="30">
        <f t="shared" si="5"/>
        <v>2.3241351079487611</v>
      </c>
      <c r="K23" s="30">
        <f t="shared" si="5"/>
        <v>7.6089978972266774</v>
      </c>
      <c r="L23" s="30">
        <f t="shared" si="5"/>
        <v>4.4790574901423179</v>
      </c>
      <c r="M23" s="30">
        <f t="shared" si="5"/>
        <v>4.441050438803865</v>
      </c>
      <c r="N23" s="30">
        <f t="shared" si="5"/>
        <v>5.345371923449294</v>
      </c>
      <c r="O23" s="30">
        <f t="shared" si="5"/>
        <v>4.6449215278624454</v>
      </c>
      <c r="P23" s="30">
        <f t="shared" si="5"/>
        <v>5.2285202495543608</v>
      </c>
      <c r="Q23" s="30">
        <f t="shared" si="5"/>
        <v>5.9289405461684304</v>
      </c>
      <c r="R23" s="30">
        <f t="shared" si="5"/>
        <v>6.7020242464497244</v>
      </c>
    </row>
    <row r="24" spans="1:18" x14ac:dyDescent="0.2">
      <c r="A24" s="30" t="s">
        <v>59</v>
      </c>
      <c r="E24" s="30">
        <f t="shared" ref="E24:R24" si="6">E21/$G$2</f>
        <v>1.7309539613348974</v>
      </c>
      <c r="F24" s="30">
        <f t="shared" si="6"/>
        <v>1.6925025004598189</v>
      </c>
      <c r="G24" s="30">
        <f t="shared" si="6"/>
        <v>3.6917073628320058</v>
      </c>
      <c r="H24" s="30">
        <f t="shared" si="6"/>
        <v>3.6070554098949197</v>
      </c>
      <c r="I24" s="30">
        <f t="shared" si="6"/>
        <v>2.6749407146072279</v>
      </c>
      <c r="J24" s="30">
        <f t="shared" si="6"/>
        <v>4.2004493337959756</v>
      </c>
      <c r="K24" s="30">
        <f t="shared" si="6"/>
        <v>0.38104109987326429</v>
      </c>
      <c r="L24" s="30">
        <f t="shared" si="6"/>
        <v>2.3358641203599677</v>
      </c>
      <c r="M24" s="30">
        <f t="shared" si="6"/>
        <v>5.3338581045225348</v>
      </c>
      <c r="N24" s="30">
        <f t="shared" si="6"/>
        <v>4.9966114564156277</v>
      </c>
      <c r="O24" s="30">
        <f t="shared" si="6"/>
        <v>4.5712958263132588</v>
      </c>
      <c r="P24" s="30">
        <f t="shared" si="6"/>
        <v>5.77047534643616</v>
      </c>
      <c r="Q24" s="30">
        <f t="shared" si="6"/>
        <v>4.6967657445476707</v>
      </c>
      <c r="R24" s="30">
        <f t="shared" si="6"/>
        <v>3.0547449064411789</v>
      </c>
    </row>
    <row r="26" spans="1:18" x14ac:dyDescent="0.2">
      <c r="A26" s="45" t="s">
        <v>734</v>
      </c>
      <c r="C26" s="30">
        <v>1</v>
      </c>
      <c r="D26" s="30">
        <v>1</v>
      </c>
      <c r="E26" s="30">
        <v>1</v>
      </c>
      <c r="F26" s="30">
        <v>1</v>
      </c>
      <c r="G26" s="30">
        <v>1</v>
      </c>
      <c r="H26" s="30">
        <v>1</v>
      </c>
      <c r="I26" s="30">
        <v>1</v>
      </c>
    </row>
    <row r="27" spans="1:18" x14ac:dyDescent="0.2">
      <c r="A27" s="30" t="s">
        <v>215</v>
      </c>
      <c r="C27" s="30">
        <v>305.21499999999997</v>
      </c>
      <c r="D27" s="30">
        <v>303.39800000000002</v>
      </c>
      <c r="E27" s="30">
        <v>278.59800000000001</v>
      </c>
      <c r="F27" s="30">
        <v>262.19900000000001</v>
      </c>
      <c r="G27" s="30">
        <v>467.81200000000001</v>
      </c>
      <c r="H27" s="30">
        <v>406.49200000000002</v>
      </c>
      <c r="I27" s="30">
        <v>413.28100000000001</v>
      </c>
      <c r="J27" s="30">
        <v>816.45299999999997</v>
      </c>
      <c r="K27" s="30">
        <v>1104.2660000000001</v>
      </c>
      <c r="L27" s="30">
        <v>871.26599999999996</v>
      </c>
      <c r="M27" s="30">
        <v>578.01199999999994</v>
      </c>
      <c r="N27" s="30">
        <v>905.68</v>
      </c>
      <c r="O27" s="30">
        <v>533.86300000000006</v>
      </c>
      <c r="P27" s="30">
        <v>449.31200000000001</v>
      </c>
    </row>
    <row r="28" spans="1:18" x14ac:dyDescent="0.2">
      <c r="A28" s="30" t="s">
        <v>733</v>
      </c>
      <c r="C28" s="30">
        <f t="shared" ref="C28:P28" si="7">C27-$B$7</f>
        <v>86.531999999999982</v>
      </c>
      <c r="D28" s="30">
        <f t="shared" si="7"/>
        <v>84.715000000000032</v>
      </c>
      <c r="E28" s="30">
        <f t="shared" si="7"/>
        <v>59.91500000000002</v>
      </c>
      <c r="F28" s="30">
        <f t="shared" si="7"/>
        <v>43.51600000000002</v>
      </c>
      <c r="G28" s="30">
        <f t="shared" si="7"/>
        <v>249.12900000000002</v>
      </c>
      <c r="H28" s="30">
        <f t="shared" si="7"/>
        <v>187.80900000000003</v>
      </c>
      <c r="I28" s="30">
        <f t="shared" si="7"/>
        <v>194.59800000000001</v>
      </c>
      <c r="J28" s="30">
        <f t="shared" si="7"/>
        <v>597.77</v>
      </c>
      <c r="K28" s="30">
        <f t="shared" si="7"/>
        <v>885.58300000000008</v>
      </c>
      <c r="L28" s="30">
        <f t="shared" si="7"/>
        <v>652.58299999999997</v>
      </c>
      <c r="M28" s="30">
        <f t="shared" si="7"/>
        <v>359.32899999999995</v>
      </c>
      <c r="N28" s="30">
        <f t="shared" si="7"/>
        <v>686.99699999999996</v>
      </c>
      <c r="O28" s="30">
        <f t="shared" si="7"/>
        <v>315.18000000000006</v>
      </c>
      <c r="P28" s="30">
        <f t="shared" si="7"/>
        <v>230.62900000000002</v>
      </c>
    </row>
    <row r="29" spans="1:18" x14ac:dyDescent="0.2">
      <c r="A29" s="30" t="s">
        <v>214</v>
      </c>
      <c r="C29" s="30">
        <v>8.11</v>
      </c>
      <c r="D29" s="30">
        <v>5.4180000000000001</v>
      </c>
      <c r="E29" s="30">
        <v>6.0529999999999999</v>
      </c>
      <c r="F29" s="30">
        <v>7.484</v>
      </c>
      <c r="G29" s="30">
        <v>7.8810000000000002</v>
      </c>
      <c r="H29" s="30">
        <v>7.2619999999999996</v>
      </c>
      <c r="I29" s="30">
        <v>6.6159999999999997</v>
      </c>
      <c r="J29" s="30">
        <v>3.0019999999999998</v>
      </c>
      <c r="K29" s="30">
        <v>2.3149999999999999</v>
      </c>
      <c r="L29" s="30">
        <v>2.375</v>
      </c>
      <c r="M29" s="30">
        <v>3.5880000000000001</v>
      </c>
      <c r="N29" s="30">
        <v>4.0259999999999998</v>
      </c>
      <c r="O29" s="30">
        <v>4.5620000000000003</v>
      </c>
      <c r="P29" s="30">
        <v>5.2809999999999997</v>
      </c>
    </row>
    <row r="30" spans="1:18" x14ac:dyDescent="0.2">
      <c r="A30" s="30" t="s">
        <v>60</v>
      </c>
      <c r="C30" s="30">
        <f t="shared" ref="C30:P30" si="8">SQRT((4+(C29^2)))</f>
        <v>8.352969531849137</v>
      </c>
      <c r="D30" s="30">
        <f t="shared" si="8"/>
        <v>5.7753548808709585</v>
      </c>
      <c r="E30" s="30">
        <f t="shared" si="8"/>
        <v>6.3748575670363019</v>
      </c>
      <c r="F30" s="30">
        <f t="shared" si="8"/>
        <v>7.7466286860801583</v>
      </c>
      <c r="G30" s="30">
        <f t="shared" si="8"/>
        <v>8.130815518753332</v>
      </c>
      <c r="H30" s="30">
        <f t="shared" si="8"/>
        <v>7.5323730656413979</v>
      </c>
      <c r="I30" s="30">
        <f t="shared" si="8"/>
        <v>6.9116898078545157</v>
      </c>
      <c r="J30" s="30">
        <f t="shared" si="8"/>
        <v>3.6072155466509068</v>
      </c>
      <c r="K30" s="30">
        <f t="shared" si="8"/>
        <v>3.059285047196485</v>
      </c>
      <c r="L30" s="30">
        <f t="shared" si="8"/>
        <v>3.1049355870935553</v>
      </c>
      <c r="M30" s="30">
        <f t="shared" si="8"/>
        <v>4.1077663029924185</v>
      </c>
      <c r="N30" s="30">
        <f t="shared" si="8"/>
        <v>4.4954060995643097</v>
      </c>
      <c r="O30" s="30">
        <f t="shared" si="8"/>
        <v>4.9811488634651351</v>
      </c>
      <c r="P30" s="30">
        <f t="shared" si="8"/>
        <v>5.6470311669053146</v>
      </c>
    </row>
    <row r="31" spans="1:18" x14ac:dyDescent="0.2">
      <c r="A31" s="30" t="s">
        <v>59</v>
      </c>
      <c r="J31" s="30">
        <f t="shared" ref="J31:P31" si="9">J28/$G$2</f>
        <v>3.3761941491327518</v>
      </c>
      <c r="K31" s="30">
        <f t="shared" si="9"/>
        <v>5.0017567679398933</v>
      </c>
      <c r="L31" s="30">
        <f t="shared" si="9"/>
        <v>3.6857769818216011</v>
      </c>
      <c r="M31" s="30">
        <f t="shared" si="9"/>
        <v>2.029483693416736</v>
      </c>
      <c r="N31" s="30">
        <f t="shared" si="9"/>
        <v>3.8801466314330813</v>
      </c>
      <c r="O31" s="30">
        <f t="shared" si="9"/>
        <v>1.7801309398659366</v>
      </c>
      <c r="P31" s="30">
        <f t="shared" si="9"/>
        <v>1.3025884209986072</v>
      </c>
    </row>
    <row r="33" spans="1:4" x14ac:dyDescent="0.2">
      <c r="A33" s="45" t="s">
        <v>732</v>
      </c>
      <c r="C33" s="30">
        <v>1</v>
      </c>
    </row>
    <row r="34" spans="1:4" x14ac:dyDescent="0.2">
      <c r="A34" s="30" t="s">
        <v>215</v>
      </c>
      <c r="C34" s="30">
        <v>365.59</v>
      </c>
      <c r="D34" s="30">
        <v>530.21100000000001</v>
      </c>
    </row>
    <row r="35" spans="1:4" x14ac:dyDescent="0.2">
      <c r="A35" s="30" t="s">
        <v>62</v>
      </c>
      <c r="C35" s="30">
        <f>C34-$B$7</f>
        <v>146.90699999999998</v>
      </c>
      <c r="D35" s="30">
        <f>D34-$B$7</f>
        <v>311.52800000000002</v>
      </c>
    </row>
    <row r="36" spans="1:4" x14ac:dyDescent="0.2">
      <c r="A36" s="30" t="s">
        <v>214</v>
      </c>
      <c r="C36" s="30">
        <v>2.2679999999999998</v>
      </c>
      <c r="D36" s="30">
        <v>2.6339999999999999</v>
      </c>
    </row>
    <row r="37" spans="1:4" x14ac:dyDescent="0.2">
      <c r="A37" s="30" t="s">
        <v>60</v>
      </c>
      <c r="C37" s="30">
        <f>SQRT((9+(C36^2)))</f>
        <v>3.7608275685013797</v>
      </c>
      <c r="D37" s="30">
        <f>SQRT((9+(D36^2)))</f>
        <v>3.9922369669146645</v>
      </c>
    </row>
    <row r="38" spans="1:4" x14ac:dyDescent="0.2">
      <c r="A38" s="30" t="s">
        <v>59</v>
      </c>
      <c r="D38" s="30">
        <f>D35/G2</f>
        <v>1.7595045099135587</v>
      </c>
    </row>
    <row r="40" spans="1:4" x14ac:dyDescent="0.2">
      <c r="A40" s="45" t="s">
        <v>731</v>
      </c>
    </row>
    <row r="41" spans="1:4" x14ac:dyDescent="0.2">
      <c r="A41" s="30" t="s">
        <v>215</v>
      </c>
      <c r="C41" s="30">
        <v>314.15199999999999</v>
      </c>
    </row>
    <row r="42" spans="1:4" x14ac:dyDescent="0.2">
      <c r="A42" s="30" t="s">
        <v>62</v>
      </c>
      <c r="C42" s="30">
        <f>C41-B7</f>
        <v>95.468999999999994</v>
      </c>
    </row>
    <row r="43" spans="1:4" x14ac:dyDescent="0.2">
      <c r="A43" s="30" t="s">
        <v>214</v>
      </c>
      <c r="C43" s="30">
        <v>7.2910000000000004</v>
      </c>
    </row>
    <row r="44" spans="1:4" x14ac:dyDescent="0.2">
      <c r="A44" s="30" t="s">
        <v>60</v>
      </c>
      <c r="C44" s="30">
        <f>SQRT((16+(C43^2)))</f>
        <v>8.3161698515602716</v>
      </c>
    </row>
    <row r="45" spans="1:4" x14ac:dyDescent="0.2">
      <c r="A45" s="30" t="s">
        <v>59</v>
      </c>
      <c r="C45" s="30">
        <f>C42/G2</f>
        <v>0.53920718541170465</v>
      </c>
    </row>
    <row r="47" spans="1:4" x14ac:dyDescent="0.2">
      <c r="A47" s="45" t="s">
        <v>730</v>
      </c>
      <c r="C47" s="30">
        <v>1</v>
      </c>
      <c r="D47" s="30">
        <v>1</v>
      </c>
    </row>
    <row r="48" spans="1:4" x14ac:dyDescent="0.2">
      <c r="A48" s="30" t="s">
        <v>215</v>
      </c>
      <c r="C48" s="30">
        <v>407.87099999999998</v>
      </c>
      <c r="D48" s="30">
        <v>368.39499999999998</v>
      </c>
    </row>
    <row r="49" spans="1:4" x14ac:dyDescent="0.2">
      <c r="A49" s="30" t="s">
        <v>62</v>
      </c>
      <c r="C49" s="30">
        <f>C48-$B$7</f>
        <v>189.18799999999999</v>
      </c>
      <c r="D49" s="30">
        <f>D48-$B$7</f>
        <v>149.71199999999999</v>
      </c>
    </row>
    <row r="50" spans="1:4" x14ac:dyDescent="0.2">
      <c r="A50" s="30" t="s">
        <v>214</v>
      </c>
      <c r="C50" s="30">
        <v>5.266</v>
      </c>
      <c r="D50" s="30">
        <v>5.8259999999999996</v>
      </c>
    </row>
    <row r="51" spans="1:4" x14ac:dyDescent="0.2">
      <c r="A51" s="30" t="s">
        <v>60</v>
      </c>
      <c r="C51" s="30">
        <f>SQRT((25+(C50^2)))</f>
        <v>7.2615945907217929</v>
      </c>
      <c r="D51" s="30">
        <f>SQRT((25+(D50^2)))</f>
        <v>7.6773873160079651</v>
      </c>
    </row>
    <row r="52" spans="1:4" x14ac:dyDescent="0.2">
      <c r="A52" s="30" t="s">
        <v>59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9A0D-5015-9E45-B340-FD2FBED3DE6D}">
  <dimension ref="A1:P73"/>
  <sheetViews>
    <sheetView workbookViewId="0">
      <selection activeCell="S41" sqref="S41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15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5" x14ac:dyDescent="0.2">
      <c r="A2" s="30" t="s">
        <v>703</v>
      </c>
      <c r="B2" s="42">
        <v>45229</v>
      </c>
      <c r="C2" s="30" t="s">
        <v>222</v>
      </c>
      <c r="E2" s="30">
        <v>46.012</v>
      </c>
      <c r="G2" s="30">
        <f>AVERAGE(C8:H8,C14:E14,C21:E21,C28:D28,C35,C42:H42,C49:G49,C56:D56,C63,C70:F70)</f>
        <v>673.42951515151515</v>
      </c>
    </row>
    <row r="4" spans="1:15" x14ac:dyDescent="0.2">
      <c r="A4" s="30" t="s">
        <v>719</v>
      </c>
    </row>
    <row r="6" spans="1:15" x14ac:dyDescent="0.2">
      <c r="A6" s="45" t="s">
        <v>718</v>
      </c>
      <c r="B6" s="30" t="s">
        <v>235</v>
      </c>
      <c r="C6" s="30">
        <v>1</v>
      </c>
      <c r="D6" s="30">
        <v>1</v>
      </c>
      <c r="E6" s="30">
        <v>1</v>
      </c>
      <c r="F6" s="30">
        <v>1</v>
      </c>
      <c r="G6" s="30">
        <v>1</v>
      </c>
      <c r="H6" s="30">
        <v>1</v>
      </c>
    </row>
    <row r="7" spans="1:15" x14ac:dyDescent="0.2">
      <c r="A7" s="30" t="s">
        <v>215</v>
      </c>
      <c r="B7" s="30">
        <v>220.94</v>
      </c>
      <c r="C7" s="30">
        <v>503.64800000000002</v>
      </c>
      <c r="D7" s="30">
        <v>586.55499999999995</v>
      </c>
      <c r="E7" s="30">
        <v>660.93</v>
      </c>
      <c r="F7" s="30">
        <v>858.63300000000004</v>
      </c>
      <c r="G7" s="30">
        <v>824.38699999999994</v>
      </c>
      <c r="H7" s="30">
        <v>517.62099999999998</v>
      </c>
      <c r="I7" s="30">
        <v>1670.27</v>
      </c>
      <c r="J7" s="30">
        <v>2345.2809999999999</v>
      </c>
      <c r="K7" s="30">
        <v>3412.6680000000001</v>
      </c>
      <c r="L7" s="30">
        <v>3913.3240000000001</v>
      </c>
      <c r="M7" s="30">
        <v>2859.4450000000002</v>
      </c>
      <c r="N7" s="30">
        <v>1340.539</v>
      </c>
      <c r="O7" s="30">
        <v>2909.2620000000002</v>
      </c>
    </row>
    <row r="8" spans="1:15" x14ac:dyDescent="0.2">
      <c r="A8" s="30" t="s">
        <v>62</v>
      </c>
      <c r="C8" s="30">
        <f t="shared" ref="C8:O8" si="0">C7-$B$7</f>
        <v>282.70800000000003</v>
      </c>
      <c r="D8" s="30">
        <f t="shared" si="0"/>
        <v>365.61499999999995</v>
      </c>
      <c r="E8" s="30">
        <f t="shared" si="0"/>
        <v>439.98999999999995</v>
      </c>
      <c r="F8" s="30">
        <f t="shared" si="0"/>
        <v>637.69299999999998</v>
      </c>
      <c r="G8" s="30">
        <f t="shared" si="0"/>
        <v>603.44699999999989</v>
      </c>
      <c r="H8" s="30">
        <f t="shared" si="0"/>
        <v>296.68099999999998</v>
      </c>
      <c r="I8" s="30">
        <f t="shared" si="0"/>
        <v>1449.33</v>
      </c>
      <c r="J8" s="30">
        <f t="shared" si="0"/>
        <v>2124.3409999999999</v>
      </c>
      <c r="K8" s="30">
        <f t="shared" si="0"/>
        <v>3191.7280000000001</v>
      </c>
      <c r="L8" s="30">
        <f t="shared" si="0"/>
        <v>3692.384</v>
      </c>
      <c r="M8" s="30">
        <f t="shared" si="0"/>
        <v>2638.5050000000001</v>
      </c>
      <c r="N8" s="30">
        <f t="shared" si="0"/>
        <v>1119.5989999999999</v>
      </c>
      <c r="O8" s="30">
        <f t="shared" si="0"/>
        <v>2688.3220000000001</v>
      </c>
    </row>
    <row r="9" spans="1:15" x14ac:dyDescent="0.2">
      <c r="A9" s="30" t="s">
        <v>214</v>
      </c>
      <c r="C9" s="30">
        <v>22.053999999999998</v>
      </c>
      <c r="D9" s="30">
        <v>3.56</v>
      </c>
      <c r="E9" s="30">
        <v>2.1440000000000001</v>
      </c>
      <c r="F9" s="30">
        <v>1.083</v>
      </c>
      <c r="G9" s="30">
        <v>1.667</v>
      </c>
      <c r="H9" s="30">
        <v>2.89</v>
      </c>
      <c r="I9" s="30">
        <v>2.488</v>
      </c>
      <c r="J9" s="30">
        <v>3.2629999999999999</v>
      </c>
      <c r="K9" s="30">
        <v>3.1349999999999998</v>
      </c>
      <c r="L9" s="30">
        <v>2.7839999999999998</v>
      </c>
      <c r="M9" s="30">
        <v>2.3170000000000002</v>
      </c>
      <c r="N9" s="30">
        <v>2.1869999999999998</v>
      </c>
      <c r="O9" s="30">
        <v>2.8090000000000002</v>
      </c>
    </row>
    <row r="10" spans="1:15" x14ac:dyDescent="0.2">
      <c r="A10" s="30" t="s">
        <v>59</v>
      </c>
      <c r="I10" s="30">
        <f t="shared" ref="I10:O10" si="1">I8/$G$2</f>
        <v>2.1521628728641553</v>
      </c>
      <c r="J10" s="30">
        <f t="shared" si="1"/>
        <v>3.1545112772819937</v>
      </c>
      <c r="K10" s="30">
        <f t="shared" si="1"/>
        <v>4.7395130866544983</v>
      </c>
      <c r="L10" s="30">
        <f t="shared" si="1"/>
        <v>5.4829554050200029</v>
      </c>
      <c r="M10" s="30">
        <f t="shared" si="1"/>
        <v>3.9180121165410489</v>
      </c>
      <c r="N10" s="30">
        <f t="shared" si="1"/>
        <v>1.6625333086983884</v>
      </c>
      <c r="O10" s="30">
        <f t="shared" si="1"/>
        <v>3.9919871931885158</v>
      </c>
    </row>
    <row r="12" spans="1:15" x14ac:dyDescent="0.2">
      <c r="A12" s="45" t="s">
        <v>717</v>
      </c>
      <c r="C12" s="30">
        <v>1</v>
      </c>
      <c r="D12" s="30">
        <v>1</v>
      </c>
      <c r="E12" s="30">
        <v>1</v>
      </c>
    </row>
    <row r="13" spans="1:15" x14ac:dyDescent="0.2">
      <c r="A13" s="30" t="s">
        <v>215</v>
      </c>
      <c r="C13" s="30">
        <v>944.41399999999999</v>
      </c>
      <c r="D13" s="30">
        <v>1188.7380000000001</v>
      </c>
      <c r="E13" s="30">
        <v>943.62099999999998</v>
      </c>
      <c r="F13" s="30">
        <v>953.25800000000004</v>
      </c>
      <c r="G13" s="30">
        <v>2617.105</v>
      </c>
      <c r="H13" s="30">
        <v>3407.5619999999999</v>
      </c>
      <c r="I13" s="30">
        <v>3472.1129999999998</v>
      </c>
      <c r="J13" s="30">
        <v>2889.2379999999998</v>
      </c>
      <c r="K13" s="30">
        <v>1637.527</v>
      </c>
      <c r="L13" s="30">
        <v>1625.7929999999999</v>
      </c>
      <c r="M13" s="30">
        <v>1323.4570000000001</v>
      </c>
      <c r="N13" s="30">
        <v>2085.047</v>
      </c>
    </row>
    <row r="14" spans="1:15" x14ac:dyDescent="0.2">
      <c r="A14" s="30" t="s">
        <v>62</v>
      </c>
      <c r="C14" s="30">
        <f t="shared" ref="C14:N14" si="2">C13-$B$7</f>
        <v>723.47399999999993</v>
      </c>
      <c r="D14" s="30">
        <f t="shared" si="2"/>
        <v>967.798</v>
      </c>
      <c r="E14" s="30">
        <f t="shared" si="2"/>
        <v>722.68100000000004</v>
      </c>
      <c r="F14" s="30">
        <f t="shared" si="2"/>
        <v>732.31799999999998</v>
      </c>
      <c r="G14" s="30">
        <f t="shared" si="2"/>
        <v>2396.165</v>
      </c>
      <c r="H14" s="30">
        <f t="shared" si="2"/>
        <v>3186.6219999999998</v>
      </c>
      <c r="I14" s="30">
        <f t="shared" si="2"/>
        <v>3251.1729999999998</v>
      </c>
      <c r="J14" s="30">
        <f t="shared" si="2"/>
        <v>2668.2979999999998</v>
      </c>
      <c r="K14" s="30">
        <f t="shared" si="2"/>
        <v>1416.587</v>
      </c>
      <c r="L14" s="30">
        <f t="shared" si="2"/>
        <v>1404.8529999999998</v>
      </c>
      <c r="M14" s="30">
        <f t="shared" si="2"/>
        <v>1102.5170000000001</v>
      </c>
      <c r="N14" s="30">
        <f t="shared" si="2"/>
        <v>1864.107</v>
      </c>
    </row>
    <row r="15" spans="1:15" x14ac:dyDescent="0.2">
      <c r="A15" s="30" t="s">
        <v>214</v>
      </c>
      <c r="C15" s="30">
        <v>2.2320000000000002</v>
      </c>
      <c r="D15" s="30">
        <v>1.6160000000000001</v>
      </c>
      <c r="E15" s="30">
        <v>0.88900000000000001</v>
      </c>
      <c r="F15" s="30">
        <v>3.33</v>
      </c>
      <c r="G15" s="30">
        <v>2.9540000000000002</v>
      </c>
      <c r="H15" s="30">
        <v>2.488</v>
      </c>
      <c r="I15" s="30">
        <v>2.7519999999999998</v>
      </c>
      <c r="J15" s="30">
        <v>1.9079999999999999</v>
      </c>
      <c r="K15" s="30">
        <v>2.4430000000000001</v>
      </c>
      <c r="L15" s="30">
        <v>2.6869999999999998</v>
      </c>
      <c r="M15" s="30">
        <v>2.5840000000000001</v>
      </c>
      <c r="N15" s="30">
        <v>2.0289999999999999</v>
      </c>
    </row>
    <row r="16" spans="1:15" x14ac:dyDescent="0.2">
      <c r="A16" s="30" t="s">
        <v>60</v>
      </c>
      <c r="C16" s="30">
        <f t="shared" ref="C16:N16" si="3">SQRT((1+(C15^2)))</f>
        <v>2.4457767682272236</v>
      </c>
      <c r="D16" s="30">
        <f t="shared" si="3"/>
        <v>1.9003831192683227</v>
      </c>
      <c r="E16" s="30">
        <f t="shared" si="3"/>
        <v>1.3380287739805896</v>
      </c>
      <c r="F16" s="30">
        <f t="shared" si="3"/>
        <v>3.4769095472847722</v>
      </c>
      <c r="G16" s="30">
        <f t="shared" si="3"/>
        <v>3.1186721533370578</v>
      </c>
      <c r="H16" s="30">
        <f t="shared" si="3"/>
        <v>2.6814443868930042</v>
      </c>
      <c r="I16" s="30">
        <f t="shared" si="3"/>
        <v>2.9280546442988387</v>
      </c>
      <c r="J16" s="30">
        <f t="shared" si="3"/>
        <v>2.1541736234574964</v>
      </c>
      <c r="K16" s="30">
        <f t="shared" si="3"/>
        <v>2.6397441163870412</v>
      </c>
      <c r="L16" s="30">
        <f t="shared" si="3"/>
        <v>2.8670488311153681</v>
      </c>
      <c r="M16" s="30">
        <f t="shared" si="3"/>
        <v>2.7707500789497419</v>
      </c>
      <c r="N16" s="30">
        <f t="shared" si="3"/>
        <v>2.2620435451157874</v>
      </c>
    </row>
    <row r="17" spans="1:14" x14ac:dyDescent="0.2">
      <c r="A17" s="30" t="s">
        <v>59</v>
      </c>
      <c r="F17" s="30">
        <f t="shared" ref="F17:N17" si="4">F14/$G$2</f>
        <v>1.087445654702609</v>
      </c>
      <c r="G17" s="30">
        <f t="shared" si="4"/>
        <v>3.558152629322886</v>
      </c>
      <c r="H17" s="30">
        <f t="shared" si="4"/>
        <v>4.7319310013952096</v>
      </c>
      <c r="I17" s="30">
        <f t="shared" si="4"/>
        <v>4.8277851309628401</v>
      </c>
      <c r="J17" s="30">
        <f t="shared" si="4"/>
        <v>3.9622528267114316</v>
      </c>
      <c r="K17" s="30">
        <f t="shared" si="4"/>
        <v>2.1035416003132585</v>
      </c>
      <c r="L17" s="30">
        <f t="shared" si="4"/>
        <v>2.0861173565936171</v>
      </c>
      <c r="M17" s="30">
        <f t="shared" si="4"/>
        <v>1.6371676251106166</v>
      </c>
      <c r="N17" s="30">
        <f t="shared" si="4"/>
        <v>2.7680803381191184</v>
      </c>
    </row>
    <row r="19" spans="1:14" x14ac:dyDescent="0.2">
      <c r="A19" s="45" t="s">
        <v>716</v>
      </c>
      <c r="C19" s="30">
        <v>1</v>
      </c>
      <c r="D19" s="30">
        <v>1</v>
      </c>
      <c r="E19" s="30">
        <v>1</v>
      </c>
    </row>
    <row r="20" spans="1:14" x14ac:dyDescent="0.2">
      <c r="A20" s="30" t="s">
        <v>215</v>
      </c>
      <c r="C20" s="30">
        <v>510.20699999999999</v>
      </c>
      <c r="D20" s="30">
        <v>649.375</v>
      </c>
      <c r="E20" s="30">
        <v>1264.6679999999999</v>
      </c>
      <c r="F20" s="30">
        <v>2057.23</v>
      </c>
      <c r="G20" s="30">
        <v>1938.0940000000001</v>
      </c>
      <c r="H20" s="30">
        <v>1887.9880000000001</v>
      </c>
      <c r="I20" s="30">
        <v>1589.7729999999999</v>
      </c>
      <c r="J20" s="30">
        <v>716.50800000000004</v>
      </c>
    </row>
    <row r="21" spans="1:14" x14ac:dyDescent="0.2">
      <c r="A21" s="30" t="s">
        <v>62</v>
      </c>
      <c r="C21" s="30">
        <f t="shared" ref="C21:J21" si="5">C20-$B$7</f>
        <v>289.267</v>
      </c>
      <c r="D21" s="30">
        <f t="shared" si="5"/>
        <v>428.435</v>
      </c>
      <c r="E21" s="30">
        <f t="shared" si="5"/>
        <v>1043.7279999999998</v>
      </c>
      <c r="F21" s="30">
        <f t="shared" si="5"/>
        <v>1836.29</v>
      </c>
      <c r="G21" s="30">
        <f t="shared" si="5"/>
        <v>1717.154</v>
      </c>
      <c r="H21" s="30">
        <f t="shared" si="5"/>
        <v>1667.048</v>
      </c>
      <c r="I21" s="30">
        <f t="shared" si="5"/>
        <v>1368.8329999999999</v>
      </c>
      <c r="J21" s="30">
        <f t="shared" si="5"/>
        <v>495.56800000000004</v>
      </c>
    </row>
    <row r="22" spans="1:14" x14ac:dyDescent="0.2">
      <c r="A22" s="30" t="s">
        <v>214</v>
      </c>
      <c r="C22" s="30">
        <v>5.875</v>
      </c>
      <c r="D22" s="30">
        <v>1.397</v>
      </c>
      <c r="E22" s="30">
        <v>0.60099999999999998</v>
      </c>
      <c r="F22" s="30">
        <v>2.343</v>
      </c>
      <c r="G22" s="30">
        <v>0.86</v>
      </c>
      <c r="H22" s="30">
        <v>1.732</v>
      </c>
      <c r="I22" s="30">
        <v>1.091</v>
      </c>
      <c r="J22" s="30">
        <v>2.536</v>
      </c>
    </row>
    <row r="23" spans="1:14" x14ac:dyDescent="0.2">
      <c r="A23" s="30" t="s">
        <v>60</v>
      </c>
      <c r="C23" s="30">
        <f t="shared" ref="C23:J23" si="6">SQRT((4+(C22^2)))</f>
        <v>6.2060957936532049</v>
      </c>
      <c r="D23" s="30">
        <f t="shared" si="6"/>
        <v>2.439591974080912</v>
      </c>
      <c r="E23" s="30">
        <f t="shared" si="6"/>
        <v>2.0883488693223651</v>
      </c>
      <c r="F23" s="30">
        <f t="shared" si="6"/>
        <v>3.0805273899123184</v>
      </c>
      <c r="G23" s="30">
        <f t="shared" si="6"/>
        <v>2.1770622407271687</v>
      </c>
      <c r="H23" s="30">
        <f t="shared" si="6"/>
        <v>2.6457180499818946</v>
      </c>
      <c r="I23" s="30">
        <f t="shared" si="6"/>
        <v>2.2782188217991703</v>
      </c>
      <c r="J23" s="30">
        <f t="shared" si="6"/>
        <v>3.2297516932420671</v>
      </c>
    </row>
    <row r="24" spans="1:14" x14ac:dyDescent="0.2">
      <c r="A24" s="30" t="s">
        <v>59</v>
      </c>
      <c r="F24" s="30">
        <f>F21/$G$2</f>
        <v>2.7267738622754787</v>
      </c>
      <c r="G24" s="30">
        <f>G21/$G$2</f>
        <v>2.5498644793043512</v>
      </c>
      <c r="H24" s="30">
        <f>H21/$G$2</f>
        <v>2.4754602560372341</v>
      </c>
      <c r="I24" s="30">
        <f>I21/$G$2</f>
        <v>2.0326299474593501</v>
      </c>
      <c r="J24" s="30">
        <f>J21/$G$2</f>
        <v>0.73588696196141923</v>
      </c>
    </row>
    <row r="26" spans="1:14" x14ac:dyDescent="0.2">
      <c r="A26" s="45" t="s">
        <v>715</v>
      </c>
      <c r="C26" s="30">
        <v>1</v>
      </c>
      <c r="D26" s="30">
        <v>1</v>
      </c>
    </row>
    <row r="27" spans="1:14" x14ac:dyDescent="0.2">
      <c r="A27" s="30" t="s">
        <v>215</v>
      </c>
      <c r="C27" s="30">
        <v>541.61699999999996</v>
      </c>
      <c r="D27" s="30">
        <v>749.63300000000004</v>
      </c>
      <c r="E27" s="30">
        <v>1307.9690000000001</v>
      </c>
      <c r="F27" s="30">
        <v>2007.9690000000001</v>
      </c>
      <c r="G27" s="30">
        <v>2049.7069999999999</v>
      </c>
      <c r="H27" s="30">
        <v>1563.9179999999999</v>
      </c>
    </row>
    <row r="28" spans="1:14" x14ac:dyDescent="0.2">
      <c r="A28" s="30" t="s">
        <v>62</v>
      </c>
      <c r="C28" s="30">
        <f t="shared" ref="C28:H28" si="7">C27-$B$7</f>
        <v>320.67699999999996</v>
      </c>
      <c r="D28" s="30">
        <f t="shared" si="7"/>
        <v>528.69299999999998</v>
      </c>
      <c r="E28" s="30">
        <f t="shared" si="7"/>
        <v>1087.029</v>
      </c>
      <c r="F28" s="30">
        <f t="shared" si="7"/>
        <v>1787.029</v>
      </c>
      <c r="G28" s="30">
        <f t="shared" si="7"/>
        <v>1828.7669999999998</v>
      </c>
      <c r="H28" s="30">
        <f t="shared" si="7"/>
        <v>1342.9779999999998</v>
      </c>
    </row>
    <row r="29" spans="1:14" x14ac:dyDescent="0.2">
      <c r="A29" s="30" t="s">
        <v>214</v>
      </c>
      <c r="C29" s="30">
        <v>12.179</v>
      </c>
      <c r="D29" s="30">
        <v>9.4179999999999993</v>
      </c>
      <c r="E29" s="30">
        <v>1.833</v>
      </c>
      <c r="F29" s="30">
        <v>1.042</v>
      </c>
      <c r="G29" s="30">
        <v>1.1060000000000001</v>
      </c>
      <c r="H29" s="30">
        <v>0.69599999999999995</v>
      </c>
    </row>
    <row r="30" spans="1:14" x14ac:dyDescent="0.2">
      <c r="A30" s="30" t="s">
        <v>60</v>
      </c>
      <c r="C30" s="30">
        <f t="shared" ref="C30:H30" si="8">SQRT((9+(C29^2)))</f>
        <v>12.54304751645309</v>
      </c>
      <c r="D30" s="30">
        <f t="shared" si="8"/>
        <v>9.8842664877066113</v>
      </c>
      <c r="E30" s="30">
        <f t="shared" si="8"/>
        <v>3.5156633797905052</v>
      </c>
      <c r="F30" s="30">
        <f t="shared" si="8"/>
        <v>3.1758091882227437</v>
      </c>
      <c r="G30" s="30">
        <f t="shared" si="8"/>
        <v>3.1973795520707267</v>
      </c>
      <c r="H30" s="30">
        <f t="shared" si="8"/>
        <v>3.0796779052361951</v>
      </c>
    </row>
    <row r="31" spans="1:14" x14ac:dyDescent="0.2">
      <c r="A31" s="30" t="s">
        <v>59</v>
      </c>
      <c r="E31" s="30">
        <f>E28/$G$2</f>
        <v>1.614168930144722</v>
      </c>
      <c r="F31" s="30">
        <f>F28/$G$2</f>
        <v>2.6536244102665081</v>
      </c>
      <c r="G31" s="30">
        <f>G28/$G$2</f>
        <v>2.7156026857369695</v>
      </c>
      <c r="H31" s="30">
        <f>H28/$G$2</f>
        <v>1.9942369168328518</v>
      </c>
    </row>
    <row r="33" spans="1:16" x14ac:dyDescent="0.2">
      <c r="A33" s="45" t="s">
        <v>714</v>
      </c>
      <c r="C33" s="30">
        <v>1</v>
      </c>
    </row>
    <row r="34" spans="1:16" x14ac:dyDescent="0.2">
      <c r="A34" s="30" t="s">
        <v>215</v>
      </c>
      <c r="C34" s="30">
        <v>875.97699999999998</v>
      </c>
      <c r="D34" s="30">
        <v>462.32799999999997</v>
      </c>
    </row>
    <row r="35" spans="1:16" x14ac:dyDescent="0.2">
      <c r="A35" s="30" t="s">
        <v>62</v>
      </c>
      <c r="C35" s="30">
        <f>C34-$B$7</f>
        <v>655.03700000000003</v>
      </c>
      <c r="D35" s="30">
        <f>D34-$B$7</f>
        <v>241.38799999999998</v>
      </c>
    </row>
    <row r="36" spans="1:16" x14ac:dyDescent="0.2">
      <c r="A36" s="30" t="s">
        <v>214</v>
      </c>
      <c r="C36" s="30">
        <v>12.084</v>
      </c>
      <c r="D36" s="30">
        <v>9.3810000000000002</v>
      </c>
    </row>
    <row r="37" spans="1:16" x14ac:dyDescent="0.2">
      <c r="A37" s="30" t="s">
        <v>60</v>
      </c>
      <c r="C37" s="30">
        <f>SQRT((16+(C36^2)))</f>
        <v>12.728827754353501</v>
      </c>
      <c r="D37" s="30">
        <f>SQRT((16+(D36^2)))</f>
        <v>10.19819400678375</v>
      </c>
    </row>
    <row r="38" spans="1:16" x14ac:dyDescent="0.2">
      <c r="A38" s="30" t="s">
        <v>59</v>
      </c>
      <c r="D38" s="30">
        <f>D35/G2</f>
        <v>0.35844582776519679</v>
      </c>
    </row>
    <row r="40" spans="1:16" x14ac:dyDescent="0.2">
      <c r="A40" s="45" t="s">
        <v>713</v>
      </c>
      <c r="C40" s="30">
        <v>1</v>
      </c>
      <c r="D40" s="30">
        <v>1</v>
      </c>
      <c r="E40" s="30">
        <v>1</v>
      </c>
      <c r="F40" s="30">
        <v>1</v>
      </c>
      <c r="G40" s="30">
        <v>1</v>
      </c>
      <c r="H40" s="30">
        <v>1</v>
      </c>
    </row>
    <row r="41" spans="1:16" x14ac:dyDescent="0.2">
      <c r="A41" s="30" t="s">
        <v>215</v>
      </c>
      <c r="C41" s="30">
        <v>356.87900000000002</v>
      </c>
      <c r="D41" s="30">
        <v>359.30900000000003</v>
      </c>
      <c r="E41" s="30">
        <v>745.96900000000005</v>
      </c>
      <c r="F41" s="30">
        <v>1298.848</v>
      </c>
      <c r="G41" s="30">
        <v>1095.625</v>
      </c>
      <c r="H41" s="30">
        <v>487.62099999999998</v>
      </c>
      <c r="I41" s="30">
        <v>2233.547</v>
      </c>
      <c r="J41" s="30">
        <v>1789.5509999999999</v>
      </c>
      <c r="K41" s="30">
        <v>1091.633</v>
      </c>
      <c r="L41" s="30">
        <v>1906.586</v>
      </c>
      <c r="M41" s="30">
        <v>1777.4839999999999</v>
      </c>
      <c r="N41" s="30">
        <v>1691.973</v>
      </c>
      <c r="O41" s="30">
        <v>1395.8440000000001</v>
      </c>
      <c r="P41" s="30">
        <v>1277.8520000000001</v>
      </c>
    </row>
    <row r="42" spans="1:16" x14ac:dyDescent="0.2">
      <c r="A42" s="30" t="s">
        <v>62</v>
      </c>
      <c r="C42" s="30">
        <f t="shared" ref="C42:P42" si="9">C41-$B$7</f>
        <v>135.93900000000002</v>
      </c>
      <c r="D42" s="30">
        <f t="shared" si="9"/>
        <v>138.36900000000003</v>
      </c>
      <c r="E42" s="30">
        <f t="shared" si="9"/>
        <v>525.029</v>
      </c>
      <c r="F42" s="30">
        <f t="shared" si="9"/>
        <v>1077.9079999999999</v>
      </c>
      <c r="G42" s="30">
        <f t="shared" si="9"/>
        <v>874.68499999999995</v>
      </c>
      <c r="H42" s="30">
        <f t="shared" si="9"/>
        <v>266.68099999999998</v>
      </c>
      <c r="I42" s="30">
        <f t="shared" si="9"/>
        <v>2012.607</v>
      </c>
      <c r="J42" s="30">
        <f t="shared" si="9"/>
        <v>1568.6109999999999</v>
      </c>
      <c r="K42" s="30">
        <f t="shared" si="9"/>
        <v>870.69299999999998</v>
      </c>
      <c r="L42" s="30">
        <f t="shared" si="9"/>
        <v>1685.646</v>
      </c>
      <c r="M42" s="30">
        <f t="shared" si="9"/>
        <v>1556.5439999999999</v>
      </c>
      <c r="N42" s="30">
        <f t="shared" si="9"/>
        <v>1471.0329999999999</v>
      </c>
      <c r="O42" s="30">
        <f t="shared" si="9"/>
        <v>1174.904</v>
      </c>
      <c r="P42" s="30">
        <f t="shared" si="9"/>
        <v>1056.912</v>
      </c>
    </row>
    <row r="43" spans="1:16" x14ac:dyDescent="0.2">
      <c r="A43" s="30" t="s">
        <v>214</v>
      </c>
      <c r="C43" s="30">
        <v>21.702000000000002</v>
      </c>
      <c r="D43" s="30">
        <v>22.155000000000001</v>
      </c>
      <c r="E43" s="30">
        <v>3.5459999999999998</v>
      </c>
      <c r="F43" s="30">
        <v>1.2949999999999999</v>
      </c>
      <c r="G43" s="30">
        <v>2.504</v>
      </c>
      <c r="H43" s="30">
        <v>3.0710000000000002</v>
      </c>
      <c r="I43" s="30">
        <v>16.844000000000001</v>
      </c>
      <c r="J43" s="30">
        <v>2.7330000000000001</v>
      </c>
      <c r="K43" s="30">
        <v>3.008</v>
      </c>
      <c r="L43" s="30">
        <v>2.4990000000000001</v>
      </c>
      <c r="M43" s="30">
        <v>1.546</v>
      </c>
      <c r="N43" s="30">
        <v>1.9610000000000001</v>
      </c>
      <c r="O43" s="30">
        <v>2.0179999999999998</v>
      </c>
      <c r="P43" s="30">
        <v>3.14</v>
      </c>
    </row>
    <row r="44" spans="1:16" x14ac:dyDescent="0.2">
      <c r="A44" s="30" t="s">
        <v>60</v>
      </c>
      <c r="C44" s="30">
        <f t="shared" ref="C44:P44" si="10">SQRT((1+(C43^2)))</f>
        <v>21.725027134620571</v>
      </c>
      <c r="D44" s="30">
        <f t="shared" si="10"/>
        <v>22.177556786084441</v>
      </c>
      <c r="E44" s="30">
        <f t="shared" si="10"/>
        <v>3.6843067190449816</v>
      </c>
      <c r="F44" s="30">
        <f t="shared" si="10"/>
        <v>1.6361616668288008</v>
      </c>
      <c r="G44" s="30">
        <f t="shared" si="10"/>
        <v>2.6962967195766865</v>
      </c>
      <c r="H44" s="30">
        <f t="shared" si="10"/>
        <v>3.2297122162818162</v>
      </c>
      <c r="I44" s="30">
        <f t="shared" si="10"/>
        <v>16.873658050345814</v>
      </c>
      <c r="J44" s="30">
        <f t="shared" si="10"/>
        <v>2.9102042883619013</v>
      </c>
      <c r="K44" s="30">
        <f t="shared" si="10"/>
        <v>3.1698681360586596</v>
      </c>
      <c r="L44" s="30">
        <f t="shared" si="10"/>
        <v>2.6916539524983518</v>
      </c>
      <c r="M44" s="30">
        <f t="shared" si="10"/>
        <v>1.841226764958624</v>
      </c>
      <c r="N44" s="30">
        <f t="shared" si="10"/>
        <v>2.2012544151006264</v>
      </c>
      <c r="O44" s="30">
        <f t="shared" si="10"/>
        <v>2.2521820530321253</v>
      </c>
      <c r="P44" s="30">
        <f t="shared" si="10"/>
        <v>3.2953907203850652</v>
      </c>
    </row>
    <row r="45" spans="1:16" x14ac:dyDescent="0.2">
      <c r="A45" s="30" t="s">
        <v>59</v>
      </c>
      <c r="I45" s="30">
        <f t="shared" ref="I45:P45" si="11">I42/$G$2</f>
        <v>2.9885933935449542</v>
      </c>
      <c r="J45" s="30">
        <f t="shared" si="11"/>
        <v>2.3292875716133077</v>
      </c>
      <c r="K45" s="30">
        <f t="shared" si="11"/>
        <v>1.2929237290766837</v>
      </c>
      <c r="L45" s="30">
        <f t="shared" si="11"/>
        <v>2.5030771032076697</v>
      </c>
      <c r="M45" s="30">
        <f t="shared" si="11"/>
        <v>2.3113688440724083</v>
      </c>
      <c r="N45" s="30">
        <f t="shared" si="11"/>
        <v>2.184390447557131</v>
      </c>
      <c r="O45" s="30">
        <f t="shared" si="11"/>
        <v>1.7446577163100105</v>
      </c>
      <c r="P45" s="30">
        <f t="shared" si="11"/>
        <v>1.5694471005806823</v>
      </c>
    </row>
    <row r="47" spans="1:16" x14ac:dyDescent="0.2">
      <c r="A47" s="45" t="s">
        <v>712</v>
      </c>
      <c r="C47" s="30">
        <v>1</v>
      </c>
      <c r="D47" s="30">
        <v>1</v>
      </c>
      <c r="E47" s="30">
        <v>1</v>
      </c>
      <c r="F47" s="30">
        <v>1</v>
      </c>
      <c r="G47" s="30">
        <v>1</v>
      </c>
    </row>
    <row r="48" spans="1:16" x14ac:dyDescent="0.2">
      <c r="A48" s="30" t="s">
        <v>215</v>
      </c>
      <c r="C48" s="30">
        <v>1022.66</v>
      </c>
      <c r="D48" s="30">
        <v>1046.2380000000001</v>
      </c>
      <c r="E48" s="30">
        <v>1494.133</v>
      </c>
      <c r="F48" s="30">
        <v>1645.758</v>
      </c>
      <c r="G48" s="30">
        <v>1054.75</v>
      </c>
      <c r="H48" s="30">
        <v>786.61699999999996</v>
      </c>
      <c r="I48" s="30">
        <v>1855.9380000000001</v>
      </c>
      <c r="J48" s="30">
        <v>2026.633</v>
      </c>
      <c r="K48" s="30">
        <v>2618.7069999999999</v>
      </c>
      <c r="L48" s="30">
        <v>3194.0819999999999</v>
      </c>
      <c r="M48" s="30">
        <v>1865.816</v>
      </c>
    </row>
    <row r="49" spans="1:13" x14ac:dyDescent="0.2">
      <c r="A49" s="30" t="s">
        <v>62</v>
      </c>
      <c r="C49" s="30">
        <f t="shared" ref="C49:M49" si="12">C48-$B$7</f>
        <v>801.72</v>
      </c>
      <c r="D49" s="30">
        <f t="shared" si="12"/>
        <v>825.298</v>
      </c>
      <c r="E49" s="30">
        <f t="shared" si="12"/>
        <v>1273.193</v>
      </c>
      <c r="F49" s="30">
        <f t="shared" si="12"/>
        <v>1424.818</v>
      </c>
      <c r="G49" s="30">
        <f t="shared" si="12"/>
        <v>833.81</v>
      </c>
      <c r="H49" s="30">
        <f t="shared" si="12"/>
        <v>565.67699999999991</v>
      </c>
      <c r="I49" s="30">
        <f t="shared" si="12"/>
        <v>1634.998</v>
      </c>
      <c r="J49" s="30">
        <f t="shared" si="12"/>
        <v>1805.693</v>
      </c>
      <c r="K49" s="30">
        <f t="shared" si="12"/>
        <v>2397.7669999999998</v>
      </c>
      <c r="L49" s="30">
        <f t="shared" si="12"/>
        <v>2973.1419999999998</v>
      </c>
      <c r="M49" s="30">
        <f t="shared" si="12"/>
        <v>1644.876</v>
      </c>
    </row>
    <row r="50" spans="1:13" x14ac:dyDescent="0.2">
      <c r="A50" s="30" t="s">
        <v>214</v>
      </c>
      <c r="C50" s="30">
        <v>16.734999999999999</v>
      </c>
      <c r="D50" s="30">
        <v>8.3190000000000008</v>
      </c>
      <c r="E50" s="30">
        <v>1.6259999999999999</v>
      </c>
      <c r="F50" s="30">
        <v>1.498</v>
      </c>
      <c r="G50" s="30">
        <v>8.8460000000000001</v>
      </c>
      <c r="H50" s="30">
        <v>5.6609999999999996</v>
      </c>
      <c r="I50" s="30">
        <v>1.5649999999999999</v>
      </c>
      <c r="J50" s="30">
        <v>1.6870000000000001</v>
      </c>
      <c r="K50" s="30">
        <v>2.0259999999999998</v>
      </c>
      <c r="L50" s="30">
        <v>1.786</v>
      </c>
      <c r="M50" s="30">
        <v>2.431</v>
      </c>
    </row>
    <row r="51" spans="1:13" x14ac:dyDescent="0.2">
      <c r="A51" s="30" t="s">
        <v>60</v>
      </c>
      <c r="C51" s="30">
        <f t="shared" ref="C51:M51" si="13">SQRT((4+(C50^2)))</f>
        <v>16.854086299767186</v>
      </c>
      <c r="D51" s="30">
        <f t="shared" si="13"/>
        <v>8.5560365239987153</v>
      </c>
      <c r="E51" s="30">
        <f t="shared" si="13"/>
        <v>2.5775717254811745</v>
      </c>
      <c r="F51" s="30">
        <f t="shared" si="13"/>
        <v>2.4988005122458254</v>
      </c>
      <c r="G51" s="30">
        <f t="shared" si="13"/>
        <v>9.0692731792575305</v>
      </c>
      <c r="H51" s="30">
        <f t="shared" si="13"/>
        <v>6.0039088101002998</v>
      </c>
      <c r="I51" s="30">
        <f t="shared" si="13"/>
        <v>2.5395324372805321</v>
      </c>
      <c r="J51" s="30">
        <f t="shared" si="13"/>
        <v>2.6164802693695206</v>
      </c>
      <c r="K51" s="30">
        <f t="shared" si="13"/>
        <v>2.8468712650908539</v>
      </c>
      <c r="L51" s="30">
        <f t="shared" si="13"/>
        <v>2.6813794957073869</v>
      </c>
      <c r="M51" s="30">
        <f t="shared" si="13"/>
        <v>3.1479772870845175</v>
      </c>
    </row>
    <row r="52" spans="1:13" x14ac:dyDescent="0.2">
      <c r="A52" s="30" t="s">
        <v>59</v>
      </c>
      <c r="H52" s="30">
        <f t="shared" ref="H52:M52" si="14">H49/$G$2</f>
        <v>0.83999436804121663</v>
      </c>
      <c r="I52" s="30">
        <f t="shared" si="14"/>
        <v>2.427868044411658</v>
      </c>
      <c r="J52" s="30">
        <f t="shared" si="14"/>
        <v>2.6813392632393556</v>
      </c>
      <c r="K52" s="30">
        <f t="shared" si="14"/>
        <v>3.5605314974359645</v>
      </c>
      <c r="L52" s="30">
        <f t="shared" si="14"/>
        <v>4.4149267786860689</v>
      </c>
      <c r="M52" s="30">
        <f t="shared" si="14"/>
        <v>2.4425362461725766</v>
      </c>
    </row>
    <row r="54" spans="1:13" x14ac:dyDescent="0.2">
      <c r="A54" s="45" t="s">
        <v>711</v>
      </c>
      <c r="C54" s="30">
        <v>1</v>
      </c>
      <c r="D54" s="30">
        <v>1</v>
      </c>
    </row>
    <row r="55" spans="1:13" x14ac:dyDescent="0.2">
      <c r="A55" s="30" t="s">
        <v>215</v>
      </c>
      <c r="C55" s="30">
        <v>576.38699999999994</v>
      </c>
      <c r="D55" s="30">
        <v>983.43799999999999</v>
      </c>
      <c r="E55" s="30">
        <v>3442.84</v>
      </c>
      <c r="F55" s="30">
        <v>1778.4960000000001</v>
      </c>
      <c r="G55" s="30">
        <v>1477.6130000000001</v>
      </c>
      <c r="H55" s="30">
        <v>2919.6289999999999</v>
      </c>
      <c r="I55" s="30">
        <v>3361.7579999999998</v>
      </c>
      <c r="J55" s="30">
        <v>2901.0039999999999</v>
      </c>
    </row>
    <row r="56" spans="1:13" x14ac:dyDescent="0.2">
      <c r="A56" s="30" t="s">
        <v>62</v>
      </c>
      <c r="C56" s="30">
        <f t="shared" ref="C56:J56" si="15">C55-$B$7</f>
        <v>355.44699999999995</v>
      </c>
      <c r="D56" s="30">
        <f t="shared" si="15"/>
        <v>762.49800000000005</v>
      </c>
      <c r="E56" s="30">
        <f t="shared" si="15"/>
        <v>3221.9</v>
      </c>
      <c r="F56" s="30">
        <f t="shared" si="15"/>
        <v>1557.556</v>
      </c>
      <c r="G56" s="30">
        <f t="shared" si="15"/>
        <v>1256.673</v>
      </c>
      <c r="H56" s="30">
        <f t="shared" si="15"/>
        <v>2698.6889999999999</v>
      </c>
      <c r="I56" s="30">
        <f t="shared" si="15"/>
        <v>3140.8179999999998</v>
      </c>
      <c r="J56" s="30">
        <f t="shared" si="15"/>
        <v>2680.0639999999999</v>
      </c>
    </row>
    <row r="57" spans="1:13" x14ac:dyDescent="0.2">
      <c r="A57" s="30" t="s">
        <v>214</v>
      </c>
      <c r="C57" s="30">
        <v>6.843</v>
      </c>
      <c r="D57" s="30">
        <v>0.67900000000000005</v>
      </c>
      <c r="E57" s="30">
        <v>6.1180000000000003</v>
      </c>
      <c r="F57" s="30">
        <v>5.7619999999999996</v>
      </c>
      <c r="G57" s="30">
        <v>3.3340000000000001</v>
      </c>
      <c r="H57" s="30">
        <v>2.6739999999999999</v>
      </c>
      <c r="I57" s="30">
        <v>2.3220000000000001</v>
      </c>
      <c r="J57" s="30">
        <v>1.8120000000000001</v>
      </c>
    </row>
    <row r="58" spans="1:13" x14ac:dyDescent="0.2">
      <c r="A58" s="30" t="s">
        <v>60</v>
      </c>
      <c r="C58" s="30">
        <f t="shared" ref="C58:J58" si="16">SQRT((9+(C57^2)))</f>
        <v>7.4717232951977017</v>
      </c>
      <c r="D58" s="30">
        <f t="shared" si="16"/>
        <v>3.0758805243377059</v>
      </c>
      <c r="E58" s="30">
        <f t="shared" si="16"/>
        <v>6.8139506895779638</v>
      </c>
      <c r="F58" s="30">
        <f t="shared" si="16"/>
        <v>6.4962022751758584</v>
      </c>
      <c r="G58" s="30">
        <f t="shared" si="16"/>
        <v>4.485036900628578</v>
      </c>
      <c r="H58" s="30">
        <f t="shared" si="16"/>
        <v>4.0187405987448352</v>
      </c>
      <c r="I58" s="30">
        <f t="shared" si="16"/>
        <v>3.7936373047512069</v>
      </c>
      <c r="J58" s="30">
        <f t="shared" si="16"/>
        <v>3.5047601915109685</v>
      </c>
    </row>
    <row r="59" spans="1:13" x14ac:dyDescent="0.2">
      <c r="A59" s="30" t="s">
        <v>59</v>
      </c>
      <c r="E59" s="30">
        <f t="shared" ref="E59:J59" si="17">E56/$G$2</f>
        <v>4.7843165877205482</v>
      </c>
      <c r="F59" s="30">
        <f t="shared" si="17"/>
        <v>2.3128715997093847</v>
      </c>
      <c r="G59" s="30">
        <f t="shared" si="17"/>
        <v>1.8660794808158367</v>
      </c>
      <c r="H59" s="30">
        <f t="shared" si="17"/>
        <v>4.0073815288491188</v>
      </c>
      <c r="I59" s="30">
        <f t="shared" si="17"/>
        <v>4.6639149745216413</v>
      </c>
      <c r="J59" s="30">
        <f t="shared" si="17"/>
        <v>3.9797245883958787</v>
      </c>
    </row>
    <row r="61" spans="1:13" x14ac:dyDescent="0.2">
      <c r="A61" s="45" t="s">
        <v>710</v>
      </c>
      <c r="C61" s="30">
        <v>1</v>
      </c>
    </row>
    <row r="62" spans="1:13" x14ac:dyDescent="0.2">
      <c r="A62" s="30" t="s">
        <v>215</v>
      </c>
      <c r="C62" s="30">
        <v>1585.547</v>
      </c>
      <c r="D62" s="30">
        <v>717.375</v>
      </c>
      <c r="E62" s="30">
        <v>1164.914</v>
      </c>
      <c r="F62" s="30">
        <v>763.61300000000006</v>
      </c>
      <c r="G62" s="30">
        <v>1760.8320000000001</v>
      </c>
      <c r="H62" s="30">
        <v>2492.4140000000002</v>
      </c>
      <c r="I62" s="30">
        <v>2122.9450000000002</v>
      </c>
      <c r="J62" s="30">
        <v>3180.2379999999998</v>
      </c>
      <c r="K62" s="30">
        <v>1898.672</v>
      </c>
    </row>
    <row r="63" spans="1:13" x14ac:dyDescent="0.2">
      <c r="A63" s="30" t="s">
        <v>62</v>
      </c>
      <c r="C63" s="30">
        <f t="shared" ref="C63:K63" si="18">C62-$B$7</f>
        <v>1364.607</v>
      </c>
      <c r="D63" s="30">
        <f t="shared" si="18"/>
        <v>496.435</v>
      </c>
      <c r="E63" s="30">
        <f t="shared" si="18"/>
        <v>943.97399999999993</v>
      </c>
      <c r="F63" s="30">
        <f t="shared" si="18"/>
        <v>542.673</v>
      </c>
      <c r="G63" s="30">
        <f t="shared" si="18"/>
        <v>1539.8920000000001</v>
      </c>
      <c r="H63" s="30">
        <f t="shared" si="18"/>
        <v>2271.4740000000002</v>
      </c>
      <c r="I63" s="30">
        <f t="shared" si="18"/>
        <v>1902.0050000000001</v>
      </c>
      <c r="J63" s="30">
        <f t="shared" si="18"/>
        <v>2959.2979999999998</v>
      </c>
      <c r="K63" s="30">
        <f t="shared" si="18"/>
        <v>1677.732</v>
      </c>
    </row>
    <row r="64" spans="1:13" x14ac:dyDescent="0.2">
      <c r="A64" s="30" t="s">
        <v>214</v>
      </c>
      <c r="C64" s="30">
        <v>10.372999999999999</v>
      </c>
      <c r="D64" s="30">
        <v>1.6160000000000001</v>
      </c>
      <c r="E64" s="30">
        <v>6.3129999999999997</v>
      </c>
      <c r="F64" s="30">
        <v>5.5759999999999996</v>
      </c>
      <c r="G64" s="30">
        <v>4.3529999999999998</v>
      </c>
      <c r="H64" s="30">
        <v>3.33</v>
      </c>
      <c r="I64" s="30">
        <v>3.008</v>
      </c>
      <c r="J64" s="30">
        <v>2.4380000000000002</v>
      </c>
      <c r="K64" s="30">
        <v>2.1419999999999999</v>
      </c>
    </row>
    <row r="65" spans="1:11" x14ac:dyDescent="0.2">
      <c r="A65" s="30" t="s">
        <v>60</v>
      </c>
      <c r="C65" s="30">
        <f t="shared" ref="C65:K65" si="19">SQRT((16+(C64^2)))</f>
        <v>11.117514515394166</v>
      </c>
      <c r="D65" s="30">
        <f t="shared" si="19"/>
        <v>4.3140996743237165</v>
      </c>
      <c r="E65" s="30">
        <f t="shared" si="19"/>
        <v>7.4735512977432625</v>
      </c>
      <c r="F65" s="30">
        <f t="shared" si="19"/>
        <v>6.8623447887730036</v>
      </c>
      <c r="G65" s="30">
        <f t="shared" si="19"/>
        <v>5.9117348553533757</v>
      </c>
      <c r="H65" s="30">
        <f t="shared" si="19"/>
        <v>5.2046997992199318</v>
      </c>
      <c r="I65" s="30">
        <f t="shared" si="19"/>
        <v>5.0048040920699384</v>
      </c>
      <c r="J65" s="30">
        <f t="shared" si="19"/>
        <v>4.684425685182763</v>
      </c>
      <c r="K65" s="30">
        <f t="shared" si="19"/>
        <v>4.5374182086292203</v>
      </c>
    </row>
    <row r="66" spans="1:11" x14ac:dyDescent="0.2">
      <c r="A66" s="30" t="s">
        <v>59</v>
      </c>
      <c r="D66" s="30">
        <f t="shared" ref="D66:K66" si="20">D63/$G$2</f>
        <v>0.73717440182037008</v>
      </c>
      <c r="E66" s="30">
        <f t="shared" si="20"/>
        <v>1.4017413534178331</v>
      </c>
      <c r="F66" s="30">
        <f t="shared" si="20"/>
        <v>0.80583489109161455</v>
      </c>
      <c r="G66" s="30">
        <f t="shared" si="20"/>
        <v>2.2866416831367116</v>
      </c>
      <c r="H66" s="30">
        <f t="shared" si="20"/>
        <v>3.3729944246487924</v>
      </c>
      <c r="I66" s="30">
        <f t="shared" si="20"/>
        <v>2.8243564578129119</v>
      </c>
      <c r="J66" s="30">
        <f t="shared" si="20"/>
        <v>4.3943693191620596</v>
      </c>
      <c r="K66" s="30">
        <f t="shared" si="20"/>
        <v>2.4913253165366926</v>
      </c>
    </row>
    <row r="68" spans="1:11" x14ac:dyDescent="0.2">
      <c r="A68" s="45" t="s">
        <v>709</v>
      </c>
      <c r="C68" s="30">
        <v>1</v>
      </c>
      <c r="D68" s="30">
        <v>1</v>
      </c>
      <c r="E68" s="30">
        <v>1</v>
      </c>
      <c r="F68" s="30">
        <v>1</v>
      </c>
    </row>
    <row r="69" spans="1:11" x14ac:dyDescent="0.2">
      <c r="A69" s="30" t="s">
        <v>215</v>
      </c>
      <c r="C69" s="30">
        <v>876.47299999999996</v>
      </c>
      <c r="D69" s="30">
        <v>806</v>
      </c>
      <c r="E69" s="30">
        <v>1362.6759999999999</v>
      </c>
      <c r="F69" s="30">
        <v>1095.8589999999999</v>
      </c>
    </row>
    <row r="70" spans="1:11" x14ac:dyDescent="0.2">
      <c r="A70" s="30" t="s">
        <v>62</v>
      </c>
      <c r="C70" s="30">
        <f>C69-$B$7</f>
        <v>655.5329999999999</v>
      </c>
      <c r="D70" s="30">
        <f>D69-$B$7</f>
        <v>585.05999999999995</v>
      </c>
      <c r="E70" s="30">
        <f>E69-$B$7</f>
        <v>1141.7359999999999</v>
      </c>
      <c r="F70" s="30">
        <f>F69-$B$7</f>
        <v>874.91899999999987</v>
      </c>
    </row>
    <row r="71" spans="1:11" x14ac:dyDescent="0.2">
      <c r="A71" s="30" t="s">
        <v>214</v>
      </c>
      <c r="C71" s="30">
        <v>7.3150000000000004</v>
      </c>
      <c r="D71" s="30">
        <v>1.3080000000000001</v>
      </c>
      <c r="E71" s="30">
        <v>0.495</v>
      </c>
      <c r="F71" s="30">
        <v>2.722</v>
      </c>
    </row>
    <row r="72" spans="1:11" x14ac:dyDescent="0.2">
      <c r="A72" s="30" t="s">
        <v>60</v>
      </c>
      <c r="C72" s="30">
        <f>SQRT((25+(C71^2)))</f>
        <v>8.8605431549087328</v>
      </c>
      <c r="D72" s="30">
        <f>SQRT((25+(D71^2)))</f>
        <v>5.1682554116452097</v>
      </c>
      <c r="E72" s="30">
        <f>SQRT((25+(E71^2)))</f>
        <v>5.0244427551719602</v>
      </c>
      <c r="F72" s="30">
        <f>SQRT((25+(F71^2)))</f>
        <v>5.6929152461634276</v>
      </c>
    </row>
    <row r="73" spans="1:11" x14ac:dyDescent="0.2">
      <c r="A73" s="30" t="s">
        <v>59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341B-808B-6A46-93F1-78852F4489DF}">
  <dimension ref="A1:N31"/>
  <sheetViews>
    <sheetView workbookViewId="0">
      <selection activeCell="Q43" sqref="Q43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14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4" x14ac:dyDescent="0.2">
      <c r="A2" s="30" t="s">
        <v>703</v>
      </c>
      <c r="B2" s="42">
        <v>45229</v>
      </c>
      <c r="C2" s="30" t="s">
        <v>222</v>
      </c>
      <c r="E2" s="30">
        <v>45.744999999999997</v>
      </c>
      <c r="G2" s="30">
        <f>AVERAGE(C8,C14:E14)</f>
        <v>85.148499999999984</v>
      </c>
    </row>
    <row r="4" spans="1:14" x14ac:dyDescent="0.2">
      <c r="A4" s="30" t="s">
        <v>708</v>
      </c>
    </row>
    <row r="6" spans="1:14" x14ac:dyDescent="0.2">
      <c r="A6" s="45" t="s">
        <v>707</v>
      </c>
      <c r="B6" s="30" t="s">
        <v>235</v>
      </c>
      <c r="C6" s="30">
        <v>1</v>
      </c>
    </row>
    <row r="7" spans="1:14" x14ac:dyDescent="0.2">
      <c r="A7" s="30" t="s">
        <v>215</v>
      </c>
      <c r="B7" s="30">
        <v>217.952</v>
      </c>
      <c r="C7" s="30">
        <v>365.17599999999999</v>
      </c>
      <c r="D7" s="30">
        <v>516.25800000000004</v>
      </c>
      <c r="E7" s="30">
        <v>509.10199999999998</v>
      </c>
      <c r="F7" s="30">
        <v>707.13699999999994</v>
      </c>
      <c r="G7" s="30">
        <v>888.39800000000002</v>
      </c>
      <c r="H7" s="30">
        <v>632.33199999999999</v>
      </c>
      <c r="I7" s="30">
        <v>590.39800000000002</v>
      </c>
      <c r="J7" s="30">
        <v>917.93</v>
      </c>
      <c r="K7" s="30">
        <v>828.23800000000006</v>
      </c>
      <c r="L7" s="30">
        <v>574.33199999999999</v>
      </c>
      <c r="M7" s="30">
        <v>775.53499999999997</v>
      </c>
      <c r="N7" s="30">
        <v>652.69100000000003</v>
      </c>
    </row>
    <row r="8" spans="1:14" x14ac:dyDescent="0.2">
      <c r="A8" s="30" t="s">
        <v>62</v>
      </c>
      <c r="C8" s="30">
        <f t="shared" ref="C8:N8" si="0">C7-$B$7</f>
        <v>147.22399999999999</v>
      </c>
      <c r="D8" s="30">
        <f t="shared" si="0"/>
        <v>298.30600000000004</v>
      </c>
      <c r="E8" s="30">
        <f t="shared" si="0"/>
        <v>291.14999999999998</v>
      </c>
      <c r="F8" s="30">
        <f t="shared" si="0"/>
        <v>489.18499999999995</v>
      </c>
      <c r="G8" s="30">
        <f t="shared" si="0"/>
        <v>670.44600000000003</v>
      </c>
      <c r="H8" s="30">
        <f t="shared" si="0"/>
        <v>414.38</v>
      </c>
      <c r="I8" s="30">
        <f t="shared" si="0"/>
        <v>372.44600000000003</v>
      </c>
      <c r="J8" s="30">
        <f t="shared" si="0"/>
        <v>699.97799999999995</v>
      </c>
      <c r="K8" s="30">
        <f t="shared" si="0"/>
        <v>610.28600000000006</v>
      </c>
      <c r="L8" s="30">
        <f t="shared" si="0"/>
        <v>356.38</v>
      </c>
      <c r="M8" s="30">
        <f t="shared" si="0"/>
        <v>557.58299999999997</v>
      </c>
      <c r="N8" s="30">
        <f t="shared" si="0"/>
        <v>434.73900000000003</v>
      </c>
    </row>
    <row r="9" spans="1:14" x14ac:dyDescent="0.2">
      <c r="A9" s="30" t="s">
        <v>214</v>
      </c>
      <c r="C9" s="30">
        <v>2.3239999999999998</v>
      </c>
      <c r="D9" s="30">
        <v>2.4489999999999998</v>
      </c>
      <c r="E9" s="30">
        <v>2.3090000000000002</v>
      </c>
      <c r="F9" s="30">
        <v>1.206</v>
      </c>
      <c r="G9" s="30">
        <v>2.0379999999999998</v>
      </c>
      <c r="H9" s="30">
        <v>2.7559999999999998</v>
      </c>
      <c r="I9" s="30">
        <v>1.958</v>
      </c>
      <c r="J9" s="30">
        <v>3.121</v>
      </c>
      <c r="K9" s="30">
        <v>2.7370000000000001</v>
      </c>
      <c r="L9" s="30">
        <v>3.3410000000000002</v>
      </c>
      <c r="M9" s="30">
        <v>3.5550000000000002</v>
      </c>
      <c r="N9" s="30">
        <v>3.4689999999999999</v>
      </c>
    </row>
    <row r="10" spans="1:14" x14ac:dyDescent="0.2">
      <c r="A10" s="30" t="s">
        <v>59</v>
      </c>
      <c r="D10" s="30">
        <f t="shared" ref="D10:N10" si="1">D8/$G$2</f>
        <v>3.5033617738421712</v>
      </c>
      <c r="E10" s="30">
        <f t="shared" si="1"/>
        <v>3.4193203638349474</v>
      </c>
      <c r="F10" s="30">
        <f t="shared" si="1"/>
        <v>5.7450806532117422</v>
      </c>
      <c r="G10" s="30">
        <f t="shared" si="1"/>
        <v>7.8738439314844086</v>
      </c>
      <c r="H10" s="30">
        <f t="shared" si="1"/>
        <v>4.8665566627715116</v>
      </c>
      <c r="I10" s="30">
        <f t="shared" si="1"/>
        <v>4.3740758791992826</v>
      </c>
      <c r="J10" s="30">
        <f t="shared" si="1"/>
        <v>8.2206732943034826</v>
      </c>
      <c r="K10" s="30">
        <f t="shared" si="1"/>
        <v>7.1673135756942301</v>
      </c>
      <c r="L10" s="30">
        <f t="shared" si="1"/>
        <v>4.1853937532663528</v>
      </c>
      <c r="M10" s="30">
        <f t="shared" si="1"/>
        <v>6.5483596305278438</v>
      </c>
      <c r="N10" s="30">
        <f t="shared" si="1"/>
        <v>5.1056565881959175</v>
      </c>
    </row>
    <row r="12" spans="1:14" x14ac:dyDescent="0.2">
      <c r="A12" s="45" t="s">
        <v>706</v>
      </c>
      <c r="C12" s="30">
        <v>1</v>
      </c>
      <c r="D12" s="30">
        <v>1</v>
      </c>
      <c r="E12" s="30">
        <v>1</v>
      </c>
    </row>
    <row r="13" spans="1:14" x14ac:dyDescent="0.2">
      <c r="A13" s="30" t="s">
        <v>215</v>
      </c>
      <c r="C13" s="30">
        <v>305.23399999999998</v>
      </c>
      <c r="D13" s="30">
        <v>271.73399999999998</v>
      </c>
      <c r="E13" s="30">
        <v>270.25799999999998</v>
      </c>
      <c r="F13" s="30">
        <v>521.60900000000004</v>
      </c>
      <c r="G13" s="30">
        <v>412.85899999999998</v>
      </c>
      <c r="H13" s="30">
        <v>396.637</v>
      </c>
      <c r="I13" s="30">
        <v>413.28899999999999</v>
      </c>
      <c r="J13" s="30">
        <v>363.613</v>
      </c>
      <c r="K13" s="30">
        <v>254.10900000000001</v>
      </c>
    </row>
    <row r="14" spans="1:14" x14ac:dyDescent="0.2">
      <c r="A14" s="30" t="s">
        <v>62</v>
      </c>
      <c r="C14" s="30">
        <f t="shared" ref="C14:K14" si="2">C13-$B$7</f>
        <v>87.281999999999982</v>
      </c>
      <c r="D14" s="30">
        <f t="shared" si="2"/>
        <v>53.781999999999982</v>
      </c>
      <c r="E14" s="30">
        <f t="shared" si="2"/>
        <v>52.305999999999983</v>
      </c>
      <c r="F14" s="30">
        <f t="shared" si="2"/>
        <v>303.65700000000004</v>
      </c>
      <c r="G14" s="30">
        <f t="shared" si="2"/>
        <v>194.90699999999998</v>
      </c>
      <c r="H14" s="30">
        <f t="shared" si="2"/>
        <v>178.685</v>
      </c>
      <c r="I14" s="30">
        <f t="shared" si="2"/>
        <v>195.33699999999999</v>
      </c>
      <c r="J14" s="30">
        <f t="shared" si="2"/>
        <v>145.661</v>
      </c>
      <c r="K14" s="30">
        <f t="shared" si="2"/>
        <v>36.157000000000011</v>
      </c>
    </row>
    <row r="15" spans="1:14" x14ac:dyDescent="0.2">
      <c r="A15" s="30" t="s">
        <v>214</v>
      </c>
      <c r="C15" s="30">
        <v>1.2949999999999999</v>
      </c>
      <c r="D15" s="30">
        <v>8.09</v>
      </c>
      <c r="E15" s="30">
        <v>9.9830000000000005</v>
      </c>
      <c r="F15" s="30">
        <v>3.5449999999999999</v>
      </c>
      <c r="G15" s="30">
        <v>2.4540000000000002</v>
      </c>
      <c r="H15" s="30">
        <v>1.3580000000000001</v>
      </c>
      <c r="I15" s="30">
        <v>2.3690000000000002</v>
      </c>
      <c r="J15" s="30">
        <v>2.4169999999999998</v>
      </c>
      <c r="K15" s="30">
        <v>3.524</v>
      </c>
    </row>
    <row r="16" spans="1:14" x14ac:dyDescent="0.2">
      <c r="A16" s="30" t="s">
        <v>60</v>
      </c>
      <c r="C16" s="30">
        <f t="shared" ref="C16:K16" si="3">SQRT((1+(C15^2)))</f>
        <v>1.6361616668288008</v>
      </c>
      <c r="D16" s="30">
        <f t="shared" si="3"/>
        <v>8.1515704008491507</v>
      </c>
      <c r="E16" s="30">
        <f t="shared" si="3"/>
        <v>10.03296013148662</v>
      </c>
      <c r="F16" s="30">
        <f t="shared" si="3"/>
        <v>3.683344268460389</v>
      </c>
      <c r="G16" s="30">
        <f t="shared" si="3"/>
        <v>2.6499275461793292</v>
      </c>
      <c r="H16" s="30">
        <f t="shared" si="3"/>
        <v>1.6864649418235766</v>
      </c>
      <c r="I16" s="30">
        <f t="shared" si="3"/>
        <v>2.5714122578847602</v>
      </c>
      <c r="J16" s="30">
        <f t="shared" si="3"/>
        <v>2.6157004797950392</v>
      </c>
      <c r="K16" s="30">
        <f t="shared" si="3"/>
        <v>3.6631374530585115</v>
      </c>
    </row>
    <row r="17" spans="1:11" x14ac:dyDescent="0.2">
      <c r="A17" s="30" t="s">
        <v>59</v>
      </c>
      <c r="F17" s="30">
        <f t="shared" ref="F17:K17" si="4">F14/$G$2</f>
        <v>3.5662049243380691</v>
      </c>
      <c r="G17" s="30">
        <f t="shared" si="4"/>
        <v>2.2890244690158958</v>
      </c>
      <c r="H17" s="30">
        <f t="shared" si="4"/>
        <v>2.0985102497401602</v>
      </c>
      <c r="I17" s="30">
        <f t="shared" si="4"/>
        <v>2.2940744698967102</v>
      </c>
      <c r="J17" s="30">
        <f t="shared" si="4"/>
        <v>1.7106701820936367</v>
      </c>
      <c r="K17" s="30">
        <f t="shared" si="4"/>
        <v>0.42463460894789712</v>
      </c>
    </row>
    <row r="19" spans="1:11" x14ac:dyDescent="0.2">
      <c r="A19" s="45" t="s">
        <v>705</v>
      </c>
    </row>
    <row r="20" spans="1:11" x14ac:dyDescent="0.2">
      <c r="A20" s="30" t="s">
        <v>215</v>
      </c>
      <c r="C20" s="30">
        <v>253.77699999999999</v>
      </c>
      <c r="D20" s="30">
        <v>246.38300000000001</v>
      </c>
    </row>
    <row r="21" spans="1:11" x14ac:dyDescent="0.2">
      <c r="A21" s="30" t="s">
        <v>62</v>
      </c>
      <c r="C21" s="30">
        <f>C20-$B$7</f>
        <v>35.824999999999989</v>
      </c>
      <c r="D21" s="30">
        <f>D20-$B$7</f>
        <v>28.431000000000012</v>
      </c>
    </row>
    <row r="22" spans="1:11" x14ac:dyDescent="0.2">
      <c r="A22" s="30" t="s">
        <v>214</v>
      </c>
      <c r="C22" s="30">
        <v>7.9219999999999997</v>
      </c>
      <c r="D22" s="30">
        <v>9.91</v>
      </c>
    </row>
    <row r="23" spans="1:11" x14ac:dyDescent="0.2">
      <c r="A23" s="30" t="s">
        <v>60</v>
      </c>
      <c r="C23" s="30">
        <f>SQRT((4+(C22^2)))</f>
        <v>8.1705620369715071</v>
      </c>
      <c r="D23" s="30">
        <f>SQRT((4+(D22^2)))</f>
        <v>10.109802174127839</v>
      </c>
    </row>
    <row r="24" spans="1:11" x14ac:dyDescent="0.2">
      <c r="A24" s="30" t="s">
        <v>59</v>
      </c>
      <c r="C24" s="30">
        <f>C21/$G$2</f>
        <v>0.42073553850038459</v>
      </c>
      <c r="D24" s="30">
        <f>D21/$G$2</f>
        <v>0.33389901172657199</v>
      </c>
    </row>
    <row r="26" spans="1:11" x14ac:dyDescent="0.2">
      <c r="A26" s="45" t="s">
        <v>704</v>
      </c>
    </row>
    <row r="27" spans="1:11" x14ac:dyDescent="0.2">
      <c r="A27" s="30" t="s">
        <v>215</v>
      </c>
      <c r="C27" s="30">
        <v>354.24200000000002</v>
      </c>
      <c r="D27" s="30">
        <v>296.60899999999998</v>
      </c>
      <c r="E27" s="30">
        <v>498.262</v>
      </c>
      <c r="F27" s="30">
        <v>482.99599999999998</v>
      </c>
    </row>
    <row r="28" spans="1:11" x14ac:dyDescent="0.2">
      <c r="A28" s="30" t="s">
        <v>62</v>
      </c>
      <c r="C28" s="30">
        <f>C27-$B$7</f>
        <v>136.29000000000002</v>
      </c>
      <c r="D28" s="30">
        <f>D27-$B$7</f>
        <v>78.656999999999982</v>
      </c>
      <c r="E28" s="30">
        <f>E27-$B$7</f>
        <v>280.31</v>
      </c>
      <c r="F28" s="30">
        <f>F27-$B$7</f>
        <v>265.04399999999998</v>
      </c>
    </row>
    <row r="29" spans="1:11" x14ac:dyDescent="0.2">
      <c r="A29" s="30" t="s">
        <v>214</v>
      </c>
      <c r="C29" s="30">
        <v>1.863</v>
      </c>
      <c r="D29" s="30">
        <v>3.5579999999999998</v>
      </c>
      <c r="E29" s="30">
        <v>2.944</v>
      </c>
      <c r="F29" s="30">
        <v>3.3759999999999999</v>
      </c>
    </row>
    <row r="30" spans="1:11" x14ac:dyDescent="0.2">
      <c r="A30" s="30" t="s">
        <v>60</v>
      </c>
      <c r="C30" s="30">
        <f>SQRT((1+(C29^2)))</f>
        <v>2.1144193056250691</v>
      </c>
      <c r="D30" s="30">
        <f>SQRT((1+(D29^2)))</f>
        <v>3.6958576812426096</v>
      </c>
      <c r="E30" s="30">
        <f>SQRT((1+(E29^2)))</f>
        <v>3.1092018268359483</v>
      </c>
      <c r="F30" s="30">
        <f>SQRT((1+(F29^2)))</f>
        <v>3.5209907696556093</v>
      </c>
    </row>
    <row r="31" spans="1:11" x14ac:dyDescent="0.2">
      <c r="A31" s="30" t="s">
        <v>59</v>
      </c>
      <c r="C31" s="30">
        <f>C28/$G$2</f>
        <v>1.6006153954561742</v>
      </c>
      <c r="D31" s="30">
        <f>D28/$G$2</f>
        <v>0.92376260298184931</v>
      </c>
      <c r="E31" s="30">
        <f>E28/$G$2</f>
        <v>3.2920133648860528</v>
      </c>
      <c r="F31" s="30">
        <f>F28/$G$2</f>
        <v>3.1127265894290566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AB10-5C32-CC41-BA6E-1E9721B7EA02}">
  <dimension ref="A1:T52"/>
  <sheetViews>
    <sheetView workbookViewId="0">
      <selection activeCell="R39" sqref="R39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20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20" x14ac:dyDescent="0.2">
      <c r="A2" s="30" t="s">
        <v>643</v>
      </c>
      <c r="B2" s="42">
        <v>45229</v>
      </c>
      <c r="C2" s="30" t="s">
        <v>222</v>
      </c>
      <c r="E2" s="30">
        <v>40.447000000000003</v>
      </c>
      <c r="G2" s="30">
        <f>AVERAGE(C8:J8,C14:F14,C21:D21,C42:H42)</f>
        <v>543.03725000000009</v>
      </c>
    </row>
    <row r="4" spans="1:20" x14ac:dyDescent="0.2">
      <c r="A4" s="30" t="s">
        <v>651</v>
      </c>
    </row>
    <row r="6" spans="1:20" x14ac:dyDescent="0.2">
      <c r="A6" s="45" t="s">
        <v>650</v>
      </c>
      <c r="B6" s="30" t="s">
        <v>235</v>
      </c>
      <c r="C6" s="30">
        <v>1</v>
      </c>
      <c r="D6" s="30">
        <v>1</v>
      </c>
      <c r="E6" s="30">
        <v>1</v>
      </c>
      <c r="F6" s="30">
        <v>1</v>
      </c>
      <c r="G6" s="30">
        <v>1</v>
      </c>
      <c r="H6" s="30">
        <v>1</v>
      </c>
      <c r="I6" s="30">
        <v>1</v>
      </c>
      <c r="J6" s="30">
        <v>1</v>
      </c>
    </row>
    <row r="7" spans="1:20" x14ac:dyDescent="0.2">
      <c r="A7" s="30" t="s">
        <v>215</v>
      </c>
      <c r="B7" s="30">
        <v>216.54499999999999</v>
      </c>
      <c r="C7" s="30">
        <v>754.70699999999999</v>
      </c>
      <c r="D7" s="30">
        <v>1101.7190000000001</v>
      </c>
      <c r="E7" s="30">
        <v>1054.6559999999999</v>
      </c>
      <c r="F7" s="30">
        <v>552.75</v>
      </c>
      <c r="G7" s="30">
        <v>797.48400000000004</v>
      </c>
      <c r="H7" s="30">
        <v>528.30100000000004</v>
      </c>
      <c r="I7" s="30">
        <v>813.66399999999999</v>
      </c>
      <c r="J7" s="30">
        <v>806.87099999999998</v>
      </c>
      <c r="K7" s="30">
        <v>1645.7190000000001</v>
      </c>
      <c r="L7" s="30">
        <v>1838.82</v>
      </c>
      <c r="M7" s="30">
        <v>1346.2270000000001</v>
      </c>
      <c r="N7" s="30">
        <v>1484.2070000000001</v>
      </c>
      <c r="O7" s="30">
        <v>1859.914</v>
      </c>
      <c r="P7" s="30">
        <v>1477.3789999999999</v>
      </c>
      <c r="Q7" s="30">
        <v>1536.797</v>
      </c>
      <c r="R7" s="30">
        <v>1174.875</v>
      </c>
      <c r="S7" s="30">
        <v>1185.066</v>
      </c>
      <c r="T7" s="30">
        <v>1308.883</v>
      </c>
    </row>
    <row r="8" spans="1:20" x14ac:dyDescent="0.2">
      <c r="A8" s="30" t="s">
        <v>62</v>
      </c>
      <c r="C8" s="30">
        <f t="shared" ref="C8:T8" si="0">C7-$B$7</f>
        <v>538.16200000000003</v>
      </c>
      <c r="D8" s="30">
        <f t="shared" si="0"/>
        <v>885.17400000000009</v>
      </c>
      <c r="E8" s="30">
        <f t="shared" si="0"/>
        <v>838.11099999999999</v>
      </c>
      <c r="F8" s="30">
        <f t="shared" si="0"/>
        <v>336.20500000000004</v>
      </c>
      <c r="G8" s="30">
        <f t="shared" si="0"/>
        <v>580.93900000000008</v>
      </c>
      <c r="H8" s="30">
        <f t="shared" si="0"/>
        <v>311.75600000000009</v>
      </c>
      <c r="I8" s="30">
        <f t="shared" si="0"/>
        <v>597.11900000000003</v>
      </c>
      <c r="J8" s="30">
        <f t="shared" si="0"/>
        <v>590.32600000000002</v>
      </c>
      <c r="K8" s="30">
        <f t="shared" si="0"/>
        <v>1429.174</v>
      </c>
      <c r="L8" s="30">
        <f t="shared" si="0"/>
        <v>1622.2749999999999</v>
      </c>
      <c r="M8" s="30">
        <f t="shared" si="0"/>
        <v>1129.682</v>
      </c>
      <c r="N8" s="30">
        <f t="shared" si="0"/>
        <v>1267.662</v>
      </c>
      <c r="O8" s="30">
        <f t="shared" si="0"/>
        <v>1643.3689999999999</v>
      </c>
      <c r="P8" s="30">
        <f t="shared" si="0"/>
        <v>1260.8339999999998</v>
      </c>
      <c r="Q8" s="30">
        <f t="shared" si="0"/>
        <v>1320.252</v>
      </c>
      <c r="R8" s="30">
        <f t="shared" si="0"/>
        <v>958.33</v>
      </c>
      <c r="S8" s="30">
        <f t="shared" si="0"/>
        <v>968.52100000000007</v>
      </c>
      <c r="T8" s="30">
        <f t="shared" si="0"/>
        <v>1092.338</v>
      </c>
    </row>
    <row r="9" spans="1:20" x14ac:dyDescent="0.2">
      <c r="A9" s="30" t="s">
        <v>214</v>
      </c>
      <c r="C9" s="30">
        <v>3.64</v>
      </c>
      <c r="D9" s="30">
        <v>3.052</v>
      </c>
      <c r="E9" s="30">
        <v>2.3279999999999998</v>
      </c>
      <c r="F9" s="30">
        <v>2.7170000000000001</v>
      </c>
      <c r="G9" s="30">
        <v>1.5029999999999999</v>
      </c>
      <c r="H9" s="30">
        <v>3.1520000000000001</v>
      </c>
      <c r="I9" s="30">
        <v>1.3240000000000001</v>
      </c>
      <c r="J9" s="30">
        <v>2.6070000000000002</v>
      </c>
      <c r="K9" s="30">
        <v>3.05</v>
      </c>
      <c r="L9" s="30">
        <v>3.3809999999999998</v>
      </c>
      <c r="M9" s="30">
        <v>4.0670000000000002</v>
      </c>
      <c r="N9" s="30">
        <v>3.851</v>
      </c>
      <c r="O9" s="30">
        <v>2.9350000000000001</v>
      </c>
      <c r="P9" s="30">
        <v>2.1280000000000001</v>
      </c>
      <c r="Q9" s="30">
        <v>2.0659999999999998</v>
      </c>
      <c r="R9" s="30">
        <v>2.871</v>
      </c>
      <c r="S9" s="30">
        <v>2.593</v>
      </c>
      <c r="T9" s="30">
        <v>2.577</v>
      </c>
    </row>
    <row r="10" spans="1:20" x14ac:dyDescent="0.2">
      <c r="A10" s="30" t="s">
        <v>59</v>
      </c>
      <c r="K10" s="30">
        <f t="shared" ref="K10:T10" si="1">K8/$G$2</f>
        <v>2.6318157732273426</v>
      </c>
      <c r="L10" s="30">
        <f t="shared" si="1"/>
        <v>2.9874101638515582</v>
      </c>
      <c r="M10" s="30">
        <f t="shared" si="1"/>
        <v>2.0803029626420653</v>
      </c>
      <c r="N10" s="30">
        <f t="shared" si="1"/>
        <v>2.3343923460130953</v>
      </c>
      <c r="O10" s="30">
        <f t="shared" si="1"/>
        <v>3.0262546445939016</v>
      </c>
      <c r="P10" s="30">
        <f t="shared" si="1"/>
        <v>2.3218186229397699</v>
      </c>
      <c r="Q10" s="30">
        <f t="shared" si="1"/>
        <v>2.4312365311956037</v>
      </c>
      <c r="R10" s="30">
        <f t="shared" si="1"/>
        <v>1.7647592315260139</v>
      </c>
      <c r="S10" s="30">
        <f t="shared" si="1"/>
        <v>1.7835258999267545</v>
      </c>
      <c r="T10" s="30">
        <f t="shared" si="1"/>
        <v>2.0115341995415594</v>
      </c>
    </row>
    <row r="12" spans="1:20" x14ac:dyDescent="0.2">
      <c r="A12" s="45" t="s">
        <v>649</v>
      </c>
      <c r="C12" s="30">
        <v>1</v>
      </c>
      <c r="D12" s="30">
        <v>1</v>
      </c>
      <c r="E12" s="30">
        <v>1</v>
      </c>
      <c r="F12" s="30">
        <v>1</v>
      </c>
    </row>
    <row r="13" spans="1:20" x14ac:dyDescent="0.2">
      <c r="A13" s="30" t="s">
        <v>215</v>
      </c>
      <c r="C13" s="30">
        <v>810.03499999999997</v>
      </c>
      <c r="D13" s="30">
        <v>827.91399999999999</v>
      </c>
      <c r="E13" s="30">
        <v>623.03099999999995</v>
      </c>
      <c r="F13" s="30">
        <v>606.28099999999995</v>
      </c>
      <c r="G13" s="30">
        <v>656.68</v>
      </c>
      <c r="H13" s="30">
        <v>872.32</v>
      </c>
      <c r="I13" s="30">
        <v>1442.0740000000001</v>
      </c>
      <c r="J13" s="30">
        <v>645.64099999999996</v>
      </c>
      <c r="K13" s="30">
        <v>1016.125</v>
      </c>
      <c r="L13" s="30">
        <v>1355.6089999999999</v>
      </c>
      <c r="M13" s="30">
        <v>981.79300000000001</v>
      </c>
      <c r="N13" s="30">
        <v>914.82799999999997</v>
      </c>
    </row>
    <row r="14" spans="1:20" x14ac:dyDescent="0.2">
      <c r="A14" s="30" t="s">
        <v>62</v>
      </c>
      <c r="C14" s="30">
        <f t="shared" ref="C14:N14" si="2">C13-$B$7</f>
        <v>593.49</v>
      </c>
      <c r="D14" s="30">
        <f t="shared" si="2"/>
        <v>611.36900000000003</v>
      </c>
      <c r="E14" s="30">
        <f t="shared" si="2"/>
        <v>406.48599999999999</v>
      </c>
      <c r="F14" s="30">
        <f t="shared" si="2"/>
        <v>389.73599999999999</v>
      </c>
      <c r="G14" s="30">
        <f t="shared" si="2"/>
        <v>440.13499999999999</v>
      </c>
      <c r="H14" s="30">
        <f t="shared" si="2"/>
        <v>655.77500000000009</v>
      </c>
      <c r="I14" s="30">
        <f t="shared" si="2"/>
        <v>1225.529</v>
      </c>
      <c r="J14" s="30">
        <f t="shared" si="2"/>
        <v>429.096</v>
      </c>
      <c r="K14" s="30">
        <f t="shared" si="2"/>
        <v>799.58</v>
      </c>
      <c r="L14" s="30">
        <f t="shared" si="2"/>
        <v>1139.0639999999999</v>
      </c>
      <c r="M14" s="30">
        <f t="shared" si="2"/>
        <v>765.24800000000005</v>
      </c>
      <c r="N14" s="30">
        <f t="shared" si="2"/>
        <v>698.28300000000002</v>
      </c>
    </row>
    <row r="15" spans="1:20" x14ac:dyDescent="0.2">
      <c r="A15" s="30" t="s">
        <v>214</v>
      </c>
      <c r="C15" s="30">
        <v>2.9319999999999999</v>
      </c>
      <c r="D15" s="30">
        <v>2.036</v>
      </c>
      <c r="E15" s="30">
        <v>1.2470000000000001</v>
      </c>
      <c r="F15" s="30">
        <v>1.899</v>
      </c>
      <c r="G15" s="30">
        <v>3.5179999999999998</v>
      </c>
      <c r="H15" s="30">
        <v>3.6160000000000001</v>
      </c>
      <c r="I15" s="30">
        <v>3.3220000000000001</v>
      </c>
      <c r="J15" s="30">
        <v>1.702</v>
      </c>
      <c r="K15" s="30">
        <v>2.032</v>
      </c>
      <c r="L15" s="30">
        <v>2.0750000000000002</v>
      </c>
      <c r="M15" s="30">
        <v>2.6779999999999999</v>
      </c>
      <c r="N15" s="30">
        <v>2.1989999999999998</v>
      </c>
    </row>
    <row r="16" spans="1:20" x14ac:dyDescent="0.2">
      <c r="A16" s="30" t="s">
        <v>60</v>
      </c>
      <c r="G16" s="30">
        <f t="shared" ref="G16:N16" si="3">G14/$G$2</f>
        <v>0.81050609327444834</v>
      </c>
      <c r="H16" s="30">
        <f t="shared" si="3"/>
        <v>1.2076059239030104</v>
      </c>
      <c r="I16" s="30">
        <f t="shared" si="3"/>
        <v>2.256804666714852</v>
      </c>
      <c r="J16" s="30">
        <f t="shared" si="3"/>
        <v>0.79017783770818661</v>
      </c>
      <c r="K16" s="30">
        <f t="shared" si="3"/>
        <v>1.4724220115655049</v>
      </c>
      <c r="L16" s="30">
        <f t="shared" si="3"/>
        <v>2.0975798621549435</v>
      </c>
      <c r="M16" s="30">
        <f t="shared" si="3"/>
        <v>1.4091998292934784</v>
      </c>
      <c r="N16" s="30">
        <f t="shared" si="3"/>
        <v>1.2858841635633649</v>
      </c>
    </row>
    <row r="17" spans="1:7" x14ac:dyDescent="0.2">
      <c r="A17" s="30" t="s">
        <v>59</v>
      </c>
    </row>
    <row r="19" spans="1:7" x14ac:dyDescent="0.2">
      <c r="A19" s="45" t="s">
        <v>648</v>
      </c>
      <c r="C19" s="30">
        <v>1</v>
      </c>
      <c r="D19" s="30">
        <v>1</v>
      </c>
    </row>
    <row r="20" spans="1:7" x14ac:dyDescent="0.2">
      <c r="A20" s="30" t="s">
        <v>215</v>
      </c>
      <c r="C20" s="30">
        <v>590.47699999999998</v>
      </c>
      <c r="D20" s="30">
        <v>419.66</v>
      </c>
      <c r="E20" s="30">
        <v>392.75400000000002</v>
      </c>
      <c r="F20" s="30">
        <v>460.488</v>
      </c>
      <c r="G20" s="30">
        <v>489.33600000000001</v>
      </c>
    </row>
    <row r="21" spans="1:7" x14ac:dyDescent="0.2">
      <c r="A21" s="30" t="s">
        <v>62</v>
      </c>
      <c r="C21" s="30">
        <f>C20-$B$7</f>
        <v>373.93200000000002</v>
      </c>
      <c r="D21" s="30">
        <f>D20-$B$7</f>
        <v>203.11500000000004</v>
      </c>
      <c r="E21" s="30">
        <f>E20-$B$7</f>
        <v>176.20900000000003</v>
      </c>
      <c r="F21" s="30">
        <f>F20-$B$7</f>
        <v>243.94300000000001</v>
      </c>
      <c r="G21" s="30">
        <f>G20-$B$7</f>
        <v>272.79100000000005</v>
      </c>
    </row>
    <row r="22" spans="1:7" x14ac:dyDescent="0.2">
      <c r="A22" s="30" t="s">
        <v>214</v>
      </c>
      <c r="C22" s="30">
        <v>3.75</v>
      </c>
      <c r="D22" s="30">
        <v>5.7</v>
      </c>
      <c r="E22" s="30">
        <v>1.462</v>
      </c>
      <c r="F22" s="30">
        <v>1.657</v>
      </c>
      <c r="G22" s="30">
        <v>2.1339999999999999</v>
      </c>
    </row>
    <row r="23" spans="1:7" x14ac:dyDescent="0.2">
      <c r="A23" s="30" t="s">
        <v>60</v>
      </c>
      <c r="E23" s="30">
        <f>E21/$G$2</f>
        <v>0.32448786892611881</v>
      </c>
      <c r="F23" s="30">
        <f>F21/$G$2</f>
        <v>0.4492196437721353</v>
      </c>
      <c r="G23" s="30">
        <f>G21/$G$2</f>
        <v>0.50234307130864408</v>
      </c>
    </row>
    <row r="24" spans="1:7" x14ac:dyDescent="0.2">
      <c r="A24" s="30" t="s">
        <v>59</v>
      </c>
    </row>
    <row r="26" spans="1:7" x14ac:dyDescent="0.2">
      <c r="A26" s="45" t="s">
        <v>647</v>
      </c>
    </row>
    <row r="27" spans="1:7" x14ac:dyDescent="0.2">
      <c r="A27" s="30" t="s">
        <v>215</v>
      </c>
      <c r="C27" s="30">
        <v>396.69900000000001</v>
      </c>
    </row>
    <row r="28" spans="1:7" x14ac:dyDescent="0.2">
      <c r="A28" s="30" t="s">
        <v>62</v>
      </c>
      <c r="C28" s="30">
        <f>C27-B7</f>
        <v>180.15400000000002</v>
      </c>
    </row>
    <row r="29" spans="1:7" x14ac:dyDescent="0.2">
      <c r="A29" s="30" t="s">
        <v>214</v>
      </c>
      <c r="C29" s="30">
        <v>5.52</v>
      </c>
    </row>
    <row r="30" spans="1:7" x14ac:dyDescent="0.2">
      <c r="A30" s="30" t="s">
        <v>60</v>
      </c>
      <c r="C30" s="30">
        <f>C28/G2</f>
        <v>0.3317525639355311</v>
      </c>
    </row>
    <row r="31" spans="1:7" x14ac:dyDescent="0.2">
      <c r="A31" s="30" t="s">
        <v>59</v>
      </c>
      <c r="C31" s="30">
        <f>C28/G2</f>
        <v>0.3317525639355311</v>
      </c>
    </row>
    <row r="33" spans="1:17" x14ac:dyDescent="0.2">
      <c r="A33" s="45" t="s">
        <v>646</v>
      </c>
    </row>
    <row r="34" spans="1:17" x14ac:dyDescent="0.2">
      <c r="A34" s="30" t="s">
        <v>215</v>
      </c>
      <c r="C34" s="30">
        <v>362.48</v>
      </c>
    </row>
    <row r="35" spans="1:17" x14ac:dyDescent="0.2">
      <c r="A35" s="30" t="s">
        <v>62</v>
      </c>
      <c r="C35" s="30">
        <f>C34-B7</f>
        <v>145.93500000000003</v>
      </c>
    </row>
    <row r="36" spans="1:17" x14ac:dyDescent="0.2">
      <c r="A36" s="30" t="s">
        <v>214</v>
      </c>
      <c r="C36" s="30">
        <v>2.1970000000000001</v>
      </c>
    </row>
    <row r="37" spans="1:17" x14ac:dyDescent="0.2">
      <c r="A37" s="30" t="s">
        <v>60</v>
      </c>
      <c r="C37" s="30">
        <f>C35/G2</f>
        <v>0.26873847051928762</v>
      </c>
    </row>
    <row r="38" spans="1:17" x14ac:dyDescent="0.2">
      <c r="A38" s="30" t="s">
        <v>59</v>
      </c>
    </row>
    <row r="40" spans="1:17" x14ac:dyDescent="0.2">
      <c r="A40" s="45" t="s">
        <v>645</v>
      </c>
      <c r="C40" s="30">
        <v>1</v>
      </c>
      <c r="D40" s="30">
        <v>1</v>
      </c>
      <c r="E40" s="30">
        <v>1</v>
      </c>
      <c r="F40" s="30">
        <v>1</v>
      </c>
      <c r="G40" s="30">
        <v>1</v>
      </c>
      <c r="H40" s="30">
        <v>1</v>
      </c>
    </row>
    <row r="41" spans="1:17" x14ac:dyDescent="0.2">
      <c r="A41" s="30" t="s">
        <v>215</v>
      </c>
      <c r="C41" s="30">
        <v>1045.9960000000001</v>
      </c>
      <c r="D41" s="30">
        <v>677.49599999999998</v>
      </c>
      <c r="E41" s="30">
        <v>1023.496</v>
      </c>
      <c r="F41" s="30">
        <v>734.06200000000001</v>
      </c>
      <c r="G41" s="30">
        <v>785.71699999999998</v>
      </c>
      <c r="H41" s="30">
        <v>637.32799999999997</v>
      </c>
      <c r="I41" s="30">
        <v>828.19100000000003</v>
      </c>
      <c r="J41" s="30">
        <v>1134.402</v>
      </c>
      <c r="K41" s="30">
        <v>851.00300000000004</v>
      </c>
      <c r="L41" s="30">
        <v>1018.93</v>
      </c>
      <c r="M41" s="30">
        <v>535.87099999999998</v>
      </c>
      <c r="N41" s="30">
        <v>812.85199999999998</v>
      </c>
      <c r="O41" s="30">
        <v>1111.883</v>
      </c>
      <c r="P41" s="30">
        <v>1301.277</v>
      </c>
      <c r="Q41" s="30">
        <v>402.08600000000001</v>
      </c>
    </row>
    <row r="42" spans="1:17" x14ac:dyDescent="0.2">
      <c r="A42" s="30" t="s">
        <v>62</v>
      </c>
      <c r="C42" s="30">
        <f t="shared" ref="C42:Q42" si="4">C41-$B$7</f>
        <v>829.45100000000014</v>
      </c>
      <c r="D42" s="30">
        <f t="shared" si="4"/>
        <v>460.95100000000002</v>
      </c>
      <c r="E42" s="30">
        <f t="shared" si="4"/>
        <v>806.95100000000002</v>
      </c>
      <c r="F42" s="30">
        <f t="shared" si="4"/>
        <v>517.51700000000005</v>
      </c>
      <c r="G42" s="30">
        <f t="shared" si="4"/>
        <v>569.17200000000003</v>
      </c>
      <c r="H42" s="30">
        <f t="shared" si="4"/>
        <v>420.78300000000002</v>
      </c>
      <c r="I42" s="30">
        <f t="shared" si="4"/>
        <v>611.64600000000007</v>
      </c>
      <c r="J42" s="30">
        <f t="shared" si="4"/>
        <v>917.85700000000008</v>
      </c>
      <c r="K42" s="30">
        <f t="shared" si="4"/>
        <v>634.45800000000008</v>
      </c>
      <c r="L42" s="30">
        <f t="shared" si="4"/>
        <v>802.38499999999999</v>
      </c>
      <c r="M42" s="30">
        <f t="shared" si="4"/>
        <v>319.32600000000002</v>
      </c>
      <c r="N42" s="30">
        <f t="shared" si="4"/>
        <v>596.30700000000002</v>
      </c>
      <c r="O42" s="30">
        <f t="shared" si="4"/>
        <v>895.33800000000008</v>
      </c>
      <c r="P42" s="30">
        <f t="shared" si="4"/>
        <v>1084.732</v>
      </c>
      <c r="Q42" s="30">
        <f t="shared" si="4"/>
        <v>185.54100000000003</v>
      </c>
    </row>
    <row r="43" spans="1:17" x14ac:dyDescent="0.2">
      <c r="A43" s="30" t="s">
        <v>214</v>
      </c>
      <c r="C43" s="30">
        <v>3.879</v>
      </c>
      <c r="D43" s="30">
        <v>2.99</v>
      </c>
      <c r="E43" s="30">
        <v>0.85099999999999998</v>
      </c>
      <c r="F43" s="30">
        <v>3.0449999999999999</v>
      </c>
      <c r="G43" s="30">
        <v>2.2999999999999998</v>
      </c>
      <c r="H43" s="30">
        <v>2.9689999999999999</v>
      </c>
      <c r="I43" s="30">
        <v>3.1640000000000001</v>
      </c>
      <c r="J43" s="30">
        <v>2.484</v>
      </c>
      <c r="K43" s="30">
        <v>1.9039999999999999</v>
      </c>
      <c r="L43" s="30">
        <v>3.0739999999999998</v>
      </c>
      <c r="M43" s="30">
        <v>2.7080000000000002</v>
      </c>
      <c r="N43" s="30">
        <v>2.3519999999999999</v>
      </c>
      <c r="O43" s="30">
        <v>1.986</v>
      </c>
      <c r="P43" s="30">
        <v>3.6869999999999998</v>
      </c>
      <c r="Q43" s="30">
        <v>3.331</v>
      </c>
    </row>
    <row r="44" spans="1:17" x14ac:dyDescent="0.2">
      <c r="A44" s="30" t="s">
        <v>60</v>
      </c>
      <c r="I44" s="30">
        <f t="shared" ref="I44:Q44" si="5">I42/$G$2</f>
        <v>1.1263426219840351</v>
      </c>
      <c r="J44" s="30">
        <f t="shared" si="5"/>
        <v>1.6902284327640507</v>
      </c>
      <c r="K44" s="30">
        <f t="shared" si="5"/>
        <v>1.1683507899319983</v>
      </c>
      <c r="L44" s="30">
        <f t="shared" si="5"/>
        <v>1.4775874030740983</v>
      </c>
      <c r="M44" s="30">
        <f t="shared" si="5"/>
        <v>0.58803700851092622</v>
      </c>
      <c r="N44" s="30">
        <f t="shared" si="5"/>
        <v>1.0980959409322286</v>
      </c>
      <c r="O44" s="30">
        <f t="shared" si="5"/>
        <v>1.6487598226456839</v>
      </c>
      <c r="P44" s="30">
        <f t="shared" si="5"/>
        <v>1.9975277939036407</v>
      </c>
      <c r="Q44" s="30">
        <f t="shared" si="5"/>
        <v>0.34167269372404929</v>
      </c>
    </row>
    <row r="45" spans="1:17" x14ac:dyDescent="0.2">
      <c r="A45" s="30" t="s">
        <v>59</v>
      </c>
    </row>
    <row r="47" spans="1:17" x14ac:dyDescent="0.2">
      <c r="A47" s="45" t="s">
        <v>644</v>
      </c>
    </row>
    <row r="48" spans="1:17" x14ac:dyDescent="0.2">
      <c r="A48" s="30" t="s">
        <v>215</v>
      </c>
      <c r="C48" s="30">
        <v>740.25</v>
      </c>
      <c r="D48" s="30">
        <v>444.54700000000003</v>
      </c>
    </row>
    <row r="49" spans="1:4" x14ac:dyDescent="0.2">
      <c r="A49" s="30" t="s">
        <v>62</v>
      </c>
      <c r="C49" s="30">
        <f>C48-$B$7</f>
        <v>523.70500000000004</v>
      </c>
      <c r="D49" s="30">
        <f>D48-$B$7</f>
        <v>228.00200000000004</v>
      </c>
    </row>
    <row r="50" spans="1:4" x14ac:dyDescent="0.2">
      <c r="A50" s="30" t="s">
        <v>214</v>
      </c>
      <c r="C50" s="30">
        <v>3.7360000000000002</v>
      </c>
      <c r="D50" s="30">
        <v>0.79400000000000004</v>
      </c>
    </row>
    <row r="51" spans="1:4" x14ac:dyDescent="0.2">
      <c r="A51" s="30" t="s">
        <v>60</v>
      </c>
      <c r="C51" s="30">
        <f>C49/$G$2</f>
        <v>0.96439977183885628</v>
      </c>
      <c r="D51" s="30">
        <f>D49/$G$2</f>
        <v>0.4198643831523528</v>
      </c>
    </row>
    <row r="52" spans="1:4" x14ac:dyDescent="0.2">
      <c r="A52" s="30" t="s">
        <v>59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DE8D-DBA6-3C45-96AC-6A2520BDAFAA}">
  <sheetPr>
    <outlinePr summaryBelow="0" summaryRight="0"/>
  </sheetPr>
  <dimension ref="A1:O59"/>
  <sheetViews>
    <sheetView workbookViewId="0">
      <selection activeCell="O48" sqref="O48"/>
    </sheetView>
  </sheetViews>
  <sheetFormatPr baseColWidth="10" defaultColWidth="12.6640625" defaultRowHeight="15.75" customHeight="1" x14ac:dyDescent="0.2"/>
  <cols>
    <col min="1" max="1" width="21.83203125" style="7" customWidth="1"/>
    <col min="2" max="2" width="17.1640625" style="7" customWidth="1"/>
    <col min="3" max="3" width="13.6640625" style="7" customWidth="1"/>
    <col min="4" max="16384" width="12.6640625" style="7"/>
  </cols>
  <sheetData>
    <row r="1" spans="1:15" ht="16" x14ac:dyDescent="0.2">
      <c r="A1" s="53" t="s">
        <v>764</v>
      </c>
      <c r="B1" s="17"/>
      <c r="C1" s="54">
        <v>45229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ht="15.7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ht="16" x14ac:dyDescent="0.2">
      <c r="A3" s="53" t="s">
        <v>74</v>
      </c>
      <c r="B3" s="53" t="s">
        <v>114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ht="16" x14ac:dyDescent="0.2">
      <c r="A4" s="53" t="s">
        <v>27</v>
      </c>
      <c r="B4" s="17">
        <v>38.720999999999997</v>
      </c>
      <c r="C4" s="17"/>
      <c r="D4" s="53" t="s">
        <v>73</v>
      </c>
      <c r="E4" s="17">
        <f>AVERAGE(C8,D8,E8,C28,D28,C42)</f>
        <v>211.441</v>
      </c>
      <c r="F4" s="17"/>
      <c r="G4" s="57" t="s">
        <v>72</v>
      </c>
      <c r="H4" s="56"/>
      <c r="I4" s="17"/>
      <c r="J4" s="17"/>
      <c r="K4" s="17"/>
      <c r="L4" s="17"/>
      <c r="M4" s="17"/>
    </row>
    <row r="5" spans="1:15" ht="15.75" customHeight="1" x14ac:dyDescent="0.2">
      <c r="A5" s="17"/>
      <c r="B5" s="52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ht="15" x14ac:dyDescent="0.2">
      <c r="A6" s="51" t="s">
        <v>765</v>
      </c>
      <c r="B6" s="50" t="s">
        <v>70</v>
      </c>
      <c r="C6" s="17">
        <v>1</v>
      </c>
      <c r="D6" s="17">
        <v>1</v>
      </c>
      <c r="E6" s="17">
        <v>1</v>
      </c>
      <c r="F6" s="17"/>
      <c r="G6" s="17"/>
      <c r="H6" s="17"/>
      <c r="I6" s="17"/>
      <c r="J6" s="17"/>
      <c r="K6" s="17"/>
      <c r="L6" s="17"/>
      <c r="M6" s="17"/>
    </row>
    <row r="7" spans="1:15" ht="15" x14ac:dyDescent="0.2">
      <c r="A7" s="19" t="s">
        <v>63</v>
      </c>
      <c r="B7" s="17">
        <v>221.24</v>
      </c>
      <c r="C7" s="17">
        <v>408.36700000000002</v>
      </c>
      <c r="D7" s="17">
        <v>533.87900000000002</v>
      </c>
      <c r="E7" s="17">
        <v>365.70699999999999</v>
      </c>
      <c r="F7" s="17">
        <v>611.24199999999996</v>
      </c>
      <c r="G7" s="17">
        <v>667.16399999999999</v>
      </c>
      <c r="H7" s="17">
        <v>778.73800000000006</v>
      </c>
      <c r="I7" s="17">
        <v>876.61699999999996</v>
      </c>
      <c r="J7" s="17">
        <v>794.28099999999995</v>
      </c>
      <c r="K7" s="17">
        <v>745.11300000000006</v>
      </c>
      <c r="L7" s="17">
        <v>643.98400000000004</v>
      </c>
      <c r="M7" s="17">
        <v>1105.2339999999999</v>
      </c>
      <c r="N7" s="8">
        <v>571.94100000000003</v>
      </c>
      <c r="O7" s="8">
        <v>671.16800000000001</v>
      </c>
    </row>
    <row r="8" spans="1:15" ht="15" x14ac:dyDescent="0.2">
      <c r="A8" s="19" t="s">
        <v>62</v>
      </c>
      <c r="B8" s="17"/>
      <c r="C8" s="17">
        <f t="shared" ref="C8:O8" si="0">C7-$B$7</f>
        <v>187.12700000000001</v>
      </c>
      <c r="D8" s="17">
        <f t="shared" si="0"/>
        <v>312.63900000000001</v>
      </c>
      <c r="E8" s="17">
        <f t="shared" si="0"/>
        <v>144.46699999999998</v>
      </c>
      <c r="F8" s="17">
        <f t="shared" si="0"/>
        <v>390.00199999999995</v>
      </c>
      <c r="G8" s="17">
        <f t="shared" si="0"/>
        <v>445.92399999999998</v>
      </c>
      <c r="H8" s="17">
        <f t="shared" si="0"/>
        <v>557.49800000000005</v>
      </c>
      <c r="I8" s="17">
        <f t="shared" si="0"/>
        <v>655.37699999999995</v>
      </c>
      <c r="J8" s="17">
        <f t="shared" si="0"/>
        <v>573.04099999999994</v>
      </c>
      <c r="K8" s="17">
        <f t="shared" si="0"/>
        <v>523.87300000000005</v>
      </c>
      <c r="L8" s="17">
        <f t="shared" si="0"/>
        <v>422.74400000000003</v>
      </c>
      <c r="M8" s="17">
        <f t="shared" si="0"/>
        <v>883.99399999999991</v>
      </c>
      <c r="N8" s="17">
        <f t="shared" si="0"/>
        <v>350.70100000000002</v>
      </c>
      <c r="O8" s="17">
        <f t="shared" si="0"/>
        <v>449.928</v>
      </c>
    </row>
    <row r="9" spans="1:15" ht="15" x14ac:dyDescent="0.2">
      <c r="A9" s="19" t="s">
        <v>61</v>
      </c>
      <c r="B9" s="17"/>
      <c r="C9" s="17">
        <v>10.648</v>
      </c>
      <c r="D9" s="17">
        <v>2.67</v>
      </c>
      <c r="E9" s="17">
        <v>1.1160000000000001</v>
      </c>
      <c r="F9" s="17">
        <v>1.0980000000000001</v>
      </c>
      <c r="G9" s="17">
        <v>0.38800000000000001</v>
      </c>
      <c r="H9" s="17">
        <v>0.32700000000000001</v>
      </c>
      <c r="I9" s="17">
        <v>0.254</v>
      </c>
      <c r="J9" s="17">
        <v>0.27400000000000002</v>
      </c>
      <c r="K9" s="17">
        <v>0.16700000000000001</v>
      </c>
      <c r="L9" s="17">
        <v>0.29399999999999998</v>
      </c>
      <c r="M9" s="17">
        <v>0.22700000000000001</v>
      </c>
      <c r="N9" s="8">
        <v>0.13900000000000001</v>
      </c>
      <c r="O9" s="8">
        <v>0.21099999999999999</v>
      </c>
    </row>
    <row r="10" spans="1:15" ht="15" x14ac:dyDescent="0.2">
      <c r="A10" s="19" t="s">
        <v>59</v>
      </c>
      <c r="B10" s="17"/>
      <c r="C10" s="17"/>
      <c r="D10" s="17"/>
      <c r="E10" s="17"/>
      <c r="F10" s="17">
        <f t="shared" ref="F10:O10" si="1">F8/$E$4</f>
        <v>1.8444956276218896</v>
      </c>
      <c r="G10" s="17">
        <f t="shared" si="1"/>
        <v>2.1089760264092581</v>
      </c>
      <c r="H10" s="17">
        <f t="shared" si="1"/>
        <v>2.6366598720210366</v>
      </c>
      <c r="I10" s="17">
        <f t="shared" si="1"/>
        <v>3.0995738764005085</v>
      </c>
      <c r="J10" s="17">
        <f t="shared" si="1"/>
        <v>2.7101697400220388</v>
      </c>
      <c r="K10" s="17">
        <f t="shared" si="1"/>
        <v>2.4776320581155029</v>
      </c>
      <c r="L10" s="17">
        <f t="shared" si="1"/>
        <v>1.9993473356633766</v>
      </c>
      <c r="M10" s="17">
        <f t="shared" si="1"/>
        <v>4.1808069390515552</v>
      </c>
      <c r="N10" s="17">
        <f t="shared" si="1"/>
        <v>1.6586234457839304</v>
      </c>
      <c r="O10" s="17">
        <f t="shared" si="1"/>
        <v>2.127912751074768</v>
      </c>
    </row>
    <row r="11" spans="1:15" ht="15.7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5" ht="15" x14ac:dyDescent="0.2">
      <c r="A12" s="20" t="s">
        <v>107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5" ht="15" x14ac:dyDescent="0.2">
      <c r="A13" s="19" t="s">
        <v>63</v>
      </c>
      <c r="B13" s="17"/>
      <c r="C13" s="16">
        <v>929.57799999999997</v>
      </c>
      <c r="D13" s="16">
        <v>474.19099999999997</v>
      </c>
      <c r="E13" s="16">
        <v>493.30500000000001</v>
      </c>
      <c r="F13" s="16">
        <v>759.11300000000006</v>
      </c>
      <c r="G13" s="16">
        <v>668.76199999999994</v>
      </c>
      <c r="H13" s="16">
        <v>315.24200000000002</v>
      </c>
      <c r="I13" s="16"/>
      <c r="J13" s="17"/>
      <c r="K13" s="17"/>
      <c r="L13" s="17"/>
      <c r="M13" s="17"/>
    </row>
    <row r="14" spans="1:15" ht="15" x14ac:dyDescent="0.2">
      <c r="A14" s="19" t="s">
        <v>62</v>
      </c>
      <c r="B14" s="17"/>
      <c r="C14" s="17">
        <f t="shared" ref="C14:H14" si="2">C13-$B$7</f>
        <v>708.33799999999997</v>
      </c>
      <c r="D14" s="17">
        <f t="shared" si="2"/>
        <v>252.95099999999996</v>
      </c>
      <c r="E14" s="17">
        <f t="shared" si="2"/>
        <v>272.065</v>
      </c>
      <c r="F14" s="17">
        <f t="shared" si="2"/>
        <v>537.87300000000005</v>
      </c>
      <c r="G14" s="17">
        <f t="shared" si="2"/>
        <v>447.52199999999993</v>
      </c>
      <c r="H14" s="17">
        <f t="shared" si="2"/>
        <v>94.00200000000001</v>
      </c>
      <c r="I14" s="17"/>
      <c r="J14" s="17"/>
      <c r="K14" s="17"/>
      <c r="L14" s="17"/>
      <c r="M14" s="17"/>
    </row>
    <row r="15" spans="1:15" ht="15" x14ac:dyDescent="0.2">
      <c r="A15" s="19" t="s">
        <v>61</v>
      </c>
      <c r="B15" s="17"/>
      <c r="C15" s="11">
        <v>0.253</v>
      </c>
      <c r="D15" s="16">
        <v>0.28799999999999998</v>
      </c>
      <c r="E15" s="16">
        <v>0.309</v>
      </c>
      <c r="F15" s="16">
        <v>0.248</v>
      </c>
      <c r="G15" s="16">
        <v>0.25600000000000001</v>
      </c>
      <c r="H15" s="16">
        <v>0.39800000000000002</v>
      </c>
      <c r="I15" s="16"/>
      <c r="J15" s="17"/>
      <c r="K15" s="17"/>
      <c r="L15" s="17"/>
      <c r="M15" s="17"/>
    </row>
    <row r="16" spans="1:15" ht="15" x14ac:dyDescent="0.2">
      <c r="A16" s="19" t="s">
        <v>60</v>
      </c>
      <c r="B16" s="17"/>
      <c r="C16" s="17">
        <f t="shared" ref="C16:H16" si="3">SQRT((C15^2)+1)</f>
        <v>1.0315081192118654</v>
      </c>
      <c r="D16" s="17">
        <f t="shared" si="3"/>
        <v>1.0406459532425041</v>
      </c>
      <c r="E16" s="17">
        <f t="shared" si="3"/>
        <v>1.0466522822790767</v>
      </c>
      <c r="F16" s="17">
        <f t="shared" si="3"/>
        <v>1.0302931621630806</v>
      </c>
      <c r="G16" s="17">
        <f t="shared" si="3"/>
        <v>1.0322480322093135</v>
      </c>
      <c r="H16" s="17">
        <f t="shared" si="3"/>
        <v>1.0762917819996582</v>
      </c>
      <c r="I16" s="17"/>
      <c r="J16" s="17"/>
      <c r="K16" s="17"/>
      <c r="L16" s="17"/>
      <c r="M16" s="17"/>
    </row>
    <row r="17" spans="1:15" ht="15" x14ac:dyDescent="0.2">
      <c r="A17" s="19" t="s">
        <v>59</v>
      </c>
      <c r="B17" s="17"/>
      <c r="C17" s="17">
        <f t="shared" ref="C17:H17" si="4">C14/$E$4</f>
        <v>3.350050368660761</v>
      </c>
      <c r="D17" s="17">
        <f t="shared" si="4"/>
        <v>1.1963195406756493</v>
      </c>
      <c r="E17" s="17">
        <f t="shared" si="4"/>
        <v>1.2867182807497126</v>
      </c>
      <c r="F17" s="17">
        <f t="shared" si="4"/>
        <v>2.5438443821207808</v>
      </c>
      <c r="G17" s="17">
        <f t="shared" si="4"/>
        <v>2.1165336902492893</v>
      </c>
      <c r="H17" s="17">
        <f t="shared" si="4"/>
        <v>0.44457792008172498</v>
      </c>
      <c r="I17" s="17"/>
      <c r="J17" s="17"/>
      <c r="K17" s="17"/>
      <c r="L17" s="17"/>
      <c r="M17" s="17"/>
    </row>
    <row r="18" spans="1:15" ht="15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5" ht="15" x14ac:dyDescent="0.2">
      <c r="A19" s="20" t="s">
        <v>601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5" ht="15" x14ac:dyDescent="0.2">
      <c r="A20" s="19" t="s">
        <v>63</v>
      </c>
      <c r="B20" s="17"/>
      <c r="C20" s="17">
        <v>661.57799999999997</v>
      </c>
      <c r="D20" s="17">
        <v>332.91800000000001</v>
      </c>
      <c r="E20" s="17"/>
      <c r="F20" s="17"/>
      <c r="G20" s="17"/>
      <c r="H20" s="17"/>
      <c r="I20" s="17"/>
      <c r="J20" s="17"/>
      <c r="K20" s="17"/>
      <c r="L20" s="17"/>
      <c r="M20" s="17"/>
    </row>
    <row r="21" spans="1:15" ht="15" x14ac:dyDescent="0.2">
      <c r="A21" s="19" t="s">
        <v>62</v>
      </c>
      <c r="B21" s="17"/>
      <c r="C21" s="17">
        <f>C20-$B$7</f>
        <v>440.33799999999997</v>
      </c>
      <c r="D21" s="17">
        <f>D20-$B$7</f>
        <v>111.678</v>
      </c>
      <c r="E21" s="17"/>
      <c r="F21" s="17"/>
      <c r="G21" s="17"/>
      <c r="H21" s="17"/>
      <c r="I21" s="17"/>
      <c r="J21" s="17"/>
      <c r="K21" s="17"/>
      <c r="L21" s="17"/>
      <c r="M21" s="17"/>
    </row>
    <row r="22" spans="1:15" ht="15" x14ac:dyDescent="0.2">
      <c r="A22" s="19" t="s">
        <v>61</v>
      </c>
      <c r="B22" s="17"/>
      <c r="C22" s="17">
        <v>0.253</v>
      </c>
      <c r="D22" s="17">
        <v>0.251</v>
      </c>
      <c r="E22" s="17"/>
      <c r="F22" s="17"/>
      <c r="G22" s="17"/>
      <c r="H22" s="17"/>
      <c r="I22" s="17"/>
      <c r="J22" s="17"/>
      <c r="K22" s="17"/>
      <c r="L22" s="17"/>
      <c r="M22" s="17"/>
    </row>
    <row r="23" spans="1:15" ht="15" x14ac:dyDescent="0.2">
      <c r="A23" s="19" t="s">
        <v>60</v>
      </c>
      <c r="B23" s="17"/>
      <c r="C23" s="17">
        <f>SQRT((C22^2)+4)</f>
        <v>2.0159387391485883</v>
      </c>
      <c r="D23" s="17">
        <f>SQRT((D22^2)+4)</f>
        <v>2.0156887160471975</v>
      </c>
      <c r="E23" s="17"/>
      <c r="F23" s="17"/>
      <c r="G23" s="17"/>
      <c r="H23" s="17"/>
      <c r="I23" s="17"/>
      <c r="J23" s="17"/>
      <c r="K23" s="17"/>
      <c r="L23" s="17"/>
      <c r="M23" s="17"/>
    </row>
    <row r="24" spans="1:15" ht="15" x14ac:dyDescent="0.2">
      <c r="A24" s="19" t="s">
        <v>59</v>
      </c>
      <c r="B24" s="17"/>
      <c r="C24" s="17">
        <f>C21/$E$4</f>
        <v>2.0825573091311522</v>
      </c>
      <c r="D24" s="17">
        <f>D21/$E$4</f>
        <v>0.5281757085901031</v>
      </c>
      <c r="E24" s="17"/>
      <c r="F24" s="17"/>
      <c r="G24" s="17"/>
      <c r="H24" s="17"/>
      <c r="I24" s="17"/>
      <c r="J24" s="17"/>
      <c r="K24" s="17"/>
      <c r="L24" s="17"/>
      <c r="M24" s="17"/>
    </row>
    <row r="25" spans="1:15" ht="15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5" ht="15" x14ac:dyDescent="0.2">
      <c r="A26" s="20" t="s">
        <v>105</v>
      </c>
      <c r="B26" s="17"/>
      <c r="C26" s="17">
        <v>1</v>
      </c>
      <c r="D26" s="17">
        <v>1</v>
      </c>
      <c r="E26" s="17"/>
      <c r="F26" s="17"/>
      <c r="G26" s="17"/>
      <c r="H26" s="17"/>
      <c r="I26" s="17"/>
      <c r="J26" s="17"/>
      <c r="K26" s="17"/>
      <c r="L26" s="17"/>
      <c r="M26" s="17"/>
    </row>
    <row r="27" spans="1:15" ht="15" x14ac:dyDescent="0.2">
      <c r="A27" s="19" t="s">
        <v>63</v>
      </c>
      <c r="B27" s="17"/>
      <c r="C27" s="17">
        <v>400.33199999999999</v>
      </c>
      <c r="D27" s="17">
        <v>434.11700000000002</v>
      </c>
      <c r="E27" s="17">
        <v>333.32400000000001</v>
      </c>
      <c r="F27" s="17">
        <v>659.59</v>
      </c>
      <c r="G27" s="17">
        <v>989.67600000000004</v>
      </c>
      <c r="H27" s="17">
        <v>951.63300000000004</v>
      </c>
      <c r="I27" s="17">
        <v>919.92200000000003</v>
      </c>
      <c r="J27" s="16">
        <v>448.02300000000002</v>
      </c>
      <c r="K27" s="17">
        <v>471.19900000000001</v>
      </c>
      <c r="L27" s="17">
        <v>694.09</v>
      </c>
      <c r="M27" s="17">
        <v>793.34799999999996</v>
      </c>
      <c r="N27" s="8">
        <v>1171.1130000000001</v>
      </c>
      <c r="O27" s="8">
        <v>893.16800000000001</v>
      </c>
    </row>
    <row r="28" spans="1:15" ht="15" x14ac:dyDescent="0.2">
      <c r="A28" s="19" t="s">
        <v>62</v>
      </c>
      <c r="B28" s="17"/>
      <c r="C28" s="17">
        <f t="shared" ref="C28:O28" si="5">C27-$B$7</f>
        <v>179.09199999999998</v>
      </c>
      <c r="D28" s="17">
        <f t="shared" si="5"/>
        <v>212.87700000000001</v>
      </c>
      <c r="E28" s="17">
        <f t="shared" si="5"/>
        <v>112.084</v>
      </c>
      <c r="F28" s="17">
        <f t="shared" si="5"/>
        <v>438.35</v>
      </c>
      <c r="G28" s="17">
        <f t="shared" si="5"/>
        <v>768.43600000000004</v>
      </c>
      <c r="H28" s="17">
        <f t="shared" si="5"/>
        <v>730.39300000000003</v>
      </c>
      <c r="I28" s="17">
        <f t="shared" si="5"/>
        <v>698.68200000000002</v>
      </c>
      <c r="J28" s="17">
        <f t="shared" si="5"/>
        <v>226.78300000000002</v>
      </c>
      <c r="K28" s="17">
        <f t="shared" si="5"/>
        <v>249.959</v>
      </c>
      <c r="L28" s="17">
        <f t="shared" si="5"/>
        <v>472.85</v>
      </c>
      <c r="M28" s="17">
        <f t="shared" si="5"/>
        <v>572.10799999999995</v>
      </c>
      <c r="N28" s="17">
        <f t="shared" si="5"/>
        <v>949.87300000000005</v>
      </c>
      <c r="O28" s="17">
        <f t="shared" si="5"/>
        <v>671.928</v>
      </c>
    </row>
    <row r="29" spans="1:15" ht="15" x14ac:dyDescent="0.2">
      <c r="A29" s="19" t="s">
        <v>61</v>
      </c>
      <c r="B29" s="17"/>
      <c r="C29" s="17">
        <v>0.36399999999999999</v>
      </c>
      <c r="D29" s="17">
        <v>0.27</v>
      </c>
      <c r="E29" s="17">
        <v>1.0900000000000001</v>
      </c>
      <c r="F29" s="17">
        <v>0.88800000000000001</v>
      </c>
      <c r="G29" s="17">
        <v>0.155</v>
      </c>
      <c r="H29" s="17">
        <v>9.4E-2</v>
      </c>
      <c r="I29" s="17">
        <v>4.4999999999999998E-2</v>
      </c>
      <c r="J29" s="16">
        <v>0.38500000000000001</v>
      </c>
      <c r="K29" s="17">
        <v>0.34399999999999997</v>
      </c>
      <c r="L29" s="17">
        <v>0.35</v>
      </c>
      <c r="M29" s="17">
        <v>0.252</v>
      </c>
      <c r="N29" s="8">
        <v>0.21</v>
      </c>
      <c r="O29" s="8">
        <v>0.16</v>
      </c>
    </row>
    <row r="30" spans="1:15" ht="15" x14ac:dyDescent="0.2">
      <c r="A30" s="19" t="s">
        <v>60</v>
      </c>
      <c r="B30" s="17"/>
      <c r="C30" s="17">
        <f t="shared" ref="C30:O30" si="6">SQRT((C29^2)+1)</f>
        <v>1.0641879533240357</v>
      </c>
      <c r="D30" s="17">
        <f t="shared" si="6"/>
        <v>1.0358088626768938</v>
      </c>
      <c r="E30" s="17">
        <f t="shared" si="6"/>
        <v>1.4792227688891217</v>
      </c>
      <c r="F30" s="17">
        <f t="shared" si="6"/>
        <v>1.3373645725829588</v>
      </c>
      <c r="G30" s="17">
        <f t="shared" si="6"/>
        <v>1.0119412038255977</v>
      </c>
      <c r="H30" s="17">
        <f t="shared" si="6"/>
        <v>1.0044082835182115</v>
      </c>
      <c r="I30" s="17">
        <f t="shared" si="6"/>
        <v>1.0010119879402044</v>
      </c>
      <c r="J30" s="17">
        <f t="shared" si="6"/>
        <v>1.0715526118674714</v>
      </c>
      <c r="K30" s="17">
        <f t="shared" si="6"/>
        <v>1.0575140661003049</v>
      </c>
      <c r="L30" s="17">
        <f t="shared" si="6"/>
        <v>1.0594810050208545</v>
      </c>
      <c r="M30" s="17">
        <f t="shared" si="6"/>
        <v>1.0312633029445002</v>
      </c>
      <c r="N30" s="17">
        <f t="shared" si="6"/>
        <v>1.0218121158021176</v>
      </c>
      <c r="O30" s="17">
        <f t="shared" si="6"/>
        <v>1.0127191120937731</v>
      </c>
    </row>
    <row r="31" spans="1:15" ht="15" x14ac:dyDescent="0.2">
      <c r="A31" s="19" t="s">
        <v>59</v>
      </c>
      <c r="B31" s="17"/>
      <c r="C31" s="17"/>
      <c r="D31" s="17">
        <f t="shared" ref="D31:O31" si="7">D28/$E$4</f>
        <v>1.0067914926622556</v>
      </c>
      <c r="E31" s="17">
        <f t="shared" si="7"/>
        <v>0.53009586598625624</v>
      </c>
      <c r="F31" s="17">
        <f t="shared" si="7"/>
        <v>2.0731551591224031</v>
      </c>
      <c r="G31" s="17">
        <f t="shared" si="7"/>
        <v>3.6342809578085613</v>
      </c>
      <c r="H31" s="17">
        <f t="shared" si="7"/>
        <v>3.4543584262276474</v>
      </c>
      <c r="I31" s="17">
        <f t="shared" si="7"/>
        <v>3.304382782903978</v>
      </c>
      <c r="J31" s="17">
        <f t="shared" si="7"/>
        <v>1.0725592482063555</v>
      </c>
      <c r="K31" s="17">
        <f t="shared" si="7"/>
        <v>1.1821690211453786</v>
      </c>
      <c r="L31" s="17">
        <f t="shared" si="7"/>
        <v>2.2363212432782666</v>
      </c>
      <c r="M31" s="17">
        <f t="shared" si="7"/>
        <v>2.7057571615722584</v>
      </c>
      <c r="N31" s="17">
        <f t="shared" si="7"/>
        <v>4.4923784885618208</v>
      </c>
      <c r="O31" s="17">
        <f t="shared" si="7"/>
        <v>3.1778510317298916</v>
      </c>
    </row>
    <row r="32" spans="1:15" ht="15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5" x14ac:dyDescent="0.2">
      <c r="A33" s="20" t="s">
        <v>104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5" x14ac:dyDescent="0.2">
      <c r="A34" s="19" t="s">
        <v>63</v>
      </c>
      <c r="B34" s="17"/>
      <c r="C34" s="17">
        <v>536.25400000000002</v>
      </c>
      <c r="D34" s="17">
        <v>298.82799999999997</v>
      </c>
      <c r="E34" s="17">
        <v>338.90199999999999</v>
      </c>
      <c r="F34" s="17">
        <v>837.77</v>
      </c>
      <c r="G34" s="17">
        <v>359.77</v>
      </c>
      <c r="H34" s="17">
        <v>965.47699999999998</v>
      </c>
      <c r="I34" s="17">
        <v>1185.4549999999999</v>
      </c>
      <c r="J34" s="17">
        <v>456.76600000000002</v>
      </c>
      <c r="K34" s="17"/>
      <c r="L34" s="17"/>
      <c r="M34" s="17"/>
    </row>
    <row r="35" spans="1:13" ht="15" x14ac:dyDescent="0.2">
      <c r="A35" s="19" t="s">
        <v>62</v>
      </c>
      <c r="B35" s="17"/>
      <c r="C35" s="17">
        <f t="shared" ref="C35:J35" si="8">C34-$B$7</f>
        <v>315.01400000000001</v>
      </c>
      <c r="D35" s="17">
        <f t="shared" si="8"/>
        <v>77.587999999999965</v>
      </c>
      <c r="E35" s="17">
        <f t="shared" si="8"/>
        <v>117.66199999999998</v>
      </c>
      <c r="F35" s="17">
        <f t="shared" si="8"/>
        <v>616.53</v>
      </c>
      <c r="G35" s="17">
        <f t="shared" si="8"/>
        <v>138.52999999999997</v>
      </c>
      <c r="H35" s="17">
        <f t="shared" si="8"/>
        <v>744.23699999999997</v>
      </c>
      <c r="I35" s="17">
        <f t="shared" si="8"/>
        <v>964.21499999999992</v>
      </c>
      <c r="J35" s="17">
        <f t="shared" si="8"/>
        <v>235.52600000000001</v>
      </c>
      <c r="K35" s="17"/>
      <c r="L35" s="17"/>
      <c r="M35" s="17"/>
    </row>
    <row r="36" spans="1:13" ht="15" x14ac:dyDescent="0.2">
      <c r="A36" s="19" t="s">
        <v>61</v>
      </c>
      <c r="B36" s="17"/>
      <c r="C36" s="17">
        <v>3.7679999999999998</v>
      </c>
      <c r="D36" s="17">
        <v>3.4249999999999998</v>
      </c>
      <c r="E36" s="17">
        <v>2.617</v>
      </c>
      <c r="F36" s="17">
        <v>2.298</v>
      </c>
      <c r="G36" s="17">
        <v>1.64</v>
      </c>
      <c r="H36" s="17">
        <v>1.633</v>
      </c>
      <c r="I36" s="17">
        <v>0.90200000000000002</v>
      </c>
      <c r="J36" s="17">
        <v>0.45900000000000002</v>
      </c>
      <c r="K36" s="17"/>
      <c r="L36" s="17"/>
      <c r="M36" s="17"/>
    </row>
    <row r="37" spans="1:13" ht="15" x14ac:dyDescent="0.2">
      <c r="A37" s="19" t="s">
        <v>60</v>
      </c>
      <c r="B37" s="17"/>
      <c r="C37" s="17">
        <f t="shared" ref="C37:J37" si="9">SQRT((C36^2)+4)</f>
        <v>4.2658907627833127</v>
      </c>
      <c r="D37" s="17">
        <f t="shared" si="9"/>
        <v>3.9661851948692459</v>
      </c>
      <c r="E37" s="17">
        <f t="shared" si="9"/>
        <v>3.2937348102116539</v>
      </c>
      <c r="F37" s="17">
        <f t="shared" si="9"/>
        <v>3.0464412024524616</v>
      </c>
      <c r="G37" s="17">
        <f t="shared" si="9"/>
        <v>2.5864261056523534</v>
      </c>
      <c r="H37" s="17">
        <f t="shared" si="9"/>
        <v>2.5819932222993924</v>
      </c>
      <c r="I37" s="17">
        <f t="shared" si="9"/>
        <v>2.1939927073716539</v>
      </c>
      <c r="J37" s="17">
        <f t="shared" si="9"/>
        <v>2.051994395703848</v>
      </c>
      <c r="K37" s="17"/>
      <c r="L37" s="17"/>
      <c r="M37" s="17"/>
    </row>
    <row r="38" spans="1:13" ht="15" x14ac:dyDescent="0.2">
      <c r="A38" s="19" t="s">
        <v>59</v>
      </c>
      <c r="B38" s="17"/>
      <c r="C38" s="17">
        <f t="shared" ref="C38:J38" si="10">C35/$E$4</f>
        <v>1.4898435024427619</v>
      </c>
      <c r="D38" s="17">
        <f t="shared" si="10"/>
        <v>0.36694869963725091</v>
      </c>
      <c r="E38" s="17">
        <f t="shared" si="10"/>
        <v>0.5564767476506447</v>
      </c>
      <c r="F38" s="17">
        <f t="shared" si="10"/>
        <v>2.915848865641006</v>
      </c>
      <c r="G38" s="17">
        <f t="shared" si="10"/>
        <v>0.65517094603222636</v>
      </c>
      <c r="H38" s="17">
        <f t="shared" si="10"/>
        <v>3.519832955765438</v>
      </c>
      <c r="I38" s="17">
        <f t="shared" si="10"/>
        <v>4.5602082850535135</v>
      </c>
      <c r="J38" s="17">
        <f t="shared" si="10"/>
        <v>1.1139088445476517</v>
      </c>
      <c r="K38" s="17"/>
      <c r="L38" s="17"/>
      <c r="M38" s="17"/>
    </row>
    <row r="39" spans="1:13" ht="15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15" x14ac:dyDescent="0.2">
      <c r="A40" s="20" t="s">
        <v>103</v>
      </c>
      <c r="B40" s="17"/>
      <c r="C40" s="17">
        <v>1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5" x14ac:dyDescent="0.2">
      <c r="A41" s="19" t="s">
        <v>63</v>
      </c>
      <c r="B41" s="17"/>
      <c r="C41" s="17">
        <v>453.68400000000003</v>
      </c>
      <c r="D41" s="17">
        <v>358.67200000000003</v>
      </c>
      <c r="E41" s="17">
        <v>292.262</v>
      </c>
      <c r="F41" s="17">
        <v>907.78899999999999</v>
      </c>
      <c r="G41" s="17">
        <v>440.23</v>
      </c>
      <c r="H41" s="17"/>
      <c r="I41" s="17"/>
      <c r="J41" s="17"/>
      <c r="K41" s="17"/>
      <c r="L41" s="17"/>
      <c r="M41" s="17"/>
    </row>
    <row r="42" spans="1:13" ht="15" x14ac:dyDescent="0.2">
      <c r="A42" s="19" t="s">
        <v>62</v>
      </c>
      <c r="B42" s="17"/>
      <c r="C42" s="17">
        <f>C41-$B$7</f>
        <v>232.44400000000002</v>
      </c>
      <c r="D42" s="17">
        <f>D41-$B$7</f>
        <v>137.43200000000002</v>
      </c>
      <c r="E42" s="17">
        <f>E41-$B$7</f>
        <v>71.021999999999991</v>
      </c>
      <c r="F42" s="17">
        <f>F41-$B$7</f>
        <v>686.54899999999998</v>
      </c>
      <c r="G42" s="17">
        <f>G41-$B$7</f>
        <v>218.99</v>
      </c>
      <c r="H42" s="17"/>
      <c r="I42" s="17"/>
      <c r="J42" s="17"/>
      <c r="K42" s="17"/>
      <c r="L42" s="17"/>
      <c r="M42" s="17"/>
    </row>
    <row r="43" spans="1:13" ht="15" x14ac:dyDescent="0.2">
      <c r="A43" s="19" t="s">
        <v>61</v>
      </c>
      <c r="B43" s="17"/>
      <c r="C43" s="17">
        <v>3.1659999999999999</v>
      </c>
      <c r="D43" s="17">
        <v>2.5990000000000002</v>
      </c>
      <c r="E43" s="17">
        <v>5.782</v>
      </c>
      <c r="F43" s="17">
        <v>1.3919999999999999</v>
      </c>
      <c r="G43" s="17">
        <v>0.78300000000000003</v>
      </c>
      <c r="H43" s="17"/>
      <c r="I43" s="17"/>
      <c r="J43" s="17"/>
      <c r="K43" s="17"/>
      <c r="L43" s="17"/>
      <c r="M43" s="17"/>
    </row>
    <row r="44" spans="1:13" ht="15" x14ac:dyDescent="0.2">
      <c r="A44" s="19" t="s">
        <v>60</v>
      </c>
      <c r="B44" s="17"/>
      <c r="C44" s="17">
        <f>SQRT((C43^2)+9)</f>
        <v>4.3616001650770331</v>
      </c>
      <c r="D44" s="17">
        <f>SQRT((D43^2)+9)</f>
        <v>3.969231789654013</v>
      </c>
      <c r="E44" s="17">
        <f>SQRT((E43^2)+9)</f>
        <v>6.5139484185860734</v>
      </c>
      <c r="F44" s="17">
        <f>SQRT((F43^2)+9)</f>
        <v>3.3072139332072243</v>
      </c>
      <c r="G44" s="17">
        <f>SQRT((G43^2)+9)</f>
        <v>3.1004981857759568</v>
      </c>
      <c r="H44" s="17"/>
      <c r="I44" s="17"/>
      <c r="J44" s="17"/>
      <c r="K44" s="17"/>
      <c r="L44" s="17"/>
      <c r="M44" s="17"/>
    </row>
    <row r="45" spans="1:13" ht="15" x14ac:dyDescent="0.2">
      <c r="A45" s="19" t="s">
        <v>59</v>
      </c>
      <c r="B45" s="17"/>
      <c r="C45" s="17"/>
      <c r="D45" s="17">
        <f>D42/$E$4</f>
        <v>0.64997800804952688</v>
      </c>
      <c r="E45" s="17">
        <f>E42/$E$4</f>
        <v>0.33589511967877561</v>
      </c>
      <c r="F45" s="17">
        <f>F42/$E$4</f>
        <v>3.2470003452499752</v>
      </c>
      <c r="G45" s="17">
        <f>G42/$E$4</f>
        <v>1.035702630993989</v>
      </c>
      <c r="H45" s="17"/>
      <c r="I45" s="17"/>
      <c r="J45" s="17"/>
      <c r="K45" s="17"/>
      <c r="L45" s="17"/>
      <c r="M45" s="17"/>
    </row>
    <row r="46" spans="1:13" ht="15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" x14ac:dyDescent="0.2">
      <c r="A47" s="20" t="s">
        <v>600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" x14ac:dyDescent="0.2">
      <c r="A48" s="19" t="s">
        <v>63</v>
      </c>
      <c r="B48" s="17"/>
      <c r="C48" s="17">
        <v>468.50799999999998</v>
      </c>
      <c r="D48" s="17">
        <v>1006.582</v>
      </c>
      <c r="E48" s="17">
        <v>300.10199999999998</v>
      </c>
      <c r="F48" s="17"/>
      <c r="G48" s="17"/>
      <c r="H48" s="17"/>
      <c r="I48" s="17"/>
      <c r="J48" s="17"/>
      <c r="K48" s="17"/>
      <c r="L48" s="17"/>
      <c r="M48" s="17"/>
    </row>
    <row r="49" spans="1:5" ht="15" x14ac:dyDescent="0.2">
      <c r="A49" s="19" t="s">
        <v>62</v>
      </c>
      <c r="C49" s="8">
        <f>C48-$B$7</f>
        <v>247.26799999999997</v>
      </c>
      <c r="D49" s="8">
        <f>D48-$B$7</f>
        <v>785.34199999999998</v>
      </c>
      <c r="E49" s="8">
        <f>E48-$B$7</f>
        <v>78.861999999999966</v>
      </c>
    </row>
    <row r="50" spans="1:5" ht="15" x14ac:dyDescent="0.2">
      <c r="A50" s="19" t="s">
        <v>61</v>
      </c>
      <c r="C50" s="8">
        <v>1.54</v>
      </c>
      <c r="D50" s="8">
        <v>5.98</v>
      </c>
      <c r="E50" s="8">
        <v>1.538</v>
      </c>
    </row>
    <row r="51" spans="1:5" ht="15" x14ac:dyDescent="0.2">
      <c r="A51" s="19" t="s">
        <v>60</v>
      </c>
      <c r="C51" s="8">
        <f>SQRT((C50^2)+16)</f>
        <v>4.2862104474698857</v>
      </c>
      <c r="D51" s="8">
        <f>SQRT((D50^2)+16)</f>
        <v>7.1944700986243602</v>
      </c>
      <c r="E51" s="8">
        <f>SQRT((E50^2)+16)</f>
        <v>4.2854922704398852</v>
      </c>
    </row>
    <row r="52" spans="1:5" ht="15" x14ac:dyDescent="0.2">
      <c r="A52" s="19" t="s">
        <v>59</v>
      </c>
      <c r="C52" s="8">
        <f>C49/$E$4</f>
        <v>1.1694420665812211</v>
      </c>
      <c r="D52" s="8">
        <f>D49/$E$4</f>
        <v>3.714237068496649</v>
      </c>
      <c r="E52" s="8">
        <f>E49/$E$4</f>
        <v>0.37297402112173117</v>
      </c>
    </row>
    <row r="54" spans="1:5" ht="15" x14ac:dyDescent="0.2">
      <c r="A54" s="19"/>
    </row>
    <row r="55" spans="1:5" ht="15" x14ac:dyDescent="0.2">
      <c r="A55" s="19"/>
    </row>
    <row r="56" spans="1:5" ht="15" x14ac:dyDescent="0.2">
      <c r="A56" s="19"/>
    </row>
    <row r="57" spans="1:5" ht="15" x14ac:dyDescent="0.2">
      <c r="A57" s="19"/>
    </row>
    <row r="58" spans="1:5" ht="15" x14ac:dyDescent="0.2">
      <c r="A58" s="19"/>
    </row>
    <row r="59" spans="1:5" ht="15" x14ac:dyDescent="0.2">
      <c r="A59" s="19"/>
    </row>
  </sheetData>
  <mergeCells count="1">
    <mergeCell ref="G4:H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3301-16D8-1B44-83E1-330E14814D7A}">
  <sheetPr>
    <outlinePr summaryBelow="0" summaryRight="0"/>
  </sheetPr>
  <dimension ref="A1:O66"/>
  <sheetViews>
    <sheetView workbookViewId="0">
      <selection activeCell="O46" sqref="O46"/>
    </sheetView>
  </sheetViews>
  <sheetFormatPr baseColWidth="10" defaultColWidth="12.6640625" defaultRowHeight="15.75" customHeight="1" x14ac:dyDescent="0.2"/>
  <cols>
    <col min="1" max="1" width="21.83203125" style="7" customWidth="1"/>
    <col min="2" max="2" width="17.1640625" style="7" customWidth="1"/>
    <col min="3" max="3" width="13.6640625" style="7" customWidth="1"/>
    <col min="4" max="16384" width="12.6640625" style="7"/>
  </cols>
  <sheetData>
    <row r="1" spans="1:15" ht="16" x14ac:dyDescent="0.2">
      <c r="A1" s="53" t="s">
        <v>764</v>
      </c>
      <c r="B1" s="17"/>
      <c r="C1" s="54">
        <v>45229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ht="15.7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ht="16" x14ac:dyDescent="0.2">
      <c r="A3" s="53" t="s">
        <v>74</v>
      </c>
      <c r="B3" s="53" t="s">
        <v>114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ht="16" x14ac:dyDescent="0.2">
      <c r="A4" s="53" t="s">
        <v>27</v>
      </c>
      <c r="B4" s="17">
        <v>42.118000000000002</v>
      </c>
      <c r="C4" s="17"/>
      <c r="D4" s="53" t="s">
        <v>73</v>
      </c>
      <c r="E4" s="17">
        <f>AVERAGE(C8,D8,C35,D35,C49)</f>
        <v>44.060800000000015</v>
      </c>
      <c r="F4" s="17"/>
      <c r="G4" s="57" t="s">
        <v>72</v>
      </c>
      <c r="H4" s="56"/>
      <c r="I4" s="17"/>
      <c r="J4" s="17"/>
      <c r="K4" s="17"/>
      <c r="L4" s="17"/>
      <c r="M4" s="17"/>
    </row>
    <row r="5" spans="1:15" ht="15.75" customHeight="1" x14ac:dyDescent="0.2">
      <c r="A5" s="17"/>
      <c r="B5" s="52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ht="15" x14ac:dyDescent="0.2">
      <c r="A6" s="51" t="s">
        <v>120</v>
      </c>
      <c r="B6" s="50" t="s">
        <v>70</v>
      </c>
      <c r="C6" s="17">
        <v>1</v>
      </c>
      <c r="D6" s="17">
        <v>1</v>
      </c>
      <c r="E6" s="17"/>
      <c r="F6" s="17"/>
      <c r="G6" s="17"/>
      <c r="H6" s="17"/>
      <c r="I6" s="17"/>
      <c r="J6" s="17"/>
      <c r="K6" s="17"/>
      <c r="L6" s="17"/>
      <c r="M6" s="17"/>
    </row>
    <row r="7" spans="1:15" ht="15" x14ac:dyDescent="0.2">
      <c r="A7" s="19" t="s">
        <v>63</v>
      </c>
      <c r="B7" s="17">
        <v>219.50399999999999</v>
      </c>
      <c r="C7" s="17">
        <v>256.98399999999998</v>
      </c>
      <c r="D7" s="17">
        <v>268.14800000000002</v>
      </c>
      <c r="E7" s="17">
        <v>242.74199999999999</v>
      </c>
      <c r="F7" s="17">
        <v>351.84399999999999</v>
      </c>
      <c r="G7" s="17">
        <v>245.887</v>
      </c>
      <c r="H7" s="17">
        <v>289.24200000000002</v>
      </c>
      <c r="I7" s="17">
        <v>265.58600000000001</v>
      </c>
      <c r="J7" s="17">
        <v>277.04300000000001</v>
      </c>
      <c r="K7" s="17">
        <v>252.922</v>
      </c>
      <c r="L7" s="17">
        <v>286.24200000000002</v>
      </c>
      <c r="M7" s="17"/>
    </row>
    <row r="8" spans="1:15" ht="15" x14ac:dyDescent="0.2">
      <c r="A8" s="19" t="s">
        <v>62</v>
      </c>
      <c r="B8" s="17"/>
      <c r="C8" s="17">
        <f t="shared" ref="C8:L8" si="0">C7-$B$7</f>
        <v>37.47999999999999</v>
      </c>
      <c r="D8" s="17">
        <f t="shared" si="0"/>
        <v>48.644000000000034</v>
      </c>
      <c r="E8" s="17">
        <f t="shared" si="0"/>
        <v>23.238</v>
      </c>
      <c r="F8" s="17">
        <f t="shared" si="0"/>
        <v>132.34</v>
      </c>
      <c r="G8" s="17">
        <f t="shared" si="0"/>
        <v>26.38300000000001</v>
      </c>
      <c r="H8" s="17">
        <f t="shared" si="0"/>
        <v>69.738000000000028</v>
      </c>
      <c r="I8" s="17">
        <f t="shared" si="0"/>
        <v>46.082000000000022</v>
      </c>
      <c r="J8" s="17">
        <f t="shared" si="0"/>
        <v>57.539000000000016</v>
      </c>
      <c r="K8" s="17">
        <f t="shared" si="0"/>
        <v>33.418000000000006</v>
      </c>
      <c r="L8" s="17">
        <f t="shared" si="0"/>
        <v>66.738000000000028</v>
      </c>
      <c r="M8" s="17"/>
      <c r="N8" s="17"/>
      <c r="O8" s="17"/>
    </row>
    <row r="9" spans="1:15" ht="15" x14ac:dyDescent="0.2">
      <c r="A9" s="19" t="s">
        <v>61</v>
      </c>
      <c r="B9" s="17"/>
      <c r="C9" s="17">
        <v>10.997</v>
      </c>
      <c r="D9" s="17">
        <v>2.4510000000000001</v>
      </c>
      <c r="E9" s="17">
        <v>11.465999999999999</v>
      </c>
      <c r="F9" s="17">
        <v>3.0139999999999998</v>
      </c>
      <c r="G9" s="17">
        <v>5.4020000000000001</v>
      </c>
      <c r="H9" s="17">
        <v>2.7869999999999999</v>
      </c>
      <c r="I9" s="17">
        <v>3.39</v>
      </c>
      <c r="J9" s="17">
        <v>2.774</v>
      </c>
      <c r="K9" s="17">
        <v>2.2839999999999998</v>
      </c>
      <c r="L9" s="17">
        <v>3.26</v>
      </c>
      <c r="M9" s="17"/>
    </row>
    <row r="10" spans="1:15" ht="15" x14ac:dyDescent="0.2">
      <c r="A10" s="19" t="s">
        <v>59</v>
      </c>
      <c r="B10" s="17"/>
      <c r="C10" s="17"/>
      <c r="D10" s="17"/>
      <c r="E10" s="17">
        <f t="shared" ref="E10:L10" si="1">E8/$E$4</f>
        <v>0.52740758224998163</v>
      </c>
      <c r="F10" s="17">
        <f t="shared" si="1"/>
        <v>3.0035768755900927</v>
      </c>
      <c r="G10" s="17">
        <f t="shared" si="1"/>
        <v>0.59878622267412307</v>
      </c>
      <c r="H10" s="17">
        <f t="shared" si="1"/>
        <v>1.5827674486164574</v>
      </c>
      <c r="I10" s="17">
        <f t="shared" si="1"/>
        <v>1.0458729755247296</v>
      </c>
      <c r="J10" s="17">
        <f t="shared" si="1"/>
        <v>1.3059000290507661</v>
      </c>
      <c r="K10" s="17">
        <f t="shared" si="1"/>
        <v>0.75845195729537351</v>
      </c>
      <c r="L10" s="17">
        <f t="shared" si="1"/>
        <v>1.5146797153024911</v>
      </c>
      <c r="M10" s="17"/>
      <c r="N10" s="17"/>
      <c r="O10" s="17"/>
    </row>
    <row r="11" spans="1:15" ht="15.7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5" ht="15" x14ac:dyDescent="0.2">
      <c r="A12" s="20" t="s">
        <v>119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5" ht="15" x14ac:dyDescent="0.2">
      <c r="A13" s="19" t="s">
        <v>63</v>
      </c>
      <c r="B13" s="17"/>
      <c r="C13" s="16">
        <v>262.75400000000002</v>
      </c>
      <c r="D13" s="16">
        <v>339.20699999999999</v>
      </c>
      <c r="E13" s="16">
        <v>278.012</v>
      </c>
      <c r="F13" s="16">
        <v>332.21899999999999</v>
      </c>
      <c r="G13" s="16">
        <v>328.80900000000003</v>
      </c>
      <c r="H13" s="16">
        <v>349.125</v>
      </c>
      <c r="I13" s="16">
        <v>378.15199999999999</v>
      </c>
      <c r="J13" s="17"/>
      <c r="K13" s="17"/>
      <c r="L13" s="17"/>
      <c r="M13" s="17"/>
    </row>
    <row r="14" spans="1:15" ht="15" x14ac:dyDescent="0.2">
      <c r="A14" s="19" t="s">
        <v>62</v>
      </c>
      <c r="B14" s="17"/>
      <c r="C14" s="17">
        <f t="shared" ref="C14:I14" si="2">C13-$B$7</f>
        <v>43.250000000000028</v>
      </c>
      <c r="D14" s="17">
        <f t="shared" si="2"/>
        <v>119.703</v>
      </c>
      <c r="E14" s="17">
        <f t="shared" si="2"/>
        <v>58.50800000000001</v>
      </c>
      <c r="F14" s="17">
        <f t="shared" si="2"/>
        <v>112.715</v>
      </c>
      <c r="G14" s="17">
        <f t="shared" si="2"/>
        <v>109.30500000000004</v>
      </c>
      <c r="H14" s="17">
        <f t="shared" si="2"/>
        <v>129.62100000000001</v>
      </c>
      <c r="I14" s="17">
        <f t="shared" si="2"/>
        <v>158.648</v>
      </c>
      <c r="J14" s="17"/>
      <c r="K14" s="17"/>
      <c r="L14" s="17"/>
      <c r="M14" s="17"/>
    </row>
    <row r="15" spans="1:15" ht="15" x14ac:dyDescent="0.2">
      <c r="A15" s="19" t="s">
        <v>61</v>
      </c>
      <c r="B15" s="17"/>
      <c r="C15" s="16">
        <v>11.39</v>
      </c>
      <c r="D15" s="16">
        <v>3.5990000000000002</v>
      </c>
      <c r="E15" s="16">
        <v>2.004</v>
      </c>
      <c r="F15" s="16">
        <v>2.875</v>
      </c>
      <c r="G15" s="16">
        <v>2.923</v>
      </c>
      <c r="H15" s="16">
        <v>3.1680000000000001</v>
      </c>
      <c r="I15" s="16">
        <v>2.7519999999999998</v>
      </c>
      <c r="J15" s="17"/>
      <c r="K15" s="17"/>
      <c r="L15" s="17"/>
      <c r="M15" s="17"/>
    </row>
    <row r="16" spans="1:15" ht="15" x14ac:dyDescent="0.2">
      <c r="A16" s="19" t="s">
        <v>60</v>
      </c>
      <c r="B16" s="17"/>
      <c r="C16" s="17">
        <f t="shared" ref="C16:I16" si="3">SQRT((C15^2)+1)</f>
        <v>11.433813886888311</v>
      </c>
      <c r="D16" s="17">
        <f t="shared" si="3"/>
        <v>3.735344830132822</v>
      </c>
      <c r="E16" s="17">
        <f t="shared" si="3"/>
        <v>2.2396464006623904</v>
      </c>
      <c r="F16" s="17">
        <f t="shared" si="3"/>
        <v>3.0439489154714803</v>
      </c>
      <c r="G16" s="17">
        <f t="shared" si="3"/>
        <v>3.0893250071819898</v>
      </c>
      <c r="H16" s="17">
        <f t="shared" si="3"/>
        <v>3.3220812753453219</v>
      </c>
      <c r="I16" s="17">
        <f t="shared" si="3"/>
        <v>2.9280546442988387</v>
      </c>
      <c r="J16" s="17"/>
      <c r="K16" s="17"/>
      <c r="L16" s="17"/>
      <c r="M16" s="17"/>
    </row>
    <row r="17" spans="1:13" ht="15" x14ac:dyDescent="0.2">
      <c r="A17" s="19" t="s">
        <v>59</v>
      </c>
      <c r="B17" s="17"/>
      <c r="C17" s="17">
        <f t="shared" ref="C17:I17" si="4">C14/$E$4</f>
        <v>0.98159815527634575</v>
      </c>
      <c r="D17" s="17">
        <f t="shared" si="4"/>
        <v>2.716768646960563</v>
      </c>
      <c r="E17" s="17">
        <f t="shared" si="4"/>
        <v>1.3278923669111771</v>
      </c>
      <c r="F17" s="17">
        <f t="shared" si="4"/>
        <v>2.5581696201612312</v>
      </c>
      <c r="G17" s="17">
        <f t="shared" si="4"/>
        <v>2.480776563294357</v>
      </c>
      <c r="H17" s="17">
        <f t="shared" si="4"/>
        <v>2.9418666932965349</v>
      </c>
      <c r="I17" s="17">
        <f t="shared" si="4"/>
        <v>3.6006609049313663</v>
      </c>
      <c r="J17" s="17"/>
      <c r="K17" s="17"/>
      <c r="L17" s="17"/>
      <c r="M17" s="17"/>
    </row>
    <row r="18" spans="1:13" ht="15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" x14ac:dyDescent="0.2">
      <c r="A19" s="20" t="s">
        <v>118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" x14ac:dyDescent="0.2">
      <c r="A20" s="19" t="s">
        <v>63</v>
      </c>
      <c r="B20" s="17"/>
      <c r="C20" s="17">
        <v>244.98400000000001</v>
      </c>
      <c r="D20" s="17">
        <v>269.5</v>
      </c>
      <c r="E20" s="17">
        <v>238.52699999999999</v>
      </c>
      <c r="F20" s="17">
        <v>379.33600000000001</v>
      </c>
      <c r="G20" s="17">
        <v>257.113</v>
      </c>
      <c r="H20" s="17">
        <v>268.77</v>
      </c>
      <c r="I20" s="17"/>
      <c r="J20" s="17"/>
      <c r="K20" s="17"/>
      <c r="L20" s="17"/>
      <c r="M20" s="17"/>
    </row>
    <row r="21" spans="1:13" ht="15" x14ac:dyDescent="0.2">
      <c r="A21" s="19" t="s">
        <v>62</v>
      </c>
      <c r="B21" s="17"/>
      <c r="C21" s="17">
        <f t="shared" ref="C21:H21" si="5">C20-$B$7</f>
        <v>25.480000000000018</v>
      </c>
      <c r="D21" s="17">
        <f t="shared" si="5"/>
        <v>49.996000000000009</v>
      </c>
      <c r="E21" s="17">
        <f t="shared" si="5"/>
        <v>19.022999999999996</v>
      </c>
      <c r="F21" s="17">
        <f t="shared" si="5"/>
        <v>159.83200000000002</v>
      </c>
      <c r="G21" s="17">
        <f t="shared" si="5"/>
        <v>37.609000000000009</v>
      </c>
      <c r="H21" s="17">
        <f t="shared" si="5"/>
        <v>49.265999999999991</v>
      </c>
      <c r="I21" s="17"/>
      <c r="J21" s="17"/>
      <c r="K21" s="17"/>
      <c r="L21" s="17"/>
      <c r="M21" s="17"/>
    </row>
    <row r="22" spans="1:13" ht="15" x14ac:dyDescent="0.2">
      <c r="A22" s="19" t="s">
        <v>61</v>
      </c>
      <c r="B22" s="17"/>
      <c r="C22" s="17">
        <v>0.93200000000000005</v>
      </c>
      <c r="D22" s="17">
        <v>3.7240000000000002</v>
      </c>
      <c r="E22" s="17">
        <v>3.835</v>
      </c>
      <c r="F22" s="17">
        <v>2.532</v>
      </c>
      <c r="G22" s="17">
        <v>3.137</v>
      </c>
      <c r="H22" s="17">
        <v>2.7109999999999999</v>
      </c>
      <c r="I22" s="17"/>
      <c r="J22" s="17"/>
      <c r="K22" s="17"/>
      <c r="L22" s="17"/>
      <c r="M22" s="17"/>
    </row>
    <row r="23" spans="1:13" ht="15" x14ac:dyDescent="0.2">
      <c r="A23" s="19" t="s">
        <v>60</v>
      </c>
      <c r="B23" s="17"/>
      <c r="C23" s="17">
        <f t="shared" ref="C23:H23" si="6">SQRT((C22^2)+4)</f>
        <v>2.2064958644874002</v>
      </c>
      <c r="D23" s="17">
        <f t="shared" si="6"/>
        <v>4.227076531126448</v>
      </c>
      <c r="E23" s="17">
        <f t="shared" si="6"/>
        <v>4.3251849671430236</v>
      </c>
      <c r="F23" s="17">
        <f t="shared" si="6"/>
        <v>3.2266118452643169</v>
      </c>
      <c r="G23" s="17">
        <f t="shared" si="6"/>
        <v>3.7203184003523138</v>
      </c>
      <c r="H23" s="17">
        <f t="shared" si="6"/>
        <v>3.3689050149863231</v>
      </c>
      <c r="I23" s="17"/>
      <c r="J23" s="17"/>
      <c r="K23" s="17"/>
      <c r="L23" s="17"/>
      <c r="M23" s="17"/>
    </row>
    <row r="24" spans="1:13" ht="15" x14ac:dyDescent="0.2">
      <c r="A24" s="19" t="s">
        <v>59</v>
      </c>
      <c r="B24" s="17"/>
      <c r="C24" s="17">
        <f t="shared" ref="C24:H24" si="7">C21/$E$4</f>
        <v>0.57829181494661941</v>
      </c>
      <c r="D24" s="17">
        <f t="shared" si="7"/>
        <v>1.1347047715883505</v>
      </c>
      <c r="E24" s="17">
        <f t="shared" si="7"/>
        <v>0.43174431694385917</v>
      </c>
      <c r="F24" s="17">
        <f t="shared" si="7"/>
        <v>3.6275328636792787</v>
      </c>
      <c r="G24" s="17">
        <f t="shared" si="7"/>
        <v>0.85357052073498429</v>
      </c>
      <c r="H24" s="17">
        <f t="shared" si="7"/>
        <v>1.1181367564819515</v>
      </c>
      <c r="I24" s="17"/>
      <c r="J24" s="17"/>
      <c r="K24" s="17"/>
      <c r="L24" s="17"/>
      <c r="M24" s="17"/>
    </row>
    <row r="25" spans="1:13" ht="15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5" x14ac:dyDescent="0.2">
      <c r="A26" s="20" t="s">
        <v>117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" x14ac:dyDescent="0.2">
      <c r="A27" s="19" t="s">
        <v>63</v>
      </c>
      <c r="B27" s="17"/>
      <c r="C27" s="17">
        <v>258.59800000000001</v>
      </c>
      <c r="D27" s="17">
        <v>254.35499999999999</v>
      </c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5" x14ac:dyDescent="0.2">
      <c r="A28" s="19" t="s">
        <v>62</v>
      </c>
      <c r="B28" s="17"/>
      <c r="C28" s="17">
        <f>C27-$B$7</f>
        <v>39.094000000000023</v>
      </c>
      <c r="D28" s="17">
        <f>D27-$B$7</f>
        <v>34.850999999999999</v>
      </c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5" x14ac:dyDescent="0.2">
      <c r="A29" s="19" t="s">
        <v>61</v>
      </c>
      <c r="B29" s="17"/>
      <c r="C29" s="17">
        <v>1.0980000000000001</v>
      </c>
      <c r="D29" s="17">
        <v>2.9609999999999999</v>
      </c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5" x14ac:dyDescent="0.2">
      <c r="A30" s="19" t="s">
        <v>60</v>
      </c>
      <c r="B30" s="17"/>
      <c r="C30" s="17">
        <f>SQRT((C29^2)+9)</f>
        <v>3.1946211042939039</v>
      </c>
      <c r="D30" s="17">
        <f>SQRT((D29^2)+9)</f>
        <v>4.2151537338512339</v>
      </c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5" x14ac:dyDescent="0.2">
      <c r="A31" s="19" t="s">
        <v>59</v>
      </c>
      <c r="B31" s="17"/>
      <c r="C31" s="17">
        <f>C28/$E4</f>
        <v>0.88727394872539789</v>
      </c>
      <c r="D31" s="17">
        <f>D28/$E4</f>
        <v>0.79097519790834458</v>
      </c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5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5" x14ac:dyDescent="0.2">
      <c r="A33" s="20" t="s">
        <v>116</v>
      </c>
      <c r="B33" s="17"/>
      <c r="C33" s="17">
        <v>1</v>
      </c>
      <c r="D33" s="17">
        <v>1</v>
      </c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5" x14ac:dyDescent="0.2">
      <c r="A34" s="19" t="s">
        <v>63</v>
      </c>
      <c r="B34" s="17"/>
      <c r="C34" s="17">
        <v>262.84800000000001</v>
      </c>
      <c r="D34" s="17">
        <v>256.58999999999997</v>
      </c>
      <c r="E34" s="17">
        <v>243.93</v>
      </c>
      <c r="F34" s="17">
        <v>228.93</v>
      </c>
      <c r="G34" s="17">
        <v>254.77699999999999</v>
      </c>
      <c r="H34" s="17">
        <v>235.059</v>
      </c>
      <c r="I34" s="17">
        <v>279.93400000000003</v>
      </c>
      <c r="J34" s="16">
        <v>269.32400000000001</v>
      </c>
      <c r="K34" s="17">
        <v>226.13300000000001</v>
      </c>
      <c r="L34" s="17"/>
      <c r="M34" s="17"/>
    </row>
    <row r="35" spans="1:13" ht="15" x14ac:dyDescent="0.2">
      <c r="A35" s="19" t="s">
        <v>62</v>
      </c>
      <c r="B35" s="17"/>
      <c r="C35" s="17">
        <f t="shared" ref="C35:K35" si="8">C34-$B$7</f>
        <v>43.344000000000023</v>
      </c>
      <c r="D35" s="17">
        <f t="shared" si="8"/>
        <v>37.085999999999984</v>
      </c>
      <c r="E35" s="17">
        <f t="shared" si="8"/>
        <v>24.426000000000016</v>
      </c>
      <c r="F35" s="17">
        <f t="shared" si="8"/>
        <v>9.4260000000000161</v>
      </c>
      <c r="G35" s="17">
        <f t="shared" si="8"/>
        <v>35.272999999999996</v>
      </c>
      <c r="H35" s="17">
        <f t="shared" si="8"/>
        <v>15.555000000000007</v>
      </c>
      <c r="I35" s="17">
        <f t="shared" si="8"/>
        <v>60.430000000000035</v>
      </c>
      <c r="J35" s="17">
        <f t="shared" si="8"/>
        <v>49.820000000000022</v>
      </c>
      <c r="K35" s="17">
        <f t="shared" si="8"/>
        <v>6.6290000000000191</v>
      </c>
      <c r="L35" s="17"/>
      <c r="M35" s="17"/>
    </row>
    <row r="36" spans="1:13" ht="15" x14ac:dyDescent="0.2">
      <c r="A36" s="19" t="s">
        <v>61</v>
      </c>
      <c r="B36" s="17"/>
      <c r="C36" s="17">
        <v>9.1620000000000008</v>
      </c>
      <c r="D36" s="17">
        <v>8.9779999999999998</v>
      </c>
      <c r="E36" s="17">
        <v>2.3490000000000002</v>
      </c>
      <c r="F36" s="17">
        <v>3.1459999999999999</v>
      </c>
      <c r="G36" s="17">
        <v>3.0369999999999999</v>
      </c>
      <c r="H36" s="17">
        <v>2.54</v>
      </c>
      <c r="I36" s="17">
        <v>2.3809999999999998</v>
      </c>
      <c r="J36" s="16">
        <v>2.9910000000000001</v>
      </c>
      <c r="K36" s="17">
        <v>4.0999999999999996</v>
      </c>
      <c r="L36" s="17"/>
      <c r="M36" s="17"/>
    </row>
    <row r="37" spans="1:13" ht="15" x14ac:dyDescent="0.2">
      <c r="A37" s="19" t="s">
        <v>60</v>
      </c>
      <c r="B37" s="17"/>
      <c r="C37" s="17">
        <f t="shared" ref="C37:K37" si="9">SQRT((C36^2)+1)</f>
        <v>9.2164116661529398</v>
      </c>
      <c r="D37" s="17">
        <f t="shared" si="9"/>
        <v>9.0335200226711176</v>
      </c>
      <c r="E37" s="17">
        <f t="shared" si="9"/>
        <v>2.5529984332153441</v>
      </c>
      <c r="F37" s="17">
        <f t="shared" si="9"/>
        <v>3.3011082987384706</v>
      </c>
      <c r="G37" s="17">
        <f t="shared" si="9"/>
        <v>3.1974003502845871</v>
      </c>
      <c r="H37" s="17">
        <f t="shared" si="9"/>
        <v>2.7297618943783357</v>
      </c>
      <c r="I37" s="17">
        <f t="shared" si="9"/>
        <v>2.5824718778720515</v>
      </c>
      <c r="J37" s="17">
        <f t="shared" si="9"/>
        <v>3.1537407946754281</v>
      </c>
      <c r="K37" s="17">
        <f t="shared" si="9"/>
        <v>4.2201895692018381</v>
      </c>
      <c r="L37" s="17"/>
      <c r="M37" s="17"/>
    </row>
    <row r="38" spans="1:13" ht="15" x14ac:dyDescent="0.2">
      <c r="A38" s="19" t="s">
        <v>59</v>
      </c>
      <c r="B38" s="17"/>
      <c r="C38" s="17"/>
      <c r="D38" s="17"/>
      <c r="E38" s="17">
        <f t="shared" ref="E38:K38" si="10">E35/$E$4</f>
        <v>0.55437032464231262</v>
      </c>
      <c r="F38" s="17">
        <f t="shared" si="10"/>
        <v>0.21393165807248196</v>
      </c>
      <c r="G38" s="17">
        <f t="shared" si="10"/>
        <v>0.80055287239450901</v>
      </c>
      <c r="H38" s="17">
        <f t="shared" si="10"/>
        <v>0.35303489723291454</v>
      </c>
      <c r="I38" s="17">
        <f t="shared" si="10"/>
        <v>1.3715139080543253</v>
      </c>
      <c r="J38" s="17">
        <f t="shared" si="10"/>
        <v>1.1307102912339315</v>
      </c>
      <c r="K38" s="17">
        <f t="shared" si="10"/>
        <v>0.15045119471276094</v>
      </c>
      <c r="L38" s="17"/>
      <c r="M38" s="17"/>
    </row>
    <row r="39" spans="1:13" ht="15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15" x14ac:dyDescent="0.2">
      <c r="A40" s="20" t="s">
        <v>115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5" x14ac:dyDescent="0.2">
      <c r="A41" s="19" t="s">
        <v>63</v>
      </c>
      <c r="B41" s="17"/>
      <c r="C41" s="17">
        <v>373.89800000000002</v>
      </c>
      <c r="D41" s="17">
        <v>365.90199999999999</v>
      </c>
      <c r="E41" s="17">
        <v>378.15600000000001</v>
      </c>
      <c r="F41" s="17"/>
      <c r="G41" s="17"/>
      <c r="H41" s="17"/>
      <c r="I41" s="17"/>
      <c r="J41" s="17"/>
      <c r="K41" s="17"/>
      <c r="L41" s="17"/>
      <c r="M41" s="17"/>
    </row>
    <row r="42" spans="1:13" ht="15" x14ac:dyDescent="0.2">
      <c r="A42" s="19" t="s">
        <v>62</v>
      </c>
      <c r="B42" s="17"/>
      <c r="C42" s="17">
        <f>C41-$B$7</f>
        <v>154.39400000000003</v>
      </c>
      <c r="D42" s="17">
        <f>D41-$B$7</f>
        <v>146.398</v>
      </c>
      <c r="E42" s="17">
        <f>E41-$B$7</f>
        <v>158.65200000000002</v>
      </c>
      <c r="F42" s="17"/>
      <c r="G42" s="17"/>
      <c r="H42" s="17"/>
      <c r="I42" s="17"/>
      <c r="J42" s="17"/>
      <c r="K42" s="17"/>
      <c r="L42" s="17"/>
      <c r="M42" s="17"/>
    </row>
    <row r="43" spans="1:13" ht="15" x14ac:dyDescent="0.2">
      <c r="A43" s="19" t="s">
        <v>61</v>
      </c>
      <c r="B43" s="17"/>
      <c r="C43" s="17">
        <v>2.3199999999999998</v>
      </c>
      <c r="D43" s="17">
        <v>3.0979999999999999</v>
      </c>
      <c r="E43" s="17">
        <v>2.0489999999999999</v>
      </c>
      <c r="F43" s="17"/>
      <c r="G43" s="17"/>
      <c r="H43" s="17"/>
      <c r="I43" s="17"/>
      <c r="J43" s="17"/>
      <c r="K43" s="17"/>
      <c r="L43" s="17"/>
      <c r="M43" s="17"/>
    </row>
    <row r="44" spans="1:13" ht="15" x14ac:dyDescent="0.2">
      <c r="A44" s="19" t="s">
        <v>60</v>
      </c>
      <c r="B44" s="17"/>
      <c r="C44" s="17">
        <f>SQRT((C43^2)+4)</f>
        <v>3.0630703550522638</v>
      </c>
      <c r="D44" s="17">
        <f>SQRT((D43^2)+4)</f>
        <v>3.6874929152474314</v>
      </c>
      <c r="E44" s="17">
        <f>SQRT((E43^2)+4)</f>
        <v>2.863285001532331</v>
      </c>
      <c r="F44" s="17"/>
      <c r="G44" s="17"/>
      <c r="H44" s="17"/>
      <c r="I44" s="17"/>
      <c r="J44" s="17"/>
      <c r="K44" s="17"/>
      <c r="L44" s="17"/>
      <c r="M44" s="17"/>
    </row>
    <row r="45" spans="1:13" ht="15" x14ac:dyDescent="0.2">
      <c r="A45" s="19" t="s">
        <v>59</v>
      </c>
      <c r="B45" s="17"/>
      <c r="C45" s="17">
        <f>C42/$E$4</f>
        <v>3.5041124990921633</v>
      </c>
      <c r="D45" s="17">
        <f>D42/$E$4</f>
        <v>3.3226359938993379</v>
      </c>
      <c r="E45" s="17">
        <f>E42/$E$4</f>
        <v>3.6007516885757855</v>
      </c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" x14ac:dyDescent="0.2">
      <c r="A47" s="20" t="s">
        <v>763</v>
      </c>
      <c r="B47" s="17"/>
      <c r="C47" s="17">
        <v>1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" x14ac:dyDescent="0.2">
      <c r="A48" s="19" t="s">
        <v>63</v>
      </c>
      <c r="B48" s="17"/>
      <c r="C48" s="17">
        <v>273.25400000000002</v>
      </c>
      <c r="D48" s="17">
        <v>351.44499999999999</v>
      </c>
      <c r="E48" s="17">
        <v>315.67599999999999</v>
      </c>
      <c r="F48" s="17">
        <v>291.03500000000003</v>
      </c>
      <c r="G48" s="17">
        <v>284.78100000000001</v>
      </c>
      <c r="H48" s="17">
        <v>338.31200000000001</v>
      </c>
      <c r="I48" s="17">
        <v>267.32400000000001</v>
      </c>
      <c r="J48" s="17"/>
      <c r="K48" s="17"/>
      <c r="L48" s="17"/>
      <c r="M48" s="17"/>
    </row>
    <row r="49" spans="1:13" ht="15" x14ac:dyDescent="0.2">
      <c r="A49" s="19" t="s">
        <v>62</v>
      </c>
      <c r="B49" s="17"/>
      <c r="C49" s="17">
        <f t="shared" ref="C49:I49" si="11">C48-$B$7</f>
        <v>53.750000000000028</v>
      </c>
      <c r="D49" s="17">
        <f t="shared" si="11"/>
        <v>131.941</v>
      </c>
      <c r="E49" s="17">
        <f t="shared" si="11"/>
        <v>96.171999999999997</v>
      </c>
      <c r="F49" s="17">
        <f t="shared" si="11"/>
        <v>71.531000000000034</v>
      </c>
      <c r="G49" s="17">
        <f t="shared" si="11"/>
        <v>65.277000000000015</v>
      </c>
      <c r="H49" s="17">
        <f t="shared" si="11"/>
        <v>118.80800000000002</v>
      </c>
      <c r="I49" s="17">
        <f t="shared" si="11"/>
        <v>47.820000000000022</v>
      </c>
      <c r="J49" s="17"/>
      <c r="K49" s="17"/>
      <c r="L49" s="17"/>
      <c r="M49" s="17"/>
    </row>
    <row r="50" spans="1:13" ht="15" x14ac:dyDescent="0.2">
      <c r="A50" s="19" t="s">
        <v>61</v>
      </c>
      <c r="B50" s="17"/>
      <c r="C50" s="17">
        <v>3.2069999999999999</v>
      </c>
      <c r="D50" s="17">
        <v>2.31</v>
      </c>
      <c r="E50" s="17">
        <v>2.0070000000000001</v>
      </c>
      <c r="F50" s="17">
        <v>2.0760000000000001</v>
      </c>
      <c r="G50" s="17">
        <v>3.141</v>
      </c>
      <c r="H50" s="17">
        <v>2.8109999999999999</v>
      </c>
      <c r="I50" s="17">
        <v>8.3450000000000006</v>
      </c>
      <c r="J50" s="17"/>
      <c r="K50" s="17"/>
      <c r="L50" s="17"/>
      <c r="M50" s="17"/>
    </row>
    <row r="51" spans="1:13" ht="15" x14ac:dyDescent="0.2">
      <c r="A51" s="19" t="s">
        <v>60</v>
      </c>
      <c r="B51" s="17"/>
      <c r="C51" s="17">
        <f t="shared" ref="C51:I51" si="12">SQRT((C50^2)+9)</f>
        <v>4.3914518100509765</v>
      </c>
      <c r="D51" s="17">
        <f t="shared" si="12"/>
        <v>3.7863042666959559</v>
      </c>
      <c r="E51" s="17">
        <f t="shared" si="12"/>
        <v>3.609438876058161</v>
      </c>
      <c r="F51" s="17">
        <f t="shared" si="12"/>
        <v>3.648256569924873</v>
      </c>
      <c r="G51" s="17">
        <f t="shared" si="12"/>
        <v>4.3434871934886603</v>
      </c>
      <c r="H51" s="17">
        <f t="shared" si="12"/>
        <v>4.1111702713461042</v>
      </c>
      <c r="I51" s="17">
        <f t="shared" si="12"/>
        <v>8.8678647373536315</v>
      </c>
      <c r="J51" s="17"/>
      <c r="K51" s="17"/>
      <c r="L51" s="17"/>
      <c r="M51" s="17"/>
    </row>
    <row r="52" spans="1:13" ht="15" x14ac:dyDescent="0.2">
      <c r="A52" s="19" t="s">
        <v>59</v>
      </c>
      <c r="B52" s="17"/>
      <c r="C52" s="17"/>
      <c r="D52" s="17">
        <f t="shared" ref="D52:I52" si="13">D49/$E$4</f>
        <v>2.9945212070593352</v>
      </c>
      <c r="E52" s="17">
        <f t="shared" si="13"/>
        <v>2.1827111627569171</v>
      </c>
      <c r="F52" s="17">
        <f t="shared" si="13"/>
        <v>1.6234612172271046</v>
      </c>
      <c r="G52" s="17">
        <f t="shared" si="13"/>
        <v>1.4815209891785894</v>
      </c>
      <c r="H52" s="17">
        <f t="shared" si="13"/>
        <v>2.6964558065218966</v>
      </c>
      <c r="I52" s="17">
        <f t="shared" si="13"/>
        <v>1.0853184690246207</v>
      </c>
      <c r="J52" s="17"/>
      <c r="K52" s="17"/>
      <c r="L52" s="17"/>
      <c r="M52" s="17"/>
    </row>
    <row r="53" spans="1:13" ht="15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" x14ac:dyDescent="0.2">
      <c r="A54" s="20" t="s">
        <v>762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" x14ac:dyDescent="0.2">
      <c r="A55" s="19" t="s">
        <v>63</v>
      </c>
      <c r="B55" s="17"/>
      <c r="C55" s="17">
        <v>270.238</v>
      </c>
      <c r="D55" s="17">
        <v>266.262</v>
      </c>
      <c r="E55" s="17">
        <v>288.012</v>
      </c>
      <c r="F55" s="17">
        <v>236.34</v>
      </c>
      <c r="G55" s="17">
        <v>241.23</v>
      </c>
      <c r="H55" s="17">
        <v>232.18799999999999</v>
      </c>
      <c r="I55" s="17"/>
      <c r="J55" s="17"/>
      <c r="K55" s="17"/>
      <c r="L55" s="17"/>
      <c r="M55" s="17"/>
    </row>
    <row r="56" spans="1:13" ht="15" x14ac:dyDescent="0.2">
      <c r="A56" s="19" t="s">
        <v>62</v>
      </c>
      <c r="C56" s="8">
        <f t="shared" ref="C56:H56" si="14">C55-$B$7</f>
        <v>50.734000000000009</v>
      </c>
      <c r="D56" s="8">
        <f t="shared" si="14"/>
        <v>46.75800000000001</v>
      </c>
      <c r="E56" s="8">
        <f t="shared" si="14"/>
        <v>68.50800000000001</v>
      </c>
      <c r="F56" s="8">
        <f t="shared" si="14"/>
        <v>16.836000000000013</v>
      </c>
      <c r="G56" s="8">
        <f t="shared" si="14"/>
        <v>21.725999999999999</v>
      </c>
      <c r="H56" s="8">
        <f t="shared" si="14"/>
        <v>12.683999999999997</v>
      </c>
    </row>
    <row r="57" spans="1:13" ht="15" x14ac:dyDescent="0.2">
      <c r="A57" s="19" t="s">
        <v>61</v>
      </c>
      <c r="C57" s="8">
        <v>10.201000000000001</v>
      </c>
      <c r="D57" s="8">
        <v>2.931</v>
      </c>
      <c r="E57" s="8">
        <v>2.8540000000000001</v>
      </c>
      <c r="F57" s="8">
        <v>2.133</v>
      </c>
      <c r="G57" s="8">
        <v>1.9650000000000001</v>
      </c>
      <c r="H57" s="8">
        <v>2.8090000000000002</v>
      </c>
    </row>
    <row r="58" spans="1:13" ht="15" x14ac:dyDescent="0.2">
      <c r="A58" s="19" t="s">
        <v>60</v>
      </c>
      <c r="C58" s="8">
        <f t="shared" ref="C58:H58" si="15">SQRT((C57^2)+16)</f>
        <v>10.957207719122605</v>
      </c>
      <c r="D58" s="8">
        <f t="shared" si="15"/>
        <v>4.9589072384951907</v>
      </c>
      <c r="E58" s="8">
        <f t="shared" si="15"/>
        <v>4.9137883552306159</v>
      </c>
      <c r="F58" s="8">
        <f t="shared" si="15"/>
        <v>4.5331764801295789</v>
      </c>
      <c r="G58" s="8">
        <f t="shared" si="15"/>
        <v>4.4565934299641921</v>
      </c>
      <c r="H58" s="8">
        <f t="shared" si="15"/>
        <v>4.8877889684396152</v>
      </c>
    </row>
    <row r="59" spans="1:13" ht="15" x14ac:dyDescent="0.2">
      <c r="A59" s="19" t="s">
        <v>59</v>
      </c>
      <c r="C59" s="8">
        <f t="shared" ref="C59:H59" si="16">C56/$E$4</f>
        <v>1.1514543539835862</v>
      </c>
      <c r="D59" s="8">
        <f t="shared" si="16"/>
        <v>1.0612154114314765</v>
      </c>
      <c r="E59" s="8">
        <f t="shared" si="16"/>
        <v>1.5548514779577309</v>
      </c>
      <c r="F59" s="8">
        <f t="shared" si="16"/>
        <v>0.38210835935797821</v>
      </c>
      <c r="G59" s="8">
        <f t="shared" si="16"/>
        <v>0.49309136465974274</v>
      </c>
      <c r="H59" s="8">
        <f t="shared" si="16"/>
        <v>0.28787493645144874</v>
      </c>
    </row>
    <row r="61" spans="1:13" ht="15" x14ac:dyDescent="0.2">
      <c r="A61" s="20" t="s">
        <v>761</v>
      </c>
    </row>
    <row r="62" spans="1:13" ht="15" x14ac:dyDescent="0.2">
      <c r="A62" s="19" t="s">
        <v>63</v>
      </c>
      <c r="C62" s="8">
        <v>248.238</v>
      </c>
    </row>
    <row r="63" spans="1:13" ht="15" x14ac:dyDescent="0.2">
      <c r="A63" s="19" t="s">
        <v>62</v>
      </c>
      <c r="C63" s="8">
        <f>C62-$B$7</f>
        <v>28.734000000000009</v>
      </c>
    </row>
    <row r="64" spans="1:13" ht="15" x14ac:dyDescent="0.2">
      <c r="A64" s="19" t="s">
        <v>61</v>
      </c>
      <c r="C64" s="8">
        <v>10.23</v>
      </c>
    </row>
    <row r="65" spans="1:3" ht="15" x14ac:dyDescent="0.2">
      <c r="A65" s="19" t="s">
        <v>60</v>
      </c>
      <c r="C65" s="8">
        <f>SQRT((C64^2)+25)</f>
        <v>11.386522735233966</v>
      </c>
    </row>
    <row r="66" spans="1:3" ht="15" x14ac:dyDescent="0.2">
      <c r="A66" s="19" t="s">
        <v>59</v>
      </c>
      <c r="C66" s="8">
        <f>C63/$E$4</f>
        <v>0.65214430968116788</v>
      </c>
    </row>
  </sheetData>
  <mergeCells count="1">
    <mergeCell ref="G4:H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5409-20A5-8E4A-8351-AC000D586308}">
  <dimension ref="A1:P73"/>
  <sheetViews>
    <sheetView workbookViewId="0">
      <selection activeCell="Q29" sqref="Q29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12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2" x14ac:dyDescent="0.2">
      <c r="A2" s="30" t="s">
        <v>643</v>
      </c>
      <c r="B2" s="42">
        <v>45229</v>
      </c>
      <c r="C2" s="30" t="s">
        <v>222</v>
      </c>
      <c r="E2" s="30">
        <v>43.884</v>
      </c>
      <c r="G2" s="30">
        <f>AVERAGE(C8,C14:I14,C21:E21,C35,C42:K42,C49:D49,C56:D56,C63,C70)</f>
        <v>48.020814814814791</v>
      </c>
    </row>
    <row r="4" spans="1:12" x14ac:dyDescent="0.2">
      <c r="A4" s="30" t="s">
        <v>698</v>
      </c>
    </row>
    <row r="6" spans="1:12" x14ac:dyDescent="0.2">
      <c r="A6" s="45" t="s">
        <v>697</v>
      </c>
      <c r="B6" s="30" t="s">
        <v>235</v>
      </c>
      <c r="C6" s="30">
        <v>1</v>
      </c>
    </row>
    <row r="7" spans="1:12" x14ac:dyDescent="0.2">
      <c r="A7" s="30" t="s">
        <v>215</v>
      </c>
      <c r="B7" s="30">
        <v>216.52600000000001</v>
      </c>
      <c r="C7" s="30">
        <v>233.09</v>
      </c>
      <c r="D7" s="30">
        <v>342.17599999999999</v>
      </c>
      <c r="E7" s="30">
        <v>285.06200000000001</v>
      </c>
      <c r="F7" s="30">
        <v>268.60199999999998</v>
      </c>
      <c r="G7" s="30">
        <v>331.98399999999998</v>
      </c>
      <c r="H7" s="30">
        <v>309.20699999999999</v>
      </c>
      <c r="I7" s="30">
        <v>338.52699999999999</v>
      </c>
      <c r="J7" s="30">
        <v>329.15199999999999</v>
      </c>
      <c r="K7" s="30">
        <v>325.72699999999998</v>
      </c>
      <c r="L7" s="30">
        <v>304.77699999999999</v>
      </c>
    </row>
    <row r="8" spans="1:12" x14ac:dyDescent="0.2">
      <c r="A8" s="30" t="s">
        <v>62</v>
      </c>
      <c r="C8" s="30">
        <f t="shared" ref="C8:L8" si="0">C7-$B$7</f>
        <v>16.563999999999993</v>
      </c>
      <c r="D8" s="30">
        <f t="shared" si="0"/>
        <v>125.64999999999998</v>
      </c>
      <c r="E8" s="30">
        <f t="shared" si="0"/>
        <v>68.536000000000001</v>
      </c>
      <c r="F8" s="30">
        <f t="shared" si="0"/>
        <v>52.075999999999965</v>
      </c>
      <c r="G8" s="30">
        <f t="shared" si="0"/>
        <v>115.45799999999997</v>
      </c>
      <c r="H8" s="30">
        <f t="shared" si="0"/>
        <v>92.680999999999983</v>
      </c>
      <c r="I8" s="30">
        <f t="shared" si="0"/>
        <v>122.00099999999998</v>
      </c>
      <c r="J8" s="30">
        <f t="shared" si="0"/>
        <v>112.62599999999998</v>
      </c>
      <c r="K8" s="30">
        <f t="shared" si="0"/>
        <v>109.20099999999996</v>
      </c>
      <c r="L8" s="30">
        <f t="shared" si="0"/>
        <v>88.250999999999976</v>
      </c>
    </row>
    <row r="9" spans="1:12" x14ac:dyDescent="0.2">
      <c r="A9" s="30" t="s">
        <v>214</v>
      </c>
      <c r="C9" s="30">
        <v>7.2779999999999996</v>
      </c>
      <c r="D9" s="30">
        <v>3.3660000000000001</v>
      </c>
      <c r="E9" s="30">
        <v>3.6509999999999998</v>
      </c>
      <c r="F9" s="30">
        <v>2.5960000000000001</v>
      </c>
      <c r="G9" s="30">
        <v>2.1909999999999998</v>
      </c>
      <c r="H9" s="30">
        <v>2.1219999999999999</v>
      </c>
      <c r="I9" s="30">
        <v>1.851</v>
      </c>
      <c r="J9" s="30">
        <v>2.5720000000000001</v>
      </c>
      <c r="K9" s="30">
        <v>2.375</v>
      </c>
      <c r="L9" s="30">
        <v>2.4580000000000002</v>
      </c>
    </row>
    <row r="10" spans="1:12" x14ac:dyDescent="0.2">
      <c r="A10" s="30" t="s">
        <v>59</v>
      </c>
      <c r="D10" s="30">
        <f t="shared" ref="D10:L10" si="1">D8/$G$2</f>
        <v>2.616573677155432</v>
      </c>
      <c r="E10" s="30">
        <f t="shared" si="1"/>
        <v>1.4272144332473118</v>
      </c>
      <c r="F10" s="30">
        <f t="shared" si="1"/>
        <v>1.0844464051854055</v>
      </c>
      <c r="G10" s="30">
        <f t="shared" si="1"/>
        <v>2.404332380557197</v>
      </c>
      <c r="H10" s="30">
        <f t="shared" si="1"/>
        <v>1.9300172301825911</v>
      </c>
      <c r="I10" s="30">
        <f t="shared" si="1"/>
        <v>2.540585795357261</v>
      </c>
      <c r="J10" s="30">
        <f t="shared" si="1"/>
        <v>2.3453579543438732</v>
      </c>
      <c r="K10" s="30">
        <f t="shared" si="1"/>
        <v>2.2740347164269821</v>
      </c>
      <c r="L10" s="30">
        <f t="shared" si="1"/>
        <v>1.8377655677090647</v>
      </c>
    </row>
    <row r="12" spans="1:12" x14ac:dyDescent="0.2">
      <c r="A12" s="45" t="s">
        <v>696</v>
      </c>
      <c r="C12" s="30">
        <v>1</v>
      </c>
      <c r="D12" s="30">
        <v>1</v>
      </c>
      <c r="E12" s="30">
        <v>1</v>
      </c>
      <c r="F12" s="30">
        <v>1</v>
      </c>
      <c r="G12" s="30">
        <v>1</v>
      </c>
      <c r="H12" s="30">
        <v>1</v>
      </c>
      <c r="I12" s="30">
        <v>1</v>
      </c>
    </row>
    <row r="13" spans="1:12" x14ac:dyDescent="0.2">
      <c r="A13" s="30" t="s">
        <v>215</v>
      </c>
      <c r="C13" s="30">
        <v>229.62899999999999</v>
      </c>
      <c r="D13" s="30">
        <v>227.29300000000001</v>
      </c>
      <c r="E13" s="30">
        <v>253.297</v>
      </c>
      <c r="F13" s="30">
        <v>261.62099999999998</v>
      </c>
      <c r="G13" s="30">
        <v>237.50399999999999</v>
      </c>
      <c r="H13" s="30">
        <v>261.30099999999999</v>
      </c>
      <c r="I13" s="30">
        <v>279.96100000000001</v>
      </c>
      <c r="J13" s="30">
        <v>243.988</v>
      </c>
      <c r="K13" s="30">
        <v>247.672</v>
      </c>
    </row>
    <row r="14" spans="1:12" x14ac:dyDescent="0.2">
      <c r="A14" s="30" t="s">
        <v>62</v>
      </c>
      <c r="C14" s="30">
        <f t="shared" ref="C14:K14" si="2">C13-$B$7</f>
        <v>13.10299999999998</v>
      </c>
      <c r="D14" s="30">
        <f t="shared" si="2"/>
        <v>10.766999999999996</v>
      </c>
      <c r="E14" s="30">
        <f t="shared" si="2"/>
        <v>36.770999999999987</v>
      </c>
      <c r="F14" s="30">
        <f t="shared" si="2"/>
        <v>45.09499999999997</v>
      </c>
      <c r="G14" s="30">
        <f t="shared" si="2"/>
        <v>20.97799999999998</v>
      </c>
      <c r="H14" s="30">
        <f t="shared" si="2"/>
        <v>44.774999999999977</v>
      </c>
      <c r="I14" s="30">
        <f t="shared" si="2"/>
        <v>63.435000000000002</v>
      </c>
      <c r="J14" s="30">
        <f t="shared" si="2"/>
        <v>27.461999999999989</v>
      </c>
      <c r="K14" s="30">
        <f t="shared" si="2"/>
        <v>31.145999999999987</v>
      </c>
    </row>
    <row r="15" spans="1:12" x14ac:dyDescent="0.2">
      <c r="A15" s="30" t="s">
        <v>214</v>
      </c>
      <c r="C15" s="30">
        <v>7.415</v>
      </c>
      <c r="D15" s="30">
        <v>5.9249999999999998</v>
      </c>
      <c r="E15" s="30">
        <v>4.1289999999999996</v>
      </c>
      <c r="F15" s="30">
        <v>2.9860000000000002</v>
      </c>
      <c r="G15" s="30">
        <v>2.141</v>
      </c>
      <c r="H15" s="30">
        <v>0.95699999999999996</v>
      </c>
      <c r="I15" s="30">
        <v>2.3969999999999998</v>
      </c>
      <c r="J15" s="30">
        <v>1.6080000000000001</v>
      </c>
      <c r="K15" s="30">
        <v>1.9970000000000001</v>
      </c>
    </row>
    <row r="16" spans="1:12" x14ac:dyDescent="0.2">
      <c r="A16" s="30" t="s">
        <v>60</v>
      </c>
      <c r="C16" s="30">
        <f t="shared" ref="C16:K16" si="3">SQRT((1+(C15^2)))</f>
        <v>7.4821270371465891</v>
      </c>
      <c r="D16" s="30">
        <f t="shared" si="3"/>
        <v>6.0087956363983617</v>
      </c>
      <c r="E16" s="30">
        <f t="shared" si="3"/>
        <v>4.2483692165347398</v>
      </c>
      <c r="F16" s="30">
        <f t="shared" si="3"/>
        <v>3.148999206097074</v>
      </c>
      <c r="G16" s="30">
        <f t="shared" si="3"/>
        <v>2.3630236985692714</v>
      </c>
      <c r="H16" s="30">
        <f t="shared" si="3"/>
        <v>1.3841419724869266</v>
      </c>
      <c r="I16" s="30">
        <f t="shared" si="3"/>
        <v>2.5972310255346942</v>
      </c>
      <c r="J16" s="30">
        <f t="shared" si="3"/>
        <v>1.8935849598050785</v>
      </c>
      <c r="K16" s="30">
        <f t="shared" si="3"/>
        <v>2.2333850989025605</v>
      </c>
    </row>
    <row r="17" spans="1:11" x14ac:dyDescent="0.2">
      <c r="A17" s="30" t="s">
        <v>59</v>
      </c>
      <c r="J17" s="30">
        <f>J14/$G$2</f>
        <v>0.57187701012369641</v>
      </c>
      <c r="K17" s="30">
        <f>K14/$G$2</f>
        <v>0.64859374252831725</v>
      </c>
    </row>
    <row r="19" spans="1:11" x14ac:dyDescent="0.2">
      <c r="A19" s="45" t="s">
        <v>695</v>
      </c>
      <c r="C19" s="30">
        <v>1</v>
      </c>
      <c r="D19" s="30">
        <v>1</v>
      </c>
      <c r="E19" s="30">
        <v>1</v>
      </c>
    </row>
    <row r="20" spans="1:11" x14ac:dyDescent="0.2">
      <c r="A20" s="30" t="s">
        <v>215</v>
      </c>
      <c r="C20" s="30">
        <v>235.01400000000001</v>
      </c>
      <c r="D20" s="30">
        <v>248.33600000000001</v>
      </c>
      <c r="E20" s="30">
        <v>243.09800000000001</v>
      </c>
      <c r="F20" s="30">
        <v>271.84800000000001</v>
      </c>
      <c r="G20" s="30">
        <v>295.488</v>
      </c>
      <c r="H20" s="30">
        <v>322.30099999999999</v>
      </c>
      <c r="I20" s="30">
        <v>278.64800000000002</v>
      </c>
    </row>
    <row r="21" spans="1:11" x14ac:dyDescent="0.2">
      <c r="A21" s="30" t="s">
        <v>62</v>
      </c>
      <c r="C21" s="30">
        <f t="shared" ref="C21:I21" si="4">C20-$B$7</f>
        <v>18.488</v>
      </c>
      <c r="D21" s="30">
        <f t="shared" si="4"/>
        <v>31.810000000000002</v>
      </c>
      <c r="E21" s="30">
        <f t="shared" si="4"/>
        <v>26.572000000000003</v>
      </c>
      <c r="F21" s="30">
        <f t="shared" si="4"/>
        <v>55.322000000000003</v>
      </c>
      <c r="G21" s="30">
        <f t="shared" si="4"/>
        <v>78.961999999999989</v>
      </c>
      <c r="H21" s="30">
        <f t="shared" si="4"/>
        <v>105.77499999999998</v>
      </c>
      <c r="I21" s="30">
        <f t="shared" si="4"/>
        <v>62.122000000000014</v>
      </c>
    </row>
    <row r="22" spans="1:11" x14ac:dyDescent="0.2">
      <c r="A22" s="30" t="s">
        <v>214</v>
      </c>
      <c r="C22" s="30">
        <v>1.99</v>
      </c>
      <c r="D22" s="30">
        <v>1.615</v>
      </c>
      <c r="E22" s="30">
        <v>2.2679999999999998</v>
      </c>
      <c r="F22" s="30">
        <v>1.9550000000000001</v>
      </c>
      <c r="G22" s="30">
        <v>0.91200000000000003</v>
      </c>
      <c r="H22" s="30">
        <v>0.40200000000000002</v>
      </c>
      <c r="I22" s="30">
        <v>0.51400000000000001</v>
      </c>
    </row>
    <row r="23" spans="1:11" x14ac:dyDescent="0.2">
      <c r="A23" s="30" t="s">
        <v>60</v>
      </c>
      <c r="C23" s="30">
        <f t="shared" ref="C23:I23" si="5">SQRT((4+(C22^2)))</f>
        <v>2.8213649179076428</v>
      </c>
      <c r="D23" s="30">
        <f t="shared" si="5"/>
        <v>2.5706468057669842</v>
      </c>
      <c r="E23" s="30">
        <f t="shared" si="5"/>
        <v>3.0238756588193239</v>
      </c>
      <c r="F23" s="30">
        <f t="shared" si="5"/>
        <v>2.796788336646161</v>
      </c>
      <c r="G23" s="30">
        <f t="shared" si="5"/>
        <v>2.198122835512156</v>
      </c>
      <c r="H23" s="30">
        <f t="shared" si="5"/>
        <v>2.040000980391921</v>
      </c>
      <c r="I23" s="30">
        <f t="shared" si="5"/>
        <v>2.0649929781962939</v>
      </c>
    </row>
    <row r="24" spans="1:11" x14ac:dyDescent="0.2">
      <c r="A24" s="30" t="s">
        <v>59</v>
      </c>
      <c r="F24" s="30">
        <f>F21/$G$2</f>
        <v>1.1520420928578816</v>
      </c>
      <c r="G24" s="30">
        <f>G21/$G$2</f>
        <v>1.6443286167572402</v>
      </c>
      <c r="H24" s="30">
        <f>H21/$G$2</f>
        <v>2.2026906542070499</v>
      </c>
      <c r="I24" s="30">
        <f>I21/$G$2</f>
        <v>1.2936473535395925</v>
      </c>
    </row>
    <row r="26" spans="1:11" x14ac:dyDescent="0.2">
      <c r="A26" s="45" t="s">
        <v>694</v>
      </c>
    </row>
    <row r="27" spans="1:11" x14ac:dyDescent="0.2">
      <c r="A27" s="30" t="s">
        <v>215</v>
      </c>
      <c r="C27" s="30">
        <v>252.88300000000001</v>
      </c>
      <c r="D27" s="30">
        <v>276.363</v>
      </c>
    </row>
    <row r="28" spans="1:11" x14ac:dyDescent="0.2">
      <c r="A28" s="30" t="s">
        <v>62</v>
      </c>
      <c r="C28" s="30">
        <f>C27-$B$7</f>
        <v>36.356999999999999</v>
      </c>
      <c r="D28" s="30">
        <f>D27-$B$7</f>
        <v>59.836999999999989</v>
      </c>
    </row>
    <row r="29" spans="1:11" x14ac:dyDescent="0.2">
      <c r="A29" s="30" t="s">
        <v>214</v>
      </c>
      <c r="C29" s="30">
        <v>1.845</v>
      </c>
      <c r="D29" s="30">
        <v>1.2030000000000001</v>
      </c>
    </row>
    <row r="30" spans="1:11" x14ac:dyDescent="0.2">
      <c r="A30" s="30" t="s">
        <v>60</v>
      </c>
      <c r="C30" s="30">
        <f>SQRT((9+(C29^2)))</f>
        <v>3.5219348375573336</v>
      </c>
      <c r="D30" s="30">
        <f>SQRT((9+(D29^2)))</f>
        <v>3.2322142565120897</v>
      </c>
    </row>
    <row r="31" spans="1:11" x14ac:dyDescent="0.2">
      <c r="A31" s="30" t="s">
        <v>59</v>
      </c>
      <c r="C31" s="30">
        <f>C28/$G$2</f>
        <v>0.75710918567719898</v>
      </c>
      <c r="D31" s="30">
        <f>D28/$G$2</f>
        <v>1.2460638210899291</v>
      </c>
    </row>
    <row r="33" spans="1:16" x14ac:dyDescent="0.2">
      <c r="A33" s="45" t="s">
        <v>693</v>
      </c>
      <c r="C33" s="30">
        <v>1</v>
      </c>
    </row>
    <row r="34" spans="1:16" x14ac:dyDescent="0.2">
      <c r="A34" s="30" t="s">
        <v>215</v>
      </c>
      <c r="C34" s="30">
        <v>238.809</v>
      </c>
      <c r="D34" s="30">
        <v>350.64800000000002</v>
      </c>
      <c r="E34" s="30">
        <v>291.32</v>
      </c>
      <c r="F34" s="30">
        <v>334.41800000000001</v>
      </c>
      <c r="G34" s="30">
        <v>326.60500000000002</v>
      </c>
      <c r="H34" s="30">
        <v>325.32400000000001</v>
      </c>
      <c r="I34" s="30">
        <v>343.21100000000001</v>
      </c>
      <c r="J34" s="30">
        <v>310.80900000000003</v>
      </c>
      <c r="K34" s="30">
        <v>321.99599999999998</v>
      </c>
      <c r="L34" s="30">
        <v>334.78100000000001</v>
      </c>
      <c r="M34" s="30">
        <v>321.60199999999998</v>
      </c>
    </row>
    <row r="35" spans="1:16" x14ac:dyDescent="0.2">
      <c r="A35" s="30" t="s">
        <v>62</v>
      </c>
      <c r="C35" s="30">
        <f t="shared" ref="C35:M35" si="6">C34-$B$7</f>
        <v>22.282999999999987</v>
      </c>
      <c r="D35" s="30">
        <f t="shared" si="6"/>
        <v>134.12200000000001</v>
      </c>
      <c r="E35" s="30">
        <f t="shared" si="6"/>
        <v>74.793999999999983</v>
      </c>
      <c r="F35" s="30">
        <f t="shared" si="6"/>
        <v>117.892</v>
      </c>
      <c r="G35" s="30">
        <f t="shared" si="6"/>
        <v>110.07900000000001</v>
      </c>
      <c r="H35" s="30">
        <f t="shared" si="6"/>
        <v>108.798</v>
      </c>
      <c r="I35" s="30">
        <f t="shared" si="6"/>
        <v>126.685</v>
      </c>
      <c r="J35" s="30">
        <f t="shared" si="6"/>
        <v>94.283000000000015</v>
      </c>
      <c r="K35" s="30">
        <f t="shared" si="6"/>
        <v>105.46999999999997</v>
      </c>
      <c r="L35" s="30">
        <f t="shared" si="6"/>
        <v>118.255</v>
      </c>
      <c r="M35" s="30">
        <f t="shared" si="6"/>
        <v>105.07599999999996</v>
      </c>
    </row>
    <row r="36" spans="1:16" x14ac:dyDescent="0.2">
      <c r="A36" s="30" t="s">
        <v>214</v>
      </c>
      <c r="C36" s="30">
        <v>5.01</v>
      </c>
      <c r="D36" s="30">
        <v>3.0510000000000002</v>
      </c>
      <c r="E36" s="30">
        <v>2.3140000000000001</v>
      </c>
      <c r="F36" s="30">
        <v>2.7890000000000001</v>
      </c>
      <c r="G36" s="30">
        <v>3.081</v>
      </c>
      <c r="H36" s="30">
        <v>2.3250000000000002</v>
      </c>
      <c r="I36" s="30">
        <v>2.851</v>
      </c>
      <c r="J36" s="30">
        <v>2.1179999999999999</v>
      </c>
      <c r="K36" s="30">
        <v>2.4449999999999998</v>
      </c>
      <c r="L36" s="30">
        <v>1.6279999999999999</v>
      </c>
      <c r="M36" s="30">
        <v>2.4380000000000002</v>
      </c>
    </row>
    <row r="37" spans="1:16" x14ac:dyDescent="0.2">
      <c r="A37" s="30" t="s">
        <v>60</v>
      </c>
      <c r="C37" s="30">
        <f t="shared" ref="C37:M37" si="7">SQRT((1+(C36^2)))</f>
        <v>5.1088256967722039</v>
      </c>
      <c r="D37" s="30">
        <f t="shared" si="7"/>
        <v>3.2107010137974545</v>
      </c>
      <c r="E37" s="30">
        <f t="shared" si="7"/>
        <v>2.520832402203685</v>
      </c>
      <c r="F37" s="30">
        <f t="shared" si="7"/>
        <v>2.9628568983330941</v>
      </c>
      <c r="G37" s="30">
        <f t="shared" si="7"/>
        <v>3.2392222832031767</v>
      </c>
      <c r="H37" s="30">
        <f t="shared" si="7"/>
        <v>2.5309336222034746</v>
      </c>
      <c r="I37" s="30">
        <f t="shared" si="7"/>
        <v>3.0212912802310208</v>
      </c>
      <c r="J37" s="30">
        <f t="shared" si="7"/>
        <v>2.3422049440644601</v>
      </c>
      <c r="K37" s="30">
        <f t="shared" si="7"/>
        <v>2.6415951620185858</v>
      </c>
      <c r="L37" s="30">
        <f t="shared" si="7"/>
        <v>1.9105978122043372</v>
      </c>
      <c r="M37" s="30">
        <f t="shared" si="7"/>
        <v>2.6351174546877414</v>
      </c>
    </row>
    <row r="38" spans="1:16" x14ac:dyDescent="0.2">
      <c r="A38" s="30" t="s">
        <v>59</v>
      </c>
      <c r="D38" s="30">
        <f t="shared" ref="D38:M38" si="8">D35/$G$2</f>
        <v>2.7929971725224108</v>
      </c>
      <c r="E38" s="30">
        <f t="shared" si="8"/>
        <v>1.557532921680568</v>
      </c>
      <c r="F38" s="30">
        <f t="shared" si="8"/>
        <v>2.4550187341600336</v>
      </c>
      <c r="G38" s="30">
        <f t="shared" si="8"/>
        <v>2.2923184544973565</v>
      </c>
      <c r="H38" s="30">
        <f t="shared" si="8"/>
        <v>2.2656425223012873</v>
      </c>
      <c r="I38" s="30">
        <f t="shared" si="8"/>
        <v>2.6381268308033103</v>
      </c>
      <c r="J38" s="30">
        <f t="shared" si="8"/>
        <v>1.9633777636549596</v>
      </c>
      <c r="K38" s="30">
        <f t="shared" si="8"/>
        <v>2.1963392417794139</v>
      </c>
      <c r="L38" s="30">
        <f t="shared" si="8"/>
        <v>2.4625779561640719</v>
      </c>
      <c r="M38" s="30">
        <f t="shared" si="8"/>
        <v>2.1881344663810913</v>
      </c>
    </row>
    <row r="40" spans="1:16" x14ac:dyDescent="0.2">
      <c r="A40" s="45" t="s">
        <v>692</v>
      </c>
      <c r="C40" s="30">
        <v>1</v>
      </c>
      <c r="D40" s="30">
        <v>1</v>
      </c>
      <c r="E40" s="30">
        <v>1</v>
      </c>
      <c r="F40" s="30">
        <v>1</v>
      </c>
      <c r="G40" s="30">
        <v>1</v>
      </c>
      <c r="H40" s="30">
        <v>1</v>
      </c>
      <c r="I40" s="30">
        <v>1</v>
      </c>
      <c r="J40" s="30">
        <v>1</v>
      </c>
      <c r="K40" s="30">
        <v>1</v>
      </c>
    </row>
    <row r="41" spans="1:16" x14ac:dyDescent="0.2">
      <c r="A41" s="30" t="s">
        <v>215</v>
      </c>
      <c r="C41" s="30">
        <v>231.86699999999999</v>
      </c>
      <c r="D41" s="30">
        <v>266.32799999999997</v>
      </c>
      <c r="E41" s="30">
        <v>286.58999999999997</v>
      </c>
      <c r="F41" s="30">
        <v>273.56200000000001</v>
      </c>
      <c r="G41" s="30">
        <v>274.56200000000001</v>
      </c>
      <c r="H41" s="30">
        <v>298.02</v>
      </c>
      <c r="I41" s="30">
        <v>246.25399999999999</v>
      </c>
      <c r="J41" s="30">
        <v>223.85499999999999</v>
      </c>
      <c r="K41" s="30">
        <v>233.82</v>
      </c>
      <c r="L41" s="30">
        <v>333.79700000000003</v>
      </c>
      <c r="M41" s="30">
        <v>297.65199999999999</v>
      </c>
      <c r="N41" s="30">
        <v>294.48399999999998</v>
      </c>
      <c r="O41" s="30">
        <v>281.113</v>
      </c>
      <c r="P41" s="30">
        <v>267.77</v>
      </c>
    </row>
    <row r="42" spans="1:16" x14ac:dyDescent="0.2">
      <c r="A42" s="30" t="s">
        <v>62</v>
      </c>
      <c r="C42" s="30">
        <f t="shared" ref="C42:P42" si="9">C41-$B$7</f>
        <v>15.34099999999998</v>
      </c>
      <c r="D42" s="30">
        <f t="shared" si="9"/>
        <v>49.801999999999964</v>
      </c>
      <c r="E42" s="30">
        <f t="shared" si="9"/>
        <v>70.063999999999965</v>
      </c>
      <c r="F42" s="30">
        <f t="shared" si="9"/>
        <v>57.036000000000001</v>
      </c>
      <c r="G42" s="30">
        <f t="shared" si="9"/>
        <v>58.036000000000001</v>
      </c>
      <c r="H42" s="30">
        <f t="shared" si="9"/>
        <v>81.493999999999971</v>
      </c>
      <c r="I42" s="30">
        <f t="shared" si="9"/>
        <v>29.72799999999998</v>
      </c>
      <c r="J42" s="30">
        <f t="shared" si="9"/>
        <v>7.3289999999999793</v>
      </c>
      <c r="K42" s="30">
        <f t="shared" si="9"/>
        <v>17.293999999999983</v>
      </c>
      <c r="L42" s="30">
        <f t="shared" si="9"/>
        <v>117.27100000000002</v>
      </c>
      <c r="M42" s="30">
        <f t="shared" si="9"/>
        <v>81.125999999999976</v>
      </c>
      <c r="N42" s="30">
        <f t="shared" si="9"/>
        <v>77.95799999999997</v>
      </c>
      <c r="O42" s="30">
        <f t="shared" si="9"/>
        <v>64.586999999999989</v>
      </c>
      <c r="P42" s="30">
        <f t="shared" si="9"/>
        <v>51.243999999999971</v>
      </c>
    </row>
    <row r="43" spans="1:16" x14ac:dyDescent="0.2">
      <c r="A43" s="30" t="s">
        <v>214</v>
      </c>
      <c r="C43" s="30">
        <v>4.9889999999999999</v>
      </c>
      <c r="D43" s="30">
        <v>2.9780000000000002</v>
      </c>
      <c r="E43" s="30">
        <v>2.181</v>
      </c>
      <c r="F43" s="30">
        <v>0.65900000000000003</v>
      </c>
      <c r="G43" s="30">
        <v>0.59</v>
      </c>
      <c r="H43" s="30">
        <v>1.25</v>
      </c>
      <c r="I43" s="30">
        <v>1.647</v>
      </c>
      <c r="J43" s="30">
        <v>12.032999999999999</v>
      </c>
      <c r="K43" s="30">
        <v>8.9529999999999994</v>
      </c>
      <c r="L43" s="30">
        <v>2.8210000000000002</v>
      </c>
      <c r="M43" s="30">
        <v>2.44</v>
      </c>
      <c r="N43" s="30">
        <v>2.2919999999999998</v>
      </c>
      <c r="O43" s="30">
        <v>1.7030000000000001</v>
      </c>
      <c r="P43" s="30">
        <v>2.617</v>
      </c>
    </row>
    <row r="44" spans="1:16" x14ac:dyDescent="0.2">
      <c r="A44" s="30" t="s">
        <v>60</v>
      </c>
      <c r="C44" s="30">
        <f t="shared" ref="C44:P44" si="10">SQRT((4+(C43^2)))</f>
        <v>5.3749531160745949</v>
      </c>
      <c r="D44" s="30">
        <f t="shared" si="10"/>
        <v>3.5872669262267061</v>
      </c>
      <c r="E44" s="30">
        <f t="shared" si="10"/>
        <v>2.9591824884585947</v>
      </c>
      <c r="F44" s="30">
        <f t="shared" si="10"/>
        <v>2.1057732546501771</v>
      </c>
      <c r="G44" s="30">
        <f t="shared" si="10"/>
        <v>2.0852098215767159</v>
      </c>
      <c r="H44" s="30">
        <f t="shared" si="10"/>
        <v>2.3584952830141508</v>
      </c>
      <c r="I44" s="30">
        <f t="shared" si="10"/>
        <v>2.5908703170942387</v>
      </c>
      <c r="J44" s="30">
        <f t="shared" si="10"/>
        <v>12.198077266520325</v>
      </c>
      <c r="K44" s="30">
        <f t="shared" si="10"/>
        <v>9.1736693312981359</v>
      </c>
      <c r="L44" s="30">
        <f t="shared" si="10"/>
        <v>3.4580400518212628</v>
      </c>
      <c r="M44" s="30">
        <f t="shared" si="10"/>
        <v>3.1549326458737594</v>
      </c>
      <c r="N44" s="30">
        <f t="shared" si="10"/>
        <v>3.0419178161153528</v>
      </c>
      <c r="O44" s="30">
        <f t="shared" si="10"/>
        <v>2.6268248894815964</v>
      </c>
      <c r="P44" s="30">
        <f t="shared" si="10"/>
        <v>3.2937348102116539</v>
      </c>
    </row>
    <row r="45" spans="1:16" x14ac:dyDescent="0.2">
      <c r="A45" s="30" t="s">
        <v>59</v>
      </c>
      <c r="L45" s="30">
        <f>L42/$G$2</f>
        <v>2.4420868419713071</v>
      </c>
      <c r="M45" s="30">
        <f>M42/$G$2</f>
        <v>1.6893924085388901</v>
      </c>
      <c r="N45" s="30">
        <f>N42/$G$2</f>
        <v>1.623421016503646</v>
      </c>
      <c r="O45" s="30">
        <f>O42/$G$2</f>
        <v>1.3449792605367121</v>
      </c>
      <c r="P45" s="30">
        <f>P42/$G$2</f>
        <v>1.0671205850549375</v>
      </c>
    </row>
    <row r="47" spans="1:16" x14ac:dyDescent="0.2">
      <c r="A47" s="45" t="s">
        <v>691</v>
      </c>
      <c r="C47" s="30">
        <v>1</v>
      </c>
      <c r="D47" s="30">
        <v>1</v>
      </c>
    </row>
    <row r="48" spans="1:16" x14ac:dyDescent="0.2">
      <c r="A48" s="30" t="s">
        <v>215</v>
      </c>
      <c r="C48" s="30">
        <v>344.18400000000003</v>
      </c>
      <c r="D48" s="30">
        <v>353.25799999999998</v>
      </c>
    </row>
    <row r="49" spans="1:6" x14ac:dyDescent="0.2">
      <c r="A49" s="30" t="s">
        <v>62</v>
      </c>
      <c r="C49" s="30">
        <f>C48-$B$7</f>
        <v>127.65800000000002</v>
      </c>
      <c r="D49" s="30">
        <f>D48-$B$7</f>
        <v>136.73199999999997</v>
      </c>
    </row>
    <row r="50" spans="1:6" x14ac:dyDescent="0.2">
      <c r="A50" s="30" t="s">
        <v>214</v>
      </c>
      <c r="C50" s="30">
        <v>13.238</v>
      </c>
      <c r="D50" s="30">
        <v>12.811999999999999</v>
      </c>
    </row>
    <row r="51" spans="1:6" x14ac:dyDescent="0.2">
      <c r="A51" s="30" t="s">
        <v>60</v>
      </c>
      <c r="C51" s="30">
        <f>SQRT((16+(C50^2)))</f>
        <v>13.829123037994853</v>
      </c>
      <c r="D51" s="30">
        <f>SQRT((16+(D50^2)))</f>
        <v>13.421897928385537</v>
      </c>
    </row>
    <row r="52" spans="1:6" x14ac:dyDescent="0.2">
      <c r="A52" s="30" t="s">
        <v>59</v>
      </c>
    </row>
    <row r="54" spans="1:6" x14ac:dyDescent="0.2">
      <c r="A54" s="45" t="s">
        <v>690</v>
      </c>
      <c r="C54" s="30">
        <v>1</v>
      </c>
      <c r="D54" s="30">
        <v>1</v>
      </c>
    </row>
    <row r="55" spans="1:6" x14ac:dyDescent="0.2">
      <c r="A55" s="30" t="s">
        <v>215</v>
      </c>
      <c r="C55" s="30">
        <v>273.31200000000001</v>
      </c>
      <c r="D55" s="30">
        <v>281.55099999999999</v>
      </c>
      <c r="E55" s="30">
        <v>256.44900000000001</v>
      </c>
      <c r="F55" s="30">
        <v>248.71899999999999</v>
      </c>
    </row>
    <row r="56" spans="1:6" x14ac:dyDescent="0.2">
      <c r="A56" s="30" t="s">
        <v>62</v>
      </c>
      <c r="C56" s="30">
        <f>C55-$B$7</f>
        <v>56.786000000000001</v>
      </c>
      <c r="D56" s="30">
        <f>D55-$B$7</f>
        <v>65.024999999999977</v>
      </c>
      <c r="E56" s="30">
        <f>E55-$B$7</f>
        <v>39.923000000000002</v>
      </c>
      <c r="F56" s="30">
        <f>F55-$B$7</f>
        <v>32.192999999999984</v>
      </c>
    </row>
    <row r="57" spans="1:6" x14ac:dyDescent="0.2">
      <c r="A57" s="30" t="s">
        <v>214</v>
      </c>
      <c r="C57" s="30">
        <v>12.452999999999999</v>
      </c>
      <c r="D57" s="30">
        <v>15.763999999999999</v>
      </c>
      <c r="E57" s="30">
        <v>13.147</v>
      </c>
      <c r="F57" s="30">
        <v>12.829000000000001</v>
      </c>
    </row>
    <row r="58" spans="1:6" x14ac:dyDescent="0.2">
      <c r="A58" s="30" t="s">
        <v>60</v>
      </c>
      <c r="C58" s="30">
        <f>SQRT((25+(C57^2)))</f>
        <v>13.419284966047929</v>
      </c>
      <c r="D58" s="30">
        <f>SQRT((25+(D57^2)))</f>
        <v>16.537947151929107</v>
      </c>
      <c r="E58" s="30">
        <f>SQRT((25+(E57^2)))</f>
        <v>14.06568906950527</v>
      </c>
      <c r="F58" s="30">
        <f>SQRT((25+(F57^2)))</f>
        <v>13.768923015254316</v>
      </c>
    </row>
    <row r="59" spans="1:6" x14ac:dyDescent="0.2">
      <c r="A59" s="30" t="s">
        <v>59</v>
      </c>
      <c r="E59" s="30">
        <f>E56/$G$2</f>
        <v>0.83136865032293139</v>
      </c>
      <c r="F59" s="30">
        <f>F56/$G$2</f>
        <v>0.6703967878126923</v>
      </c>
    </row>
    <row r="61" spans="1:6" x14ac:dyDescent="0.2">
      <c r="A61" s="45" t="s">
        <v>689</v>
      </c>
      <c r="C61" s="30">
        <v>1</v>
      </c>
    </row>
    <row r="62" spans="1:6" x14ac:dyDescent="0.2">
      <c r="A62" s="30" t="s">
        <v>215</v>
      </c>
      <c r="C62" s="30">
        <v>309.75</v>
      </c>
    </row>
    <row r="63" spans="1:6" x14ac:dyDescent="0.2">
      <c r="A63" s="30" t="s">
        <v>62</v>
      </c>
      <c r="C63" s="30">
        <f>C62-B7</f>
        <v>93.22399999999999</v>
      </c>
    </row>
    <row r="64" spans="1:6" x14ac:dyDescent="0.2">
      <c r="A64" s="30" t="s">
        <v>214</v>
      </c>
      <c r="C64" s="30">
        <v>18.876999999999999</v>
      </c>
    </row>
    <row r="65" spans="1:3" x14ac:dyDescent="0.2">
      <c r="A65" s="30" t="s">
        <v>60</v>
      </c>
      <c r="C65" s="30">
        <f>SQRT((36+(C64^2)))</f>
        <v>19.807602808012884</v>
      </c>
    </row>
    <row r="66" spans="1:3" x14ac:dyDescent="0.2">
      <c r="A66" s="30" t="s">
        <v>59</v>
      </c>
    </row>
    <row r="68" spans="1:3" x14ac:dyDescent="0.2">
      <c r="A68" s="45" t="s">
        <v>688</v>
      </c>
      <c r="C68" s="30">
        <v>1</v>
      </c>
    </row>
    <row r="69" spans="1:3" x14ac:dyDescent="0.2">
      <c r="A69" s="30" t="s">
        <v>215</v>
      </c>
      <c r="C69" s="30">
        <v>296.89800000000002</v>
      </c>
    </row>
    <row r="70" spans="1:3" x14ac:dyDescent="0.2">
      <c r="A70" s="30" t="s">
        <v>62</v>
      </c>
      <c r="C70" s="30">
        <f>C69-B7</f>
        <v>80.372000000000014</v>
      </c>
    </row>
    <row r="71" spans="1:3" x14ac:dyDescent="0.2">
      <c r="A71" s="30" t="s">
        <v>214</v>
      </c>
      <c r="C71" s="30">
        <v>18.754999999999999</v>
      </c>
    </row>
    <row r="72" spans="1:3" x14ac:dyDescent="0.2">
      <c r="A72" s="30" t="s">
        <v>60</v>
      </c>
      <c r="C72" s="30">
        <f>SQRT((49+(C71^2)))</f>
        <v>20.018741843582475</v>
      </c>
    </row>
    <row r="73" spans="1:3" x14ac:dyDescent="0.2">
      <c r="A73" s="30" t="s">
        <v>59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85F4-7A99-164D-B0F1-AFB47C768E8E}">
  <dimension ref="A1:N45"/>
  <sheetViews>
    <sheetView workbookViewId="0">
      <selection activeCell="Q41" sqref="Q41"/>
    </sheetView>
  </sheetViews>
  <sheetFormatPr baseColWidth="10" defaultRowHeight="16" x14ac:dyDescent="0.2"/>
  <cols>
    <col min="1" max="1" width="35" style="30" bestFit="1" customWidth="1"/>
    <col min="2" max="6" width="10.83203125" style="30"/>
    <col min="7" max="7" width="12.1640625" style="30" bestFit="1" customWidth="1"/>
    <col min="8" max="16384" width="10.83203125" style="30"/>
  </cols>
  <sheetData>
    <row r="1" spans="1:14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4" x14ac:dyDescent="0.2">
      <c r="A2" s="30" t="s">
        <v>643</v>
      </c>
      <c r="B2" s="42">
        <v>45229</v>
      </c>
      <c r="C2" s="30" t="s">
        <v>222</v>
      </c>
      <c r="E2" s="30">
        <v>39.603000000000002</v>
      </c>
      <c r="G2" s="30">
        <f>AVERAGE(C8:E8,C14:D14,C28:H28,C35:E35)</f>
        <v>156.04514285714282</v>
      </c>
    </row>
    <row r="4" spans="1:14" x14ac:dyDescent="0.2">
      <c r="A4" s="30" t="s">
        <v>366</v>
      </c>
    </row>
    <row r="6" spans="1:14" x14ac:dyDescent="0.2">
      <c r="A6" s="45" t="s">
        <v>672</v>
      </c>
      <c r="B6" s="30" t="s">
        <v>235</v>
      </c>
      <c r="C6" s="30">
        <v>1</v>
      </c>
      <c r="D6" s="30">
        <v>1</v>
      </c>
      <c r="E6" s="30">
        <v>1</v>
      </c>
    </row>
    <row r="7" spans="1:14" x14ac:dyDescent="0.2">
      <c r="A7" s="30" t="s">
        <v>215</v>
      </c>
      <c r="B7" s="30">
        <v>214.601</v>
      </c>
      <c r="C7" s="30">
        <v>363.08600000000001</v>
      </c>
      <c r="D7" s="30">
        <v>328.93400000000003</v>
      </c>
      <c r="E7" s="30">
        <v>442.77699999999999</v>
      </c>
      <c r="F7" s="30">
        <v>633.375</v>
      </c>
      <c r="G7" s="30">
        <v>550.54700000000003</v>
      </c>
      <c r="H7" s="30">
        <v>515.85900000000004</v>
      </c>
      <c r="I7" s="30">
        <v>493.29700000000003</v>
      </c>
      <c r="J7" s="30">
        <v>485.10500000000002</v>
      </c>
      <c r="K7" s="30">
        <v>459.30900000000003</v>
      </c>
      <c r="L7" s="30">
        <v>464.37900000000002</v>
      </c>
      <c r="M7" s="30">
        <v>511.62900000000002</v>
      </c>
      <c r="N7" s="30">
        <v>503.02</v>
      </c>
    </row>
    <row r="8" spans="1:14" x14ac:dyDescent="0.2">
      <c r="A8" s="30" t="s">
        <v>62</v>
      </c>
      <c r="C8" s="30">
        <f t="shared" ref="C8:N8" si="0">C7-$B$7</f>
        <v>148.48500000000001</v>
      </c>
      <c r="D8" s="30">
        <f t="shared" si="0"/>
        <v>114.33300000000003</v>
      </c>
      <c r="E8" s="30">
        <f t="shared" si="0"/>
        <v>228.17599999999999</v>
      </c>
      <c r="F8" s="30">
        <f t="shared" si="0"/>
        <v>418.774</v>
      </c>
      <c r="G8" s="30">
        <f t="shared" si="0"/>
        <v>335.94600000000003</v>
      </c>
      <c r="H8" s="30">
        <f t="shared" si="0"/>
        <v>301.25800000000004</v>
      </c>
      <c r="I8" s="30">
        <f t="shared" si="0"/>
        <v>278.69600000000003</v>
      </c>
      <c r="J8" s="30">
        <f t="shared" si="0"/>
        <v>270.50400000000002</v>
      </c>
      <c r="K8" s="30">
        <f t="shared" si="0"/>
        <v>244.70800000000003</v>
      </c>
      <c r="L8" s="30">
        <f t="shared" si="0"/>
        <v>249.77800000000002</v>
      </c>
      <c r="M8" s="30">
        <f t="shared" si="0"/>
        <v>297.02800000000002</v>
      </c>
      <c r="N8" s="30">
        <f t="shared" si="0"/>
        <v>288.41899999999998</v>
      </c>
    </row>
    <row r="9" spans="1:14" x14ac:dyDescent="0.2">
      <c r="A9" s="30" t="s">
        <v>214</v>
      </c>
      <c r="C9" s="30">
        <v>4.5830000000000002</v>
      </c>
      <c r="D9" s="30">
        <v>1.173</v>
      </c>
      <c r="E9" s="30">
        <v>3.72</v>
      </c>
      <c r="F9" s="30">
        <v>2.4620000000000002</v>
      </c>
      <c r="G9" s="30">
        <v>3.1419999999999999</v>
      </c>
      <c r="H9" s="30">
        <v>3.323</v>
      </c>
      <c r="I9" s="30">
        <v>2.1139999999999999</v>
      </c>
      <c r="J9" s="30">
        <v>2.6030000000000002</v>
      </c>
      <c r="K9" s="30">
        <v>1.71</v>
      </c>
      <c r="L9" s="30">
        <v>1.4810000000000001</v>
      </c>
      <c r="M9" s="30">
        <v>2.1259999999999999</v>
      </c>
      <c r="N9" s="30">
        <v>2.9209999999999998</v>
      </c>
    </row>
    <row r="10" spans="1:14" x14ac:dyDescent="0.2">
      <c r="A10" s="30" t="s">
        <v>59</v>
      </c>
      <c r="F10" s="30">
        <f t="shared" ref="F10:N10" si="1">F8/$G$2</f>
        <v>2.683672124183845</v>
      </c>
      <c r="G10" s="30">
        <f t="shared" si="1"/>
        <v>2.1528770062875586</v>
      </c>
      <c r="H10" s="30">
        <f t="shared" si="1"/>
        <v>1.9305823589510736</v>
      </c>
      <c r="I10" s="30">
        <f t="shared" si="1"/>
        <v>1.785995993833287</v>
      </c>
      <c r="J10" s="30">
        <f t="shared" si="1"/>
        <v>1.7334983649420137</v>
      </c>
      <c r="K10" s="30">
        <f t="shared" si="1"/>
        <v>1.5681872278717885</v>
      </c>
      <c r="L10" s="30">
        <f t="shared" si="1"/>
        <v>1.6006778258306209</v>
      </c>
      <c r="M10" s="30">
        <f t="shared" si="1"/>
        <v>1.903474818642225</v>
      </c>
      <c r="N10" s="30">
        <f t="shared" si="1"/>
        <v>1.8483048861318523</v>
      </c>
    </row>
    <row r="12" spans="1:14" x14ac:dyDescent="0.2">
      <c r="A12" s="45" t="s">
        <v>671</v>
      </c>
      <c r="C12" s="30">
        <v>1</v>
      </c>
      <c r="D12" s="30">
        <v>1</v>
      </c>
    </row>
    <row r="13" spans="1:14" x14ac:dyDescent="0.2">
      <c r="A13" s="30" t="s">
        <v>215</v>
      </c>
      <c r="C13" s="30">
        <v>300.56599999999997</v>
      </c>
      <c r="D13" s="30">
        <v>339.15199999999999</v>
      </c>
      <c r="E13" s="30">
        <v>431.89499999999998</v>
      </c>
      <c r="F13" s="30">
        <v>410.33600000000001</v>
      </c>
      <c r="G13" s="30">
        <v>623.55899999999997</v>
      </c>
      <c r="H13" s="30">
        <v>392.77</v>
      </c>
      <c r="I13" s="30">
        <v>493.55099999999999</v>
      </c>
      <c r="J13" s="30">
        <v>349.03899999999999</v>
      </c>
      <c r="K13" s="30">
        <v>351.84800000000001</v>
      </c>
    </row>
    <row r="14" spans="1:14" x14ac:dyDescent="0.2">
      <c r="A14" s="30" t="s">
        <v>62</v>
      </c>
      <c r="C14" s="30">
        <f t="shared" ref="C14:K14" si="2">C13-$B$7</f>
        <v>85.964999999999975</v>
      </c>
      <c r="D14" s="30">
        <f t="shared" si="2"/>
        <v>124.55099999999999</v>
      </c>
      <c r="E14" s="30">
        <f t="shared" si="2"/>
        <v>217.29399999999998</v>
      </c>
      <c r="F14" s="30">
        <f t="shared" si="2"/>
        <v>195.73500000000001</v>
      </c>
      <c r="G14" s="30">
        <f t="shared" si="2"/>
        <v>408.95799999999997</v>
      </c>
      <c r="H14" s="30">
        <f t="shared" si="2"/>
        <v>178.16899999999998</v>
      </c>
      <c r="I14" s="30">
        <f t="shared" si="2"/>
        <v>278.95</v>
      </c>
      <c r="J14" s="30">
        <f t="shared" si="2"/>
        <v>134.43799999999999</v>
      </c>
      <c r="K14" s="30">
        <f t="shared" si="2"/>
        <v>137.24700000000001</v>
      </c>
    </row>
    <row r="15" spans="1:14" x14ac:dyDescent="0.2">
      <c r="A15" s="30" t="s">
        <v>214</v>
      </c>
      <c r="C15" s="30">
        <v>1.8149999999999999</v>
      </c>
      <c r="D15" s="30">
        <v>3.3730000000000002</v>
      </c>
      <c r="E15" s="30">
        <v>1.0369999999999999</v>
      </c>
      <c r="F15" s="30">
        <v>1.498</v>
      </c>
      <c r="G15" s="30">
        <v>2.6230000000000002</v>
      </c>
      <c r="H15" s="30">
        <v>3.024</v>
      </c>
      <c r="I15" s="30">
        <v>2.1070000000000002</v>
      </c>
      <c r="J15" s="30">
        <v>2.0169999999999999</v>
      </c>
      <c r="K15" s="30">
        <v>3.0390000000000001</v>
      </c>
    </row>
    <row r="16" spans="1:14" x14ac:dyDescent="0.2">
      <c r="A16" s="30" t="s">
        <v>60</v>
      </c>
      <c r="C16" s="30">
        <f t="shared" ref="C16:K16" si="3">SQRT((1+(C15^2)))</f>
        <v>2.0722511913375752</v>
      </c>
      <c r="D16" s="30">
        <f t="shared" si="3"/>
        <v>3.5181144097371253</v>
      </c>
      <c r="E16" s="30">
        <f t="shared" si="3"/>
        <v>1.4406141051648771</v>
      </c>
      <c r="F16" s="30">
        <f t="shared" si="3"/>
        <v>1.8011118788126406</v>
      </c>
      <c r="G16" s="30">
        <f t="shared" si="3"/>
        <v>2.8071567466032246</v>
      </c>
      <c r="H16" s="30">
        <f t="shared" si="3"/>
        <v>3.1850551015641786</v>
      </c>
      <c r="I16" s="30">
        <f t="shared" si="3"/>
        <v>2.3322626352964626</v>
      </c>
      <c r="J16" s="30">
        <f t="shared" si="3"/>
        <v>2.251286076890274</v>
      </c>
      <c r="K16" s="30">
        <f t="shared" si="3"/>
        <v>3.1993000797049347</v>
      </c>
    </row>
    <row r="17" spans="1:14" x14ac:dyDescent="0.2">
      <c r="A17" s="30" t="s">
        <v>59</v>
      </c>
      <c r="E17" s="30">
        <f t="shared" ref="E17:K17" si="4">E14/$G$2</f>
        <v>1.3925072964233796</v>
      </c>
      <c r="F17" s="30">
        <f t="shared" si="4"/>
        <v>1.2543485584757528</v>
      </c>
      <c r="G17" s="30">
        <f t="shared" si="4"/>
        <v>2.6207672505026021</v>
      </c>
      <c r="H17" s="30">
        <f t="shared" si="4"/>
        <v>1.1417785695714429</v>
      </c>
      <c r="I17" s="30">
        <f t="shared" si="4"/>
        <v>1.7876237279322105</v>
      </c>
      <c r="J17" s="30">
        <f t="shared" si="4"/>
        <v>0.8615327432720935</v>
      </c>
      <c r="K17" s="30">
        <f t="shared" si="4"/>
        <v>0.87953394438971899</v>
      </c>
    </row>
    <row r="19" spans="1:14" x14ac:dyDescent="0.2">
      <c r="A19" s="45" t="s">
        <v>670</v>
      </c>
    </row>
    <row r="20" spans="1:14" x14ac:dyDescent="0.2">
      <c r="A20" s="30" t="s">
        <v>215</v>
      </c>
      <c r="C20" s="30">
        <v>292.94099999999997</v>
      </c>
      <c r="D20" s="30">
        <v>353.51600000000002</v>
      </c>
      <c r="E20" s="30">
        <v>331.91800000000001</v>
      </c>
      <c r="F20" s="30">
        <v>247.71899999999999</v>
      </c>
    </row>
    <row r="21" spans="1:14" x14ac:dyDescent="0.2">
      <c r="A21" s="30" t="s">
        <v>62</v>
      </c>
      <c r="C21" s="30">
        <f>C20-$B$7</f>
        <v>78.339999999999975</v>
      </c>
      <c r="D21" s="30">
        <f>D20-$B$7</f>
        <v>138.91500000000002</v>
      </c>
      <c r="E21" s="30">
        <f>E20-$B$7</f>
        <v>117.31700000000001</v>
      </c>
      <c r="F21" s="30">
        <f>F20-$B$7</f>
        <v>33.117999999999995</v>
      </c>
    </row>
    <row r="22" spans="1:14" x14ac:dyDescent="0.2">
      <c r="A22" s="30" t="s">
        <v>214</v>
      </c>
      <c r="C22" s="30">
        <v>1.1830000000000001</v>
      </c>
      <c r="D22" s="30">
        <v>2.5760000000000001</v>
      </c>
      <c r="E22" s="30">
        <v>1.9570000000000001</v>
      </c>
      <c r="F22" s="30">
        <v>6.3319999999999999</v>
      </c>
    </row>
    <row r="23" spans="1:14" x14ac:dyDescent="0.2">
      <c r="A23" s="30" t="s">
        <v>60</v>
      </c>
      <c r="C23" s="30">
        <f>SQRT((4+(C22^2)))</f>
        <v>2.3236800554293184</v>
      </c>
      <c r="D23" s="30">
        <f>SQRT((4+(D22^2)))</f>
        <v>3.2612537466440723</v>
      </c>
      <c r="E23" s="30">
        <f>SQRT((4+(E22^2)))</f>
        <v>2.7981867342977669</v>
      </c>
      <c r="F23" s="30">
        <f>SQRT((4+(F22^2)))</f>
        <v>6.64034818364218</v>
      </c>
    </row>
    <row r="24" spans="1:14" x14ac:dyDescent="0.2">
      <c r="A24" s="30" t="s">
        <v>59</v>
      </c>
      <c r="C24" s="30">
        <f>C21/$G$2</f>
        <v>0.50203420988065717</v>
      </c>
      <c r="D24" s="30">
        <f>D21/$G$2</f>
        <v>0.89022315886611603</v>
      </c>
      <c r="E24" s="30">
        <f>E21/$G$2</f>
        <v>0.75181449324188265</v>
      </c>
      <c r="F24" s="30">
        <f>F21/$G$2</f>
        <v>0.21223345625258627</v>
      </c>
    </row>
    <row r="26" spans="1:14" x14ac:dyDescent="0.2">
      <c r="A26" s="45" t="s">
        <v>669</v>
      </c>
      <c r="C26" s="30">
        <v>1</v>
      </c>
      <c r="D26" s="30">
        <v>1</v>
      </c>
      <c r="E26" s="30">
        <v>1</v>
      </c>
      <c r="F26" s="30">
        <v>1</v>
      </c>
      <c r="G26" s="30">
        <v>1</v>
      </c>
      <c r="H26" s="30">
        <v>1</v>
      </c>
    </row>
    <row r="27" spans="1:14" x14ac:dyDescent="0.2">
      <c r="A27" s="30" t="s">
        <v>215</v>
      </c>
      <c r="C27" s="30">
        <v>313.68</v>
      </c>
      <c r="D27" s="30">
        <v>357.71899999999999</v>
      </c>
      <c r="E27" s="30">
        <v>380.53500000000003</v>
      </c>
      <c r="F27" s="30">
        <v>440.16</v>
      </c>
      <c r="G27" s="30">
        <v>389.69900000000001</v>
      </c>
      <c r="H27" s="30">
        <v>399.262</v>
      </c>
      <c r="I27" s="30">
        <v>473.22699999999998</v>
      </c>
      <c r="J27" s="30">
        <v>621.49599999999998</v>
      </c>
      <c r="K27" s="30">
        <v>591.23</v>
      </c>
      <c r="L27" s="30">
        <v>521.80899999999997</v>
      </c>
      <c r="M27" s="30">
        <v>479.14499999999998</v>
      </c>
      <c r="N27" s="30">
        <v>496.69099999999997</v>
      </c>
    </row>
    <row r="28" spans="1:14" x14ac:dyDescent="0.2">
      <c r="A28" s="30" t="s">
        <v>62</v>
      </c>
      <c r="C28" s="30">
        <f t="shared" ref="C28:N28" si="5">C27-$B$7</f>
        <v>99.079000000000008</v>
      </c>
      <c r="D28" s="30">
        <f t="shared" si="5"/>
        <v>143.11799999999999</v>
      </c>
      <c r="E28" s="30">
        <f t="shared" si="5"/>
        <v>165.93400000000003</v>
      </c>
      <c r="F28" s="30">
        <f t="shared" si="5"/>
        <v>225.55900000000003</v>
      </c>
      <c r="G28" s="30">
        <f t="shared" si="5"/>
        <v>175.09800000000001</v>
      </c>
      <c r="H28" s="30">
        <f t="shared" si="5"/>
        <v>184.661</v>
      </c>
      <c r="I28" s="30">
        <f t="shared" si="5"/>
        <v>258.62599999999998</v>
      </c>
      <c r="J28" s="30">
        <f t="shared" si="5"/>
        <v>406.89499999999998</v>
      </c>
      <c r="K28" s="30">
        <f t="shared" si="5"/>
        <v>376.62900000000002</v>
      </c>
      <c r="L28" s="30">
        <f t="shared" si="5"/>
        <v>307.20799999999997</v>
      </c>
      <c r="M28" s="30">
        <f t="shared" si="5"/>
        <v>264.54399999999998</v>
      </c>
      <c r="N28" s="30">
        <f t="shared" si="5"/>
        <v>282.08999999999997</v>
      </c>
    </row>
    <row r="29" spans="1:14" x14ac:dyDescent="0.2">
      <c r="A29" s="30" t="s">
        <v>214</v>
      </c>
      <c r="C29" s="30">
        <v>4.5279999999999996</v>
      </c>
      <c r="D29" s="30">
        <v>1.569</v>
      </c>
      <c r="E29" s="30">
        <v>1.357</v>
      </c>
      <c r="F29" s="30">
        <v>1.8240000000000001</v>
      </c>
      <c r="G29" s="30">
        <v>3.7719999999999998</v>
      </c>
      <c r="H29" s="30">
        <v>3.2759999999999998</v>
      </c>
      <c r="I29" s="30">
        <v>1.5229999999999999</v>
      </c>
      <c r="J29" s="30">
        <v>1.6779999999999999</v>
      </c>
      <c r="K29" s="30">
        <v>2.4729999999999999</v>
      </c>
      <c r="L29" s="30">
        <v>3.109</v>
      </c>
      <c r="M29" s="30">
        <v>2.4550000000000001</v>
      </c>
      <c r="N29" s="30">
        <v>2.8980000000000001</v>
      </c>
    </row>
    <row r="30" spans="1:14" x14ac:dyDescent="0.2">
      <c r="A30" s="30" t="s">
        <v>60</v>
      </c>
      <c r="C30" s="30">
        <f t="shared" ref="C30:N30" si="6">SQRT((1+(C29^2)))</f>
        <v>4.6371094444707683</v>
      </c>
      <c r="D30" s="30">
        <f t="shared" si="6"/>
        <v>1.8605808232914796</v>
      </c>
      <c r="E30" s="30">
        <f t="shared" si="6"/>
        <v>1.6856598114684944</v>
      </c>
      <c r="F30" s="30">
        <f t="shared" si="6"/>
        <v>2.0801384569302113</v>
      </c>
      <c r="G30" s="30">
        <f t="shared" si="6"/>
        <v>3.9023049598922941</v>
      </c>
      <c r="H30" s="30">
        <f t="shared" si="6"/>
        <v>3.4252264158738468</v>
      </c>
      <c r="I30" s="30">
        <f t="shared" si="6"/>
        <v>1.8219574638283957</v>
      </c>
      <c r="J30" s="30">
        <f t="shared" si="6"/>
        <v>1.9533775876670643</v>
      </c>
      <c r="K30" s="30">
        <f t="shared" si="6"/>
        <v>2.6675323803095621</v>
      </c>
      <c r="L30" s="30">
        <f t="shared" si="6"/>
        <v>3.2658660413433984</v>
      </c>
      <c r="M30" s="30">
        <f t="shared" si="6"/>
        <v>2.6508536360953618</v>
      </c>
      <c r="N30" s="30">
        <f t="shared" si="6"/>
        <v>3.0656816534010836</v>
      </c>
    </row>
    <row r="31" spans="1:14" x14ac:dyDescent="0.2">
      <c r="A31" s="30" t="s">
        <v>59</v>
      </c>
      <c r="I31" s="30">
        <f t="shared" ref="I31:N31" si="7">I28/$G$2</f>
        <v>1.6573793664104528</v>
      </c>
      <c r="J31" s="30">
        <f t="shared" si="7"/>
        <v>2.6075467172503202</v>
      </c>
      <c r="K31" s="30">
        <f t="shared" si="7"/>
        <v>2.4135900233998226</v>
      </c>
      <c r="L31" s="30">
        <f t="shared" si="7"/>
        <v>1.9687123506384603</v>
      </c>
      <c r="M31" s="30">
        <f t="shared" si="7"/>
        <v>1.6953042892349837</v>
      </c>
      <c r="N31" s="30">
        <f t="shared" si="7"/>
        <v>1.8077461101000079</v>
      </c>
    </row>
    <row r="33" spans="1:9" x14ac:dyDescent="0.2">
      <c r="A33" s="45" t="s">
        <v>668</v>
      </c>
      <c r="C33" s="30">
        <v>1</v>
      </c>
      <c r="D33" s="30">
        <v>1</v>
      </c>
      <c r="E33" s="30">
        <v>1</v>
      </c>
    </row>
    <row r="34" spans="1:9" x14ac:dyDescent="0.2">
      <c r="A34" s="30" t="s">
        <v>215</v>
      </c>
      <c r="C34" s="30">
        <v>342.23</v>
      </c>
      <c r="D34" s="30">
        <v>415.04300000000001</v>
      </c>
      <c r="E34" s="30">
        <v>376.20299999999997</v>
      </c>
      <c r="F34" s="30">
        <v>502.16800000000001</v>
      </c>
      <c r="G34" s="30">
        <v>480.09800000000001</v>
      </c>
      <c r="H34" s="30">
        <v>370.988</v>
      </c>
      <c r="I34" s="30">
        <v>389.02</v>
      </c>
    </row>
    <row r="35" spans="1:9" x14ac:dyDescent="0.2">
      <c r="A35" s="30" t="s">
        <v>62</v>
      </c>
      <c r="C35" s="30">
        <f t="shared" ref="C35:I35" si="8">C34-$B$7</f>
        <v>127.62900000000002</v>
      </c>
      <c r="D35" s="30">
        <f t="shared" si="8"/>
        <v>200.44200000000001</v>
      </c>
      <c r="E35" s="30">
        <f t="shared" si="8"/>
        <v>161.60199999999998</v>
      </c>
      <c r="F35" s="30">
        <f t="shared" si="8"/>
        <v>287.56700000000001</v>
      </c>
      <c r="G35" s="30">
        <f t="shared" si="8"/>
        <v>265.49700000000001</v>
      </c>
      <c r="H35" s="30">
        <f t="shared" si="8"/>
        <v>156.387</v>
      </c>
      <c r="I35" s="30">
        <f t="shared" si="8"/>
        <v>174.41899999999998</v>
      </c>
    </row>
    <row r="36" spans="1:9" x14ac:dyDescent="0.2">
      <c r="A36" s="30" t="s">
        <v>214</v>
      </c>
      <c r="C36" s="30">
        <v>1.415</v>
      </c>
      <c r="D36" s="30">
        <v>2.7530000000000001</v>
      </c>
      <c r="E36" s="30">
        <v>3.0870000000000002</v>
      </c>
      <c r="F36" s="30">
        <v>1.3919999999999999</v>
      </c>
      <c r="G36" s="30">
        <v>1.556</v>
      </c>
      <c r="H36" s="30">
        <v>1.5069999999999999</v>
      </c>
      <c r="I36" s="30">
        <v>1.9830000000000001</v>
      </c>
    </row>
    <row r="37" spans="1:9" x14ac:dyDescent="0.2">
      <c r="A37" s="30" t="s">
        <v>60</v>
      </c>
      <c r="C37" s="30">
        <f t="shared" ref="C37:I37" si="9">SQRT((4+(C36^2)))</f>
        <v>2.449943876908204</v>
      </c>
      <c r="D37" s="30">
        <f t="shared" si="9"/>
        <v>3.402794292930444</v>
      </c>
      <c r="E37" s="30">
        <f t="shared" si="9"/>
        <v>3.6782562444723723</v>
      </c>
      <c r="F37" s="30">
        <f t="shared" si="9"/>
        <v>2.436732238059816</v>
      </c>
      <c r="G37" s="30">
        <f t="shared" si="9"/>
        <v>2.5339960536670141</v>
      </c>
      <c r="H37" s="30">
        <f t="shared" si="9"/>
        <v>2.5042062614728842</v>
      </c>
      <c r="I37" s="30">
        <f t="shared" si="9"/>
        <v>2.816431962608009</v>
      </c>
    </row>
    <row r="38" spans="1:9" x14ac:dyDescent="0.2">
      <c r="A38" s="30" t="s">
        <v>59</v>
      </c>
      <c r="F38" s="30">
        <f>F35/$G$2</f>
        <v>1.8428449276582972</v>
      </c>
      <c r="G38" s="30">
        <f>G35/$G$2</f>
        <v>1.70141149630693</v>
      </c>
      <c r="H38" s="30">
        <f>H35/$G$2</f>
        <v>1.0021907579857845</v>
      </c>
      <c r="I38" s="30">
        <f>I35/$G$2</f>
        <v>1.1177470622054426</v>
      </c>
    </row>
    <row r="40" spans="1:9" x14ac:dyDescent="0.2">
      <c r="A40" s="45" t="s">
        <v>667</v>
      </c>
    </row>
    <row r="41" spans="1:9" x14ac:dyDescent="0.2">
      <c r="A41" s="30" t="s">
        <v>215</v>
      </c>
      <c r="C41" s="30">
        <v>274.19099999999997</v>
      </c>
      <c r="D41" s="30">
        <v>302.84800000000001</v>
      </c>
    </row>
    <row r="42" spans="1:9" x14ac:dyDescent="0.2">
      <c r="A42" s="30" t="s">
        <v>62</v>
      </c>
      <c r="C42" s="30">
        <f>C41-$B$7</f>
        <v>59.589999999999975</v>
      </c>
      <c r="D42" s="30">
        <f>D41-$B$7</f>
        <v>88.247000000000014</v>
      </c>
    </row>
    <row r="43" spans="1:9" x14ac:dyDescent="0.2">
      <c r="A43" s="30" t="s">
        <v>214</v>
      </c>
      <c r="C43" s="30">
        <v>1.5620000000000001</v>
      </c>
      <c r="D43" s="30">
        <v>1.6080000000000001</v>
      </c>
    </row>
    <row r="44" spans="1:9" x14ac:dyDescent="0.2">
      <c r="A44" s="30" t="s">
        <v>60</v>
      </c>
      <c r="C44" s="30">
        <f>SQRT((9+(C43^2)))</f>
        <v>3.382283843795491</v>
      </c>
      <c r="D44" s="30">
        <f>SQRT((9+(D43^2)))</f>
        <v>3.4037720252684376</v>
      </c>
    </row>
    <row r="45" spans="1:9" x14ac:dyDescent="0.2">
      <c r="A45" s="30" t="s">
        <v>59</v>
      </c>
      <c r="C45" s="30">
        <f>C42/$G$2</f>
        <v>0.38187667305065559</v>
      </c>
      <c r="D45" s="30">
        <f>D42/$G$2</f>
        <v>0.56552224814064822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E554-D077-2844-B76B-578004500F82}">
  <dimension ref="A2:S99"/>
  <sheetViews>
    <sheetView workbookViewId="0">
      <selection activeCell="N47" sqref="N47"/>
    </sheetView>
  </sheetViews>
  <sheetFormatPr baseColWidth="10" defaultColWidth="11.1640625" defaultRowHeight="16" x14ac:dyDescent="0.2"/>
  <cols>
    <col min="1" max="1" width="20.83203125" style="30" bestFit="1" customWidth="1"/>
    <col min="2" max="2" width="17.5" style="30" bestFit="1" customWidth="1"/>
    <col min="3" max="3" width="11.1640625" style="30"/>
    <col min="4" max="4" width="12" style="30" bestFit="1" customWidth="1"/>
    <col min="5" max="16384" width="11.1640625" style="30"/>
  </cols>
  <sheetData>
    <row r="2" spans="1:19" x14ac:dyDescent="0.2">
      <c r="A2" s="30" t="s">
        <v>27</v>
      </c>
      <c r="B2" s="30">
        <v>52.603999999999999</v>
      </c>
      <c r="D2" s="30" t="s">
        <v>73</v>
      </c>
      <c r="E2" s="30">
        <f>AVERAGE(C6,D6,E6,F6,G6,H6,C12,D12,E12,F12,G12,H12,I12,J12,K12,C19,D19,C26,D26,E26,F26,G26,H26,I26,J26,C33,D33,E33,F33,G33,H33,I33,C40,D40,E40,F40,G40,C47,D47,E47,F47,G47,H47,I47,C61,D61,E61,F61,G61,H61,I61,J61,K61,L61,C68,D68,E68,F68,G68,H68,I68,J68,K68,L68,C75,D75,E75,F75,G75,C89,D89,C96,D96,E96)</f>
        <v>1495.9690405405402</v>
      </c>
      <c r="I2" s="30" t="s">
        <v>496</v>
      </c>
      <c r="J2" s="30" t="s">
        <v>495</v>
      </c>
    </row>
    <row r="3" spans="1:19" ht="17" thickBot="1" x14ac:dyDescent="0.25"/>
    <row r="4" spans="1:19" ht="17" thickBot="1" x14ac:dyDescent="0.25">
      <c r="A4" s="41" t="s">
        <v>553</v>
      </c>
      <c r="B4" s="40" t="s">
        <v>70</v>
      </c>
      <c r="C4" s="30">
        <v>1</v>
      </c>
      <c r="D4" s="30">
        <v>1</v>
      </c>
      <c r="E4" s="30">
        <v>1</v>
      </c>
      <c r="F4" s="30">
        <v>1</v>
      </c>
      <c r="G4" s="30">
        <v>1</v>
      </c>
      <c r="H4" s="30">
        <v>1</v>
      </c>
    </row>
    <row r="5" spans="1:19" x14ac:dyDescent="0.2">
      <c r="A5" s="39" t="s">
        <v>63</v>
      </c>
      <c r="B5" s="30">
        <v>306.06200000000001</v>
      </c>
      <c r="C5" s="30">
        <v>2402.1729999999998</v>
      </c>
      <c r="D5" s="30">
        <v>1578.038</v>
      </c>
      <c r="E5" s="30">
        <v>2052.058</v>
      </c>
      <c r="F5" s="30">
        <v>2574.8649999999998</v>
      </c>
      <c r="G5" s="30">
        <v>1478.577</v>
      </c>
      <c r="H5" s="30">
        <v>1013.75</v>
      </c>
      <c r="I5" s="30">
        <v>4147.1540000000005</v>
      </c>
      <c r="J5" s="30">
        <v>1172.192</v>
      </c>
      <c r="K5" s="30">
        <v>1425.5</v>
      </c>
      <c r="L5" s="30">
        <v>1071.288</v>
      </c>
      <c r="M5" s="30">
        <v>1305.5</v>
      </c>
      <c r="N5" s="30">
        <v>1886.077</v>
      </c>
      <c r="O5" s="30">
        <v>1705.212</v>
      </c>
    </row>
    <row r="6" spans="1:19" x14ac:dyDescent="0.2">
      <c r="A6" s="39" t="s">
        <v>62</v>
      </c>
      <c r="C6" s="30">
        <f t="shared" ref="C6:O6" si="0">C5-$B$5</f>
        <v>2096.1109999999999</v>
      </c>
      <c r="D6" s="30">
        <f t="shared" si="0"/>
        <v>1271.9760000000001</v>
      </c>
      <c r="E6" s="30">
        <f t="shared" si="0"/>
        <v>1745.9960000000001</v>
      </c>
      <c r="F6" s="30">
        <f t="shared" si="0"/>
        <v>2268.8029999999999</v>
      </c>
      <c r="G6" s="30">
        <f t="shared" si="0"/>
        <v>1172.5149999999999</v>
      </c>
      <c r="H6" s="30">
        <f t="shared" si="0"/>
        <v>707.68799999999999</v>
      </c>
      <c r="I6" s="30">
        <f t="shared" si="0"/>
        <v>3841.0920000000006</v>
      </c>
      <c r="J6" s="30">
        <f t="shared" si="0"/>
        <v>866.13</v>
      </c>
      <c r="K6" s="30">
        <f t="shared" si="0"/>
        <v>1119.4380000000001</v>
      </c>
      <c r="L6" s="30">
        <f t="shared" si="0"/>
        <v>765.226</v>
      </c>
      <c r="M6" s="30">
        <f t="shared" si="0"/>
        <v>999.43799999999999</v>
      </c>
      <c r="N6" s="30">
        <f t="shared" si="0"/>
        <v>1580.0149999999999</v>
      </c>
      <c r="O6" s="30">
        <f t="shared" si="0"/>
        <v>1399.15</v>
      </c>
    </row>
    <row r="7" spans="1:19" x14ac:dyDescent="0.2">
      <c r="A7" s="39" t="s">
        <v>61</v>
      </c>
      <c r="C7" s="30">
        <v>4.07</v>
      </c>
      <c r="D7" s="30">
        <v>1.754</v>
      </c>
      <c r="E7" s="30">
        <v>1.34</v>
      </c>
      <c r="F7" s="30">
        <v>2.2629999999999999</v>
      </c>
      <c r="G7" s="30">
        <v>2.6379999999999999</v>
      </c>
      <c r="H7" s="30">
        <v>7.7679999999999998</v>
      </c>
      <c r="I7" s="30">
        <v>8.3439999999999994</v>
      </c>
      <c r="J7" s="30">
        <v>4.0510000000000002</v>
      </c>
      <c r="K7" s="30">
        <v>3.8159999999999998</v>
      </c>
      <c r="L7" s="30">
        <v>2.8780000000000001</v>
      </c>
      <c r="M7" s="30">
        <v>4.2149999999999999</v>
      </c>
      <c r="N7" s="30">
        <v>2.3010000000000002</v>
      </c>
      <c r="O7" s="30">
        <v>2.7</v>
      </c>
    </row>
    <row r="8" spans="1:19" x14ac:dyDescent="0.2">
      <c r="A8" s="39" t="s">
        <v>59</v>
      </c>
      <c r="I8" s="30">
        <f t="shared" ref="I8:O8" si="1">I6/$E$2</f>
        <v>2.5676280029245087</v>
      </c>
      <c r="J8" s="30">
        <f t="shared" si="1"/>
        <v>0.57897588554843371</v>
      </c>
      <c r="K8" s="30">
        <f t="shared" si="1"/>
        <v>0.74830291915366931</v>
      </c>
      <c r="L8" s="30">
        <f t="shared" si="1"/>
        <v>0.51152529180918083</v>
      </c>
      <c r="M8" s="30">
        <f t="shared" si="1"/>
        <v>0.66808735536323127</v>
      </c>
      <c r="N8" s="30">
        <f t="shared" si="1"/>
        <v>1.056181616852907</v>
      </c>
      <c r="O8" s="30">
        <f t="shared" si="1"/>
        <v>0.93528005064492759</v>
      </c>
    </row>
    <row r="10" spans="1:19" x14ac:dyDescent="0.2">
      <c r="A10" s="41" t="s">
        <v>552</v>
      </c>
      <c r="C10" s="30">
        <v>1</v>
      </c>
      <c r="D10" s="30">
        <v>1</v>
      </c>
      <c r="E10" s="30">
        <v>1</v>
      </c>
      <c r="F10" s="30">
        <v>1</v>
      </c>
      <c r="G10" s="30">
        <v>1</v>
      </c>
      <c r="H10" s="30">
        <v>1</v>
      </c>
      <c r="I10" s="30">
        <v>1</v>
      </c>
      <c r="J10" s="30">
        <v>1</v>
      </c>
      <c r="K10" s="30">
        <v>1</v>
      </c>
    </row>
    <row r="11" spans="1:19" x14ac:dyDescent="0.2">
      <c r="A11" s="39" t="s">
        <v>63</v>
      </c>
      <c r="C11" s="30">
        <v>2185.154</v>
      </c>
      <c r="D11" s="30">
        <v>1647.981</v>
      </c>
      <c r="E11" s="30">
        <v>1689.885</v>
      </c>
      <c r="F11" s="30">
        <v>2524.904</v>
      </c>
      <c r="G11" s="30">
        <v>1647.308</v>
      </c>
      <c r="H11" s="30">
        <v>1464.712</v>
      </c>
      <c r="I11" s="30">
        <v>1483.192</v>
      </c>
      <c r="J11" s="30">
        <v>2335.442</v>
      </c>
      <c r="K11" s="30">
        <v>918.48099999999999</v>
      </c>
      <c r="L11" s="30">
        <v>3892.0189999999998</v>
      </c>
      <c r="M11" s="30">
        <v>3280</v>
      </c>
      <c r="N11" s="30">
        <v>2896.788</v>
      </c>
      <c r="O11" s="30">
        <v>2789.6729999999998</v>
      </c>
      <c r="P11" s="30">
        <v>1508.923</v>
      </c>
      <c r="Q11" s="30">
        <v>2313.3649999999998</v>
      </c>
      <c r="R11" s="30">
        <v>2401.538</v>
      </c>
      <c r="S11" s="30">
        <v>2092.0189999999998</v>
      </c>
    </row>
    <row r="12" spans="1:19" x14ac:dyDescent="0.2">
      <c r="A12" s="39" t="s">
        <v>62</v>
      </c>
      <c r="C12" s="30">
        <f t="shared" ref="C12:S12" si="2">C11-$B$5</f>
        <v>1879.0920000000001</v>
      </c>
      <c r="D12" s="30">
        <f t="shared" si="2"/>
        <v>1341.9189999999999</v>
      </c>
      <c r="E12" s="30">
        <f t="shared" si="2"/>
        <v>1383.8229999999999</v>
      </c>
      <c r="F12" s="30">
        <f t="shared" si="2"/>
        <v>2218.8420000000001</v>
      </c>
      <c r="G12" s="30">
        <f t="shared" si="2"/>
        <v>1341.2460000000001</v>
      </c>
      <c r="H12" s="30">
        <f t="shared" si="2"/>
        <v>1158.6500000000001</v>
      </c>
      <c r="I12" s="30">
        <f t="shared" si="2"/>
        <v>1177.1300000000001</v>
      </c>
      <c r="J12" s="30">
        <f t="shared" si="2"/>
        <v>2029.38</v>
      </c>
      <c r="K12" s="30">
        <f t="shared" si="2"/>
        <v>612.41899999999998</v>
      </c>
      <c r="L12" s="30">
        <f t="shared" si="2"/>
        <v>3585.9569999999999</v>
      </c>
      <c r="M12" s="30">
        <f t="shared" si="2"/>
        <v>2973.9380000000001</v>
      </c>
      <c r="N12" s="30">
        <f t="shared" si="2"/>
        <v>2590.7260000000001</v>
      </c>
      <c r="O12" s="30">
        <f t="shared" si="2"/>
        <v>2483.6109999999999</v>
      </c>
      <c r="P12" s="30">
        <f t="shared" si="2"/>
        <v>1202.8609999999999</v>
      </c>
      <c r="Q12" s="30">
        <f t="shared" si="2"/>
        <v>2007.3029999999999</v>
      </c>
      <c r="R12" s="30">
        <f t="shared" si="2"/>
        <v>2095.4760000000001</v>
      </c>
      <c r="S12" s="30">
        <f t="shared" si="2"/>
        <v>1785.9569999999999</v>
      </c>
    </row>
    <row r="13" spans="1:19" x14ac:dyDescent="0.2">
      <c r="A13" s="39" t="s">
        <v>61</v>
      </c>
      <c r="C13" s="30">
        <v>4.351</v>
      </c>
      <c r="D13" s="30">
        <v>3.0960000000000001</v>
      </c>
      <c r="E13" s="30">
        <v>2.2669999999999999</v>
      </c>
      <c r="F13" s="30">
        <v>4.665</v>
      </c>
      <c r="G13" s="30">
        <v>3.754</v>
      </c>
      <c r="H13" s="30">
        <v>2.2040000000000002</v>
      </c>
      <c r="I13" s="30">
        <v>2.9089999999999998</v>
      </c>
      <c r="J13" s="30">
        <v>2.87</v>
      </c>
      <c r="K13" s="30">
        <v>7.85</v>
      </c>
      <c r="L13" s="30">
        <v>8.4770000000000003</v>
      </c>
      <c r="M13" s="30">
        <v>3.8889999999999998</v>
      </c>
      <c r="N13" s="30">
        <v>4.4489999999999998</v>
      </c>
      <c r="O13" s="30">
        <v>2.5739999999999998</v>
      </c>
      <c r="P13" s="30">
        <v>2.302</v>
      </c>
      <c r="Q13" s="30">
        <v>6.5259999999999998</v>
      </c>
      <c r="R13" s="30">
        <v>6.4790000000000001</v>
      </c>
      <c r="S13" s="30">
        <v>6.7779999999999996</v>
      </c>
    </row>
    <row r="14" spans="1:19" x14ac:dyDescent="0.2">
      <c r="A14" s="39" t="s">
        <v>60</v>
      </c>
      <c r="C14" s="30">
        <f t="shared" ref="C14:S14" si="3">SQRT((C13^2)+1)</f>
        <v>4.4644373665670347</v>
      </c>
      <c r="D14" s="30">
        <f t="shared" si="3"/>
        <v>3.2534928922620994</v>
      </c>
      <c r="E14" s="30">
        <f t="shared" si="3"/>
        <v>2.4777588663951944</v>
      </c>
      <c r="F14" s="30">
        <f t="shared" si="3"/>
        <v>4.7709773631825172</v>
      </c>
      <c r="G14" s="30">
        <f t="shared" si="3"/>
        <v>3.8849087505371345</v>
      </c>
      <c r="H14" s="30">
        <f t="shared" si="3"/>
        <v>2.4202512266291696</v>
      </c>
      <c r="I14" s="30">
        <f t="shared" si="3"/>
        <v>3.0760820860308651</v>
      </c>
      <c r="J14" s="30">
        <f t="shared" si="3"/>
        <v>3.0392268753747227</v>
      </c>
      <c r="K14" s="30">
        <f t="shared" si="3"/>
        <v>7.9134379380898663</v>
      </c>
      <c r="L14" s="30">
        <f t="shared" si="3"/>
        <v>8.5357793434460341</v>
      </c>
      <c r="M14" s="30">
        <f t="shared" si="3"/>
        <v>4.0155100547751088</v>
      </c>
      <c r="N14" s="30">
        <f t="shared" si="3"/>
        <v>4.5600001096491214</v>
      </c>
      <c r="O14" s="30">
        <f t="shared" si="3"/>
        <v>2.7614264429819597</v>
      </c>
      <c r="P14" s="30">
        <f t="shared" si="3"/>
        <v>2.5098215075977017</v>
      </c>
      <c r="Q14" s="30">
        <f t="shared" si="3"/>
        <v>6.6021720668277046</v>
      </c>
      <c r="R14" s="30">
        <f t="shared" si="3"/>
        <v>6.5557181910146198</v>
      </c>
      <c r="S14" s="30">
        <f t="shared" si="3"/>
        <v>6.8513709576989044</v>
      </c>
    </row>
    <row r="15" spans="1:19" x14ac:dyDescent="0.2">
      <c r="A15" s="39" t="s">
        <v>59</v>
      </c>
      <c r="L15" s="30">
        <f t="shared" ref="L15:S15" si="4">L12/$E$2</f>
        <v>2.3970796873605633</v>
      </c>
      <c r="M15" s="30">
        <f t="shared" si="4"/>
        <v>1.9879676112317297</v>
      </c>
      <c r="N15" s="30">
        <f t="shared" si="4"/>
        <v>1.7318045559712185</v>
      </c>
      <c r="O15" s="30">
        <f t="shared" si="4"/>
        <v>1.6602021383427787</v>
      </c>
      <c r="P15" s="30">
        <f t="shared" si="4"/>
        <v>0.80406811063775008</v>
      </c>
      <c r="Q15" s="30">
        <f t="shared" si="4"/>
        <v>1.341807848693646</v>
      </c>
      <c r="R15" s="30">
        <f t="shared" si="4"/>
        <v>1.4007482395777653</v>
      </c>
      <c r="S15" s="30">
        <f t="shared" si="4"/>
        <v>1.1938462305039936</v>
      </c>
    </row>
    <row r="17" spans="1:17" x14ac:dyDescent="0.2">
      <c r="A17" s="41" t="s">
        <v>551</v>
      </c>
      <c r="C17" s="30">
        <v>1</v>
      </c>
      <c r="D17" s="30">
        <v>1</v>
      </c>
    </row>
    <row r="18" spans="1:17" x14ac:dyDescent="0.2">
      <c r="A18" s="39" t="s">
        <v>63</v>
      </c>
      <c r="C18" s="30">
        <v>1808.038</v>
      </c>
      <c r="D18" s="30">
        <v>2045.538</v>
      </c>
      <c r="E18" s="30">
        <v>3060.2689999999998</v>
      </c>
      <c r="F18" s="30">
        <v>2694.558</v>
      </c>
      <c r="G18" s="30">
        <v>2207.788</v>
      </c>
      <c r="H18" s="30">
        <v>1825.962</v>
      </c>
      <c r="I18" s="30">
        <v>2452.1350000000002</v>
      </c>
      <c r="J18" s="30">
        <v>2379.942</v>
      </c>
      <c r="K18" s="30">
        <v>5287.0959999999995</v>
      </c>
      <c r="L18" s="30">
        <v>3765.6350000000002</v>
      </c>
      <c r="M18" s="30">
        <v>1385.538</v>
      </c>
      <c r="N18" s="30">
        <v>3498.9229999999998</v>
      </c>
      <c r="O18" s="30">
        <v>4784.0379999999996</v>
      </c>
      <c r="P18" s="30">
        <v>4253.0190000000002</v>
      </c>
      <c r="Q18" s="30">
        <v>884.46199999999999</v>
      </c>
    </row>
    <row r="19" spans="1:17" x14ac:dyDescent="0.2">
      <c r="A19" s="39" t="s">
        <v>62</v>
      </c>
      <c r="C19" s="30">
        <f t="shared" ref="C19:Q19" si="5">C18-$B$5</f>
        <v>1501.9760000000001</v>
      </c>
      <c r="D19" s="30">
        <f t="shared" si="5"/>
        <v>1739.4760000000001</v>
      </c>
      <c r="E19" s="30">
        <f t="shared" si="5"/>
        <v>2754.2069999999999</v>
      </c>
      <c r="F19" s="30">
        <f t="shared" si="5"/>
        <v>2388.4960000000001</v>
      </c>
      <c r="G19" s="30">
        <f t="shared" si="5"/>
        <v>1901.7260000000001</v>
      </c>
      <c r="H19" s="30">
        <f t="shared" si="5"/>
        <v>1519.9</v>
      </c>
      <c r="I19" s="30">
        <f t="shared" si="5"/>
        <v>2146.0730000000003</v>
      </c>
      <c r="J19" s="30">
        <f t="shared" si="5"/>
        <v>2073.88</v>
      </c>
      <c r="K19" s="30">
        <f t="shared" si="5"/>
        <v>4981.0339999999997</v>
      </c>
      <c r="L19" s="30">
        <f t="shared" si="5"/>
        <v>3459.5730000000003</v>
      </c>
      <c r="M19" s="30">
        <f t="shared" si="5"/>
        <v>1079.4760000000001</v>
      </c>
      <c r="N19" s="30">
        <f t="shared" si="5"/>
        <v>3192.8609999999999</v>
      </c>
      <c r="O19" s="30">
        <f t="shared" si="5"/>
        <v>4477.9759999999997</v>
      </c>
      <c r="P19" s="30">
        <f t="shared" si="5"/>
        <v>3946.9570000000003</v>
      </c>
      <c r="Q19" s="30">
        <f t="shared" si="5"/>
        <v>578.4</v>
      </c>
    </row>
    <row r="20" spans="1:17" x14ac:dyDescent="0.2">
      <c r="A20" s="39" t="s">
        <v>61</v>
      </c>
      <c r="C20" s="30">
        <v>4.2949999999999999</v>
      </c>
      <c r="D20" s="30">
        <v>2.391</v>
      </c>
      <c r="E20" s="30">
        <v>4.0209999999999999</v>
      </c>
      <c r="F20" s="30">
        <v>3.5139999999999998</v>
      </c>
      <c r="G20" s="30">
        <v>3.911</v>
      </c>
      <c r="H20" s="30">
        <v>3.7330000000000001</v>
      </c>
      <c r="I20" s="30">
        <v>2.2509999999999999</v>
      </c>
      <c r="J20" s="30">
        <v>4.4790000000000001</v>
      </c>
      <c r="K20" s="30">
        <v>4.7190000000000003</v>
      </c>
      <c r="L20" s="30">
        <v>4.1950000000000003</v>
      </c>
      <c r="M20" s="30">
        <v>3.4740000000000002</v>
      </c>
      <c r="N20" s="30">
        <v>7.218</v>
      </c>
      <c r="O20" s="30">
        <v>7.14</v>
      </c>
      <c r="P20" s="30">
        <v>6.8010000000000002</v>
      </c>
      <c r="Q20" s="30">
        <v>11.262</v>
      </c>
    </row>
    <row r="21" spans="1:17" x14ac:dyDescent="0.2">
      <c r="A21" s="39" t="s">
        <v>60</v>
      </c>
      <c r="C21" s="30">
        <f t="shared" ref="C21:Q21" si="6">SQRT((C20^2)+4)</f>
        <v>4.737829144238952</v>
      </c>
      <c r="D21" s="30">
        <f t="shared" si="6"/>
        <v>3.1171912036318852</v>
      </c>
      <c r="E21" s="30">
        <f t="shared" si="6"/>
        <v>4.4909287458163929</v>
      </c>
      <c r="F21" s="30">
        <f t="shared" si="6"/>
        <v>4.0432902443430896</v>
      </c>
      <c r="G21" s="30">
        <f t="shared" si="6"/>
        <v>4.3927122600962605</v>
      </c>
      <c r="H21" s="30">
        <f t="shared" si="6"/>
        <v>4.2350075560735423</v>
      </c>
      <c r="I21" s="30">
        <f t="shared" si="6"/>
        <v>3.0111461273076734</v>
      </c>
      <c r="J21" s="30">
        <f t="shared" si="6"/>
        <v>4.9052462731243169</v>
      </c>
      <c r="K21" s="30">
        <f t="shared" si="6"/>
        <v>5.1253254530810048</v>
      </c>
      <c r="L21" s="30">
        <f t="shared" si="6"/>
        <v>4.6473675344220418</v>
      </c>
      <c r="M21" s="30">
        <f t="shared" si="6"/>
        <v>4.0085753080115634</v>
      </c>
      <c r="N21" s="30">
        <f t="shared" si="6"/>
        <v>7.4899615486329436</v>
      </c>
      <c r="O21" s="30">
        <f t="shared" si="6"/>
        <v>7.4148229918184825</v>
      </c>
      <c r="P21" s="30">
        <f t="shared" si="6"/>
        <v>7.0889774297849195</v>
      </c>
      <c r="Q21" s="30">
        <f t="shared" si="6"/>
        <v>11.438209824968242</v>
      </c>
    </row>
    <row r="22" spans="1:17" x14ac:dyDescent="0.2">
      <c r="A22" s="39" t="s">
        <v>59</v>
      </c>
      <c r="E22" s="30">
        <f t="shared" ref="E22:Q22" si="7">E19/$E$2</f>
        <v>1.8410855608380901</v>
      </c>
      <c r="F22" s="30">
        <f t="shared" si="7"/>
        <v>1.596621277093383</v>
      </c>
      <c r="G22" s="30">
        <f t="shared" si="7"/>
        <v>1.2712335272077873</v>
      </c>
      <c r="H22" s="30">
        <f t="shared" si="7"/>
        <v>1.0159969617090558</v>
      </c>
      <c r="I22" s="30">
        <f t="shared" si="7"/>
        <v>1.434570463586972</v>
      </c>
      <c r="J22" s="30">
        <f t="shared" si="7"/>
        <v>1.3863121119476127</v>
      </c>
      <c r="K22" s="30">
        <f t="shared" si="7"/>
        <v>3.329637088077837</v>
      </c>
      <c r="L22" s="30">
        <f t="shared" si="7"/>
        <v>2.3125966555764745</v>
      </c>
      <c r="M22" s="30">
        <f t="shared" si="7"/>
        <v>0.72158979948539037</v>
      </c>
      <c r="N22" s="30">
        <f t="shared" si="7"/>
        <v>2.1343095434958466</v>
      </c>
      <c r="O22" s="30">
        <f t="shared" si="7"/>
        <v>2.9933614123337522</v>
      </c>
      <c r="P22" s="30">
        <f t="shared" si="7"/>
        <v>2.6383948417634646</v>
      </c>
      <c r="Q22" s="30">
        <f t="shared" si="7"/>
        <v>0.38663901746991103</v>
      </c>
    </row>
    <row r="24" spans="1:17" x14ac:dyDescent="0.2">
      <c r="A24" s="41" t="s">
        <v>550</v>
      </c>
      <c r="C24" s="30">
        <v>1</v>
      </c>
      <c r="D24" s="30">
        <v>1</v>
      </c>
      <c r="E24" s="30">
        <v>1</v>
      </c>
      <c r="F24" s="30">
        <v>1</v>
      </c>
      <c r="G24" s="30">
        <v>1</v>
      </c>
      <c r="H24" s="30">
        <v>1</v>
      </c>
      <c r="I24" s="30">
        <v>1</v>
      </c>
      <c r="J24" s="30">
        <v>1</v>
      </c>
    </row>
    <row r="25" spans="1:17" x14ac:dyDescent="0.2">
      <c r="A25" s="39" t="s">
        <v>63</v>
      </c>
      <c r="C25" s="30">
        <v>1874.596</v>
      </c>
      <c r="D25" s="30">
        <v>1477.615</v>
      </c>
      <c r="E25" s="30">
        <v>1553.308</v>
      </c>
      <c r="F25" s="30">
        <v>1767.615</v>
      </c>
      <c r="G25" s="30">
        <v>1571.673</v>
      </c>
      <c r="H25" s="30">
        <v>1662.75</v>
      </c>
      <c r="I25" s="30">
        <v>1682.115</v>
      </c>
      <c r="J25" s="30">
        <v>1414.615</v>
      </c>
      <c r="K25" s="30">
        <v>1794.971</v>
      </c>
      <c r="L25" s="30">
        <v>1915.019</v>
      </c>
      <c r="M25" s="30">
        <v>3340.6149999999998</v>
      </c>
      <c r="N25" s="30">
        <v>2946.0770000000002</v>
      </c>
      <c r="O25" s="30">
        <v>10262.441999999999</v>
      </c>
      <c r="P25" s="30">
        <v>8944.8459999999995</v>
      </c>
    </row>
    <row r="26" spans="1:17" x14ac:dyDescent="0.2">
      <c r="A26" s="39" t="s">
        <v>62</v>
      </c>
      <c r="C26" s="30">
        <f t="shared" ref="C26:P26" si="8">C25-$B$5</f>
        <v>1568.5340000000001</v>
      </c>
      <c r="D26" s="30">
        <f t="shared" si="8"/>
        <v>1171.5529999999999</v>
      </c>
      <c r="E26" s="30">
        <f t="shared" si="8"/>
        <v>1247.2460000000001</v>
      </c>
      <c r="F26" s="30">
        <f t="shared" si="8"/>
        <v>1461.5529999999999</v>
      </c>
      <c r="G26" s="30">
        <f t="shared" si="8"/>
        <v>1265.6109999999999</v>
      </c>
      <c r="H26" s="30">
        <f t="shared" si="8"/>
        <v>1356.6880000000001</v>
      </c>
      <c r="I26" s="30">
        <f t="shared" si="8"/>
        <v>1376.0529999999999</v>
      </c>
      <c r="J26" s="30">
        <f t="shared" si="8"/>
        <v>1108.5529999999999</v>
      </c>
      <c r="K26" s="30">
        <f t="shared" si="8"/>
        <v>1488.9090000000001</v>
      </c>
      <c r="L26" s="30">
        <f t="shared" si="8"/>
        <v>1608.9569999999999</v>
      </c>
      <c r="M26" s="30">
        <f t="shared" si="8"/>
        <v>3034.5529999999999</v>
      </c>
      <c r="N26" s="30">
        <f t="shared" si="8"/>
        <v>2640.0150000000003</v>
      </c>
      <c r="O26" s="30">
        <f t="shared" si="8"/>
        <v>9956.3799999999992</v>
      </c>
      <c r="P26" s="30">
        <f t="shared" si="8"/>
        <v>8638.7839999999997</v>
      </c>
    </row>
    <row r="27" spans="1:17" x14ac:dyDescent="0.2">
      <c r="A27" s="39" t="s">
        <v>61</v>
      </c>
      <c r="C27" s="30">
        <v>4.1150000000000002</v>
      </c>
      <c r="D27" s="30">
        <v>2.9489999999999998</v>
      </c>
      <c r="E27" s="30">
        <v>2.056</v>
      </c>
      <c r="F27" s="30">
        <v>2.2989999999999999</v>
      </c>
      <c r="G27" s="30">
        <v>1.6240000000000001</v>
      </c>
      <c r="H27" s="30">
        <v>4.0090000000000003</v>
      </c>
      <c r="I27" s="30">
        <v>3.8149999999999999</v>
      </c>
      <c r="J27" s="30">
        <v>11.252000000000001</v>
      </c>
      <c r="K27" s="30">
        <v>3.3719999999999999</v>
      </c>
      <c r="L27" s="30">
        <v>2.2330000000000001</v>
      </c>
      <c r="M27" s="30">
        <v>4.3879999999999999</v>
      </c>
      <c r="N27" s="30">
        <v>4.5750000000000002</v>
      </c>
      <c r="O27" s="30">
        <v>7.15</v>
      </c>
      <c r="P27" s="30">
        <v>6.8650000000000002</v>
      </c>
    </row>
    <row r="28" spans="1:17" x14ac:dyDescent="0.2">
      <c r="A28" s="39" t="s">
        <v>60</v>
      </c>
      <c r="C28" s="30">
        <f t="shared" ref="C28:P28" si="9">SQRT((C27^2)+9)</f>
        <v>5.0924674765775384</v>
      </c>
      <c r="D28" s="30">
        <f t="shared" si="9"/>
        <v>4.206732817757743</v>
      </c>
      <c r="E28" s="30">
        <f t="shared" si="9"/>
        <v>3.6369129766877841</v>
      </c>
      <c r="F28" s="30">
        <f t="shared" si="9"/>
        <v>3.7796032860605888</v>
      </c>
      <c r="G28" s="30">
        <f t="shared" si="9"/>
        <v>3.4113598461610581</v>
      </c>
      <c r="H28" s="30">
        <f t="shared" si="9"/>
        <v>5.0072029118061518</v>
      </c>
      <c r="I28" s="30">
        <f t="shared" si="9"/>
        <v>4.8532695165218263</v>
      </c>
      <c r="J28" s="30">
        <f t="shared" si="9"/>
        <v>11.645063503476484</v>
      </c>
      <c r="K28" s="30">
        <f t="shared" si="9"/>
        <v>4.5133561791642371</v>
      </c>
      <c r="L28" s="30">
        <f t="shared" si="9"/>
        <v>3.7398247285133563</v>
      </c>
      <c r="M28" s="30">
        <f t="shared" si="9"/>
        <v>5.3155003527419691</v>
      </c>
      <c r="N28" s="30">
        <f t="shared" si="9"/>
        <v>5.4708888674510652</v>
      </c>
      <c r="O28" s="30">
        <f t="shared" si="9"/>
        <v>7.7538700014895792</v>
      </c>
      <c r="P28" s="30">
        <f t="shared" si="9"/>
        <v>7.4918772680817458</v>
      </c>
    </row>
    <row r="29" spans="1:17" x14ac:dyDescent="0.2">
      <c r="A29" s="39" t="s">
        <v>59</v>
      </c>
      <c r="K29" s="30">
        <f t="shared" ref="K29:P29" si="10">K26/$E$2</f>
        <v>0.99528062389714356</v>
      </c>
      <c r="L29" s="30">
        <f t="shared" si="10"/>
        <v>1.0755282739130976</v>
      </c>
      <c r="M29" s="30">
        <f t="shared" si="10"/>
        <v>2.0284864978913744</v>
      </c>
      <c r="N29" s="30">
        <f t="shared" si="10"/>
        <v>1.7647524303351096</v>
      </c>
      <c r="O29" s="30">
        <f t="shared" si="10"/>
        <v>6.655471958432007</v>
      </c>
      <c r="P29" s="30">
        <f t="shared" si="10"/>
        <v>5.7747077418651243</v>
      </c>
    </row>
    <row r="31" spans="1:17" x14ac:dyDescent="0.2">
      <c r="A31" s="41" t="s">
        <v>549</v>
      </c>
      <c r="C31" s="30">
        <v>1</v>
      </c>
      <c r="D31" s="30">
        <v>1</v>
      </c>
      <c r="E31" s="30">
        <v>1</v>
      </c>
      <c r="F31" s="30">
        <v>1</v>
      </c>
      <c r="G31" s="30">
        <v>1</v>
      </c>
      <c r="H31" s="30">
        <v>1</v>
      </c>
      <c r="I31" s="30">
        <v>1</v>
      </c>
    </row>
    <row r="32" spans="1:17" x14ac:dyDescent="0.2">
      <c r="A32" s="39" t="s">
        <v>63</v>
      </c>
      <c r="C32" s="30">
        <v>2420.2689999999998</v>
      </c>
      <c r="D32" s="30">
        <v>1810.135</v>
      </c>
      <c r="E32" s="30">
        <v>2378.9229999999998</v>
      </c>
      <c r="F32" s="30">
        <v>2345.8649999999998</v>
      </c>
      <c r="G32" s="30">
        <v>1839.423</v>
      </c>
      <c r="H32" s="30">
        <v>1747.712</v>
      </c>
      <c r="I32" s="30">
        <v>2195.8270000000002</v>
      </c>
      <c r="J32" s="30">
        <v>1831.327</v>
      </c>
      <c r="K32" s="30">
        <v>1683.673</v>
      </c>
      <c r="L32" s="30">
        <v>5336.25</v>
      </c>
      <c r="M32" s="30">
        <v>4912.1540000000005</v>
      </c>
      <c r="N32" s="30">
        <v>8093.5379999999996</v>
      </c>
    </row>
    <row r="33" spans="1:18" x14ac:dyDescent="0.2">
      <c r="A33" s="39" t="s">
        <v>62</v>
      </c>
      <c r="C33" s="30">
        <f t="shared" ref="C33:N33" si="11">C32-$B$5</f>
        <v>2114.2069999999999</v>
      </c>
      <c r="D33" s="30">
        <f t="shared" si="11"/>
        <v>1504.0729999999999</v>
      </c>
      <c r="E33" s="30">
        <f t="shared" si="11"/>
        <v>2072.8609999999999</v>
      </c>
      <c r="F33" s="30">
        <f t="shared" si="11"/>
        <v>2039.8029999999999</v>
      </c>
      <c r="G33" s="30">
        <f t="shared" si="11"/>
        <v>1533.3609999999999</v>
      </c>
      <c r="H33" s="30">
        <f t="shared" si="11"/>
        <v>1441.65</v>
      </c>
      <c r="I33" s="30">
        <f t="shared" si="11"/>
        <v>1889.7650000000003</v>
      </c>
      <c r="J33" s="30">
        <f t="shared" si="11"/>
        <v>1525.2649999999999</v>
      </c>
      <c r="K33" s="30">
        <f t="shared" si="11"/>
        <v>1377.6109999999999</v>
      </c>
      <c r="L33" s="30">
        <f t="shared" si="11"/>
        <v>5030.1880000000001</v>
      </c>
      <c r="M33" s="30">
        <f t="shared" si="11"/>
        <v>4606.0920000000006</v>
      </c>
      <c r="N33" s="30">
        <f t="shared" si="11"/>
        <v>7787.4759999999997</v>
      </c>
    </row>
    <row r="34" spans="1:18" x14ac:dyDescent="0.2">
      <c r="A34" s="39" t="s">
        <v>61</v>
      </c>
      <c r="C34" s="30">
        <v>2.8370000000000002</v>
      </c>
      <c r="D34" s="30">
        <v>2.8239999999999998</v>
      </c>
      <c r="E34" s="30">
        <v>2.141</v>
      </c>
      <c r="F34" s="30">
        <v>2.0760000000000001</v>
      </c>
      <c r="G34" s="30">
        <v>1.516</v>
      </c>
      <c r="H34" s="30">
        <v>2.355</v>
      </c>
      <c r="I34" s="30">
        <v>0.90800000000000003</v>
      </c>
      <c r="J34" s="30">
        <v>0.93500000000000005</v>
      </c>
      <c r="K34" s="30">
        <v>3.9009999999999998</v>
      </c>
      <c r="L34" s="30">
        <v>7.1260000000000003</v>
      </c>
      <c r="M34" s="30">
        <v>7.5069999999999997</v>
      </c>
      <c r="N34" s="30">
        <v>7.2709999999999999</v>
      </c>
    </row>
    <row r="35" spans="1:18" x14ac:dyDescent="0.2">
      <c r="A35" s="39" t="s">
        <v>60</v>
      </c>
      <c r="C35" s="30">
        <f t="shared" ref="C35:N35" si="12">SQRT((C34^2)+16)</f>
        <v>4.9039340329984045</v>
      </c>
      <c r="D35" s="30">
        <f t="shared" si="12"/>
        <v>4.8964248181709067</v>
      </c>
      <c r="E35" s="30">
        <f t="shared" si="12"/>
        <v>4.5369462196503934</v>
      </c>
      <c r="F35" s="30">
        <f t="shared" si="12"/>
        <v>4.5066368835307777</v>
      </c>
      <c r="G35" s="30">
        <f t="shared" si="12"/>
        <v>4.2776460816668784</v>
      </c>
      <c r="H35" s="30">
        <f t="shared" si="12"/>
        <v>4.6417695979012139</v>
      </c>
      <c r="I35" s="30">
        <f t="shared" si="12"/>
        <v>4.1017635231690281</v>
      </c>
      <c r="J35" s="30">
        <f t="shared" si="12"/>
        <v>4.1078248502096582</v>
      </c>
      <c r="K35" s="30">
        <f t="shared" si="12"/>
        <v>5.5872892353985035</v>
      </c>
      <c r="L35" s="30">
        <f t="shared" si="12"/>
        <v>8.1718954961502046</v>
      </c>
      <c r="M35" s="30">
        <f t="shared" si="12"/>
        <v>8.5061771084312596</v>
      </c>
      <c r="N35" s="30">
        <f t="shared" si="12"/>
        <v>8.2986409128242205</v>
      </c>
    </row>
    <row r="36" spans="1:18" x14ac:dyDescent="0.2">
      <c r="A36" s="39" t="s">
        <v>59</v>
      </c>
      <c r="J36" s="30">
        <f>J33/$E$2</f>
        <v>1.0195832658735198</v>
      </c>
      <c r="K36" s="30">
        <f>K33/$E$2</f>
        <v>0.92088202540757536</v>
      </c>
      <c r="L36" s="30">
        <f>L33/$E$2</f>
        <v>3.3624947199324637</v>
      </c>
      <c r="M36" s="30">
        <f>M33/$E$2</f>
        <v>3.0790022220885507</v>
      </c>
      <c r="N36" s="30">
        <f>N33/$E$2</f>
        <v>5.2056398153708727</v>
      </c>
    </row>
    <row r="38" spans="1:18" x14ac:dyDescent="0.2">
      <c r="A38" s="41" t="s">
        <v>548</v>
      </c>
      <c r="C38" s="30">
        <v>1</v>
      </c>
      <c r="D38" s="30">
        <v>1</v>
      </c>
      <c r="E38" s="30">
        <v>1</v>
      </c>
      <c r="F38" s="30">
        <v>1</v>
      </c>
      <c r="G38" s="30">
        <v>1</v>
      </c>
    </row>
    <row r="39" spans="1:18" x14ac:dyDescent="0.2">
      <c r="A39" s="39" t="s">
        <v>63</v>
      </c>
      <c r="C39" s="30">
        <v>1253.953</v>
      </c>
      <c r="D39" s="30">
        <v>2600.5189999999998</v>
      </c>
      <c r="E39" s="30">
        <v>1676.673</v>
      </c>
      <c r="F39" s="30">
        <v>1491.942</v>
      </c>
      <c r="G39" s="30">
        <v>1363</v>
      </c>
      <c r="H39" s="30">
        <v>2494.0770000000002</v>
      </c>
      <c r="I39" s="30">
        <v>1939.423</v>
      </c>
      <c r="J39" s="30">
        <v>3176.3850000000002</v>
      </c>
      <c r="K39" s="30">
        <v>4980.2120000000004</v>
      </c>
      <c r="L39" s="30">
        <v>1290.288</v>
      </c>
      <c r="M39" s="30">
        <v>1141.308</v>
      </c>
      <c r="N39" s="30">
        <v>3660.3270000000002</v>
      </c>
      <c r="O39" s="30">
        <v>3423.712</v>
      </c>
      <c r="P39" s="30">
        <v>5370.8850000000002</v>
      </c>
      <c r="Q39" s="30">
        <v>5385.2309999999998</v>
      </c>
      <c r="R39" s="30">
        <v>3245.558</v>
      </c>
    </row>
    <row r="40" spans="1:18" x14ac:dyDescent="0.2">
      <c r="A40" s="39" t="s">
        <v>62</v>
      </c>
      <c r="C40" s="30">
        <f t="shared" ref="C40:R40" si="13">C39-$B$5</f>
        <v>947.89099999999996</v>
      </c>
      <c r="D40" s="30">
        <f t="shared" si="13"/>
        <v>2294.4569999999999</v>
      </c>
      <c r="E40" s="30">
        <f t="shared" si="13"/>
        <v>1370.6109999999999</v>
      </c>
      <c r="F40" s="30">
        <f t="shared" si="13"/>
        <v>1185.8800000000001</v>
      </c>
      <c r="G40" s="30">
        <f t="shared" si="13"/>
        <v>1056.9380000000001</v>
      </c>
      <c r="H40" s="30">
        <f t="shared" si="13"/>
        <v>2188.0150000000003</v>
      </c>
      <c r="I40" s="30">
        <f t="shared" si="13"/>
        <v>1633.3609999999999</v>
      </c>
      <c r="J40" s="30">
        <f t="shared" si="13"/>
        <v>2870.3230000000003</v>
      </c>
      <c r="K40" s="30">
        <f t="shared" si="13"/>
        <v>4674.1500000000005</v>
      </c>
      <c r="L40" s="30">
        <f t="shared" si="13"/>
        <v>984.226</v>
      </c>
      <c r="M40" s="30">
        <f t="shared" si="13"/>
        <v>835.24599999999998</v>
      </c>
      <c r="N40" s="30">
        <f t="shared" si="13"/>
        <v>3354.2650000000003</v>
      </c>
      <c r="O40" s="30">
        <f t="shared" si="13"/>
        <v>3117.65</v>
      </c>
      <c r="P40" s="30">
        <f t="shared" si="13"/>
        <v>5064.8230000000003</v>
      </c>
      <c r="Q40" s="30">
        <f t="shared" si="13"/>
        <v>5079.1689999999999</v>
      </c>
      <c r="R40" s="30">
        <f t="shared" si="13"/>
        <v>2939.4960000000001</v>
      </c>
    </row>
    <row r="41" spans="1:18" x14ac:dyDescent="0.2">
      <c r="A41" s="39" t="s">
        <v>61</v>
      </c>
      <c r="C41" s="30">
        <v>2.036</v>
      </c>
      <c r="D41" s="30">
        <v>1.5760000000000001</v>
      </c>
      <c r="E41" s="30">
        <v>1.8779999999999999</v>
      </c>
      <c r="F41" s="30">
        <v>3.2549999999999999</v>
      </c>
      <c r="G41" s="30">
        <v>3.8119999999999998</v>
      </c>
      <c r="H41" s="30">
        <v>2.7450000000000001</v>
      </c>
      <c r="I41" s="30">
        <v>2.8969999999999998</v>
      </c>
      <c r="J41" s="30">
        <v>0.92600000000000005</v>
      </c>
      <c r="K41" s="30">
        <v>1.0780000000000001</v>
      </c>
      <c r="L41" s="30">
        <v>4.9320000000000004</v>
      </c>
      <c r="M41" s="30">
        <v>5.7370000000000001</v>
      </c>
      <c r="N41" s="30">
        <v>6.9969999999999999</v>
      </c>
      <c r="O41" s="30">
        <v>7.6210000000000004</v>
      </c>
      <c r="P41" s="30">
        <v>6.617</v>
      </c>
      <c r="Q41" s="30">
        <v>7.4029999999999996</v>
      </c>
      <c r="R41" s="30">
        <v>7.69</v>
      </c>
    </row>
    <row r="42" spans="1:18" x14ac:dyDescent="0.2">
      <c r="A42" s="39" t="s">
        <v>60</v>
      </c>
      <c r="C42" s="30">
        <f t="shared" ref="C42:R42" si="14">SQRT((C41^2)+25)</f>
        <v>5.398638346842656</v>
      </c>
      <c r="D42" s="30">
        <f t="shared" si="14"/>
        <v>5.2424971149252908</v>
      </c>
      <c r="E42" s="30">
        <f t="shared" si="14"/>
        <v>5.3410564498046638</v>
      </c>
      <c r="F42" s="30">
        <f t="shared" si="14"/>
        <v>5.9661566355569313</v>
      </c>
      <c r="G42" s="30">
        <f t="shared" si="14"/>
        <v>6.2873956452572628</v>
      </c>
      <c r="H42" s="30">
        <f t="shared" si="14"/>
        <v>5.7039481940143881</v>
      </c>
      <c r="I42" s="30">
        <f t="shared" si="14"/>
        <v>5.7786338350859365</v>
      </c>
      <c r="J42" s="30">
        <f t="shared" si="14"/>
        <v>5.0850246803727508</v>
      </c>
      <c r="K42" s="30">
        <f t="shared" si="14"/>
        <v>5.1148884640820862</v>
      </c>
      <c r="L42" s="30">
        <f t="shared" si="14"/>
        <v>7.0231491511999087</v>
      </c>
      <c r="M42" s="30">
        <f t="shared" si="14"/>
        <v>7.6100702362067594</v>
      </c>
      <c r="N42" s="30">
        <f t="shared" si="14"/>
        <v>8.5998842434070006</v>
      </c>
      <c r="O42" s="30">
        <f t="shared" si="14"/>
        <v>9.1148033988671422</v>
      </c>
      <c r="P42" s="30">
        <f t="shared" si="14"/>
        <v>8.2936535374947997</v>
      </c>
      <c r="Q42" s="30">
        <f t="shared" si="14"/>
        <v>8.9333313495022661</v>
      </c>
      <c r="R42" s="30">
        <f t="shared" si="14"/>
        <v>9.1725732485491775</v>
      </c>
    </row>
    <row r="43" spans="1:18" x14ac:dyDescent="0.2">
      <c r="A43" s="39" t="s">
        <v>59</v>
      </c>
      <c r="H43" s="30">
        <f t="shared" ref="H43:R43" si="15">H40/$E$2</f>
        <v>1.4626071400577931</v>
      </c>
      <c r="I43" s="30">
        <f t="shared" si="15"/>
        <v>1.0918414457359464</v>
      </c>
      <c r="J43" s="30">
        <f t="shared" si="15"/>
        <v>1.9187048142138445</v>
      </c>
      <c r="K43" s="30">
        <f t="shared" si="15"/>
        <v>3.1244964790922976</v>
      </c>
      <c r="L43" s="30">
        <f t="shared" si="15"/>
        <v>0.65791869572673012</v>
      </c>
      <c r="M43" s="30">
        <f t="shared" si="15"/>
        <v>0.55833107328090137</v>
      </c>
      <c r="N43" s="30">
        <f t="shared" si="15"/>
        <v>2.2422021506461123</v>
      </c>
      <c r="O43" s="30">
        <f t="shared" si="15"/>
        <v>2.0840337704271583</v>
      </c>
      <c r="P43" s="30">
        <f t="shared" si="15"/>
        <v>3.385646937031479</v>
      </c>
      <c r="Q43" s="30">
        <f t="shared" si="15"/>
        <v>3.3952367076826255</v>
      </c>
      <c r="R43" s="30">
        <f t="shared" si="15"/>
        <v>1.9649444074978106</v>
      </c>
    </row>
    <row r="45" spans="1:18" x14ac:dyDescent="0.2">
      <c r="A45" s="41" t="s">
        <v>547</v>
      </c>
      <c r="C45" s="30">
        <v>1</v>
      </c>
      <c r="D45" s="30">
        <v>1</v>
      </c>
      <c r="E45" s="30">
        <v>1</v>
      </c>
      <c r="F45" s="30">
        <v>1</v>
      </c>
      <c r="G45" s="30">
        <v>1</v>
      </c>
      <c r="H45" s="30">
        <v>1</v>
      </c>
      <c r="I45" s="30">
        <v>1</v>
      </c>
    </row>
    <row r="46" spans="1:18" x14ac:dyDescent="0.2">
      <c r="A46" s="39" t="s">
        <v>63</v>
      </c>
      <c r="C46" s="30">
        <v>829.11500000000001</v>
      </c>
      <c r="D46" s="30">
        <v>1006.288</v>
      </c>
      <c r="E46" s="30">
        <v>1636.346</v>
      </c>
      <c r="F46" s="30">
        <v>1211.673</v>
      </c>
      <c r="G46" s="30">
        <v>1313.885</v>
      </c>
      <c r="H46" s="30">
        <v>1426.231</v>
      </c>
      <c r="I46" s="30">
        <v>1102.462</v>
      </c>
      <c r="J46" s="30">
        <v>2808.4810000000002</v>
      </c>
      <c r="K46" s="30">
        <v>4296.192</v>
      </c>
      <c r="L46" s="30">
        <v>4056.29</v>
      </c>
    </row>
    <row r="47" spans="1:18" x14ac:dyDescent="0.2">
      <c r="A47" s="39" t="s">
        <v>62</v>
      </c>
      <c r="C47" s="30">
        <f t="shared" ref="C47:L47" si="16">C46-$B$5</f>
        <v>523.053</v>
      </c>
      <c r="D47" s="30">
        <f t="shared" si="16"/>
        <v>700.226</v>
      </c>
      <c r="E47" s="30">
        <f t="shared" si="16"/>
        <v>1330.2840000000001</v>
      </c>
      <c r="F47" s="30">
        <f t="shared" si="16"/>
        <v>905.61099999999999</v>
      </c>
      <c r="G47" s="30">
        <f t="shared" si="16"/>
        <v>1007.823</v>
      </c>
      <c r="H47" s="30">
        <f t="shared" si="16"/>
        <v>1120.1689999999999</v>
      </c>
      <c r="I47" s="30">
        <f t="shared" si="16"/>
        <v>796.4</v>
      </c>
      <c r="J47" s="30">
        <f t="shared" si="16"/>
        <v>2502.4190000000003</v>
      </c>
      <c r="K47" s="30">
        <f t="shared" si="16"/>
        <v>3990.13</v>
      </c>
      <c r="L47" s="30">
        <f t="shared" si="16"/>
        <v>3750.2280000000001</v>
      </c>
    </row>
    <row r="48" spans="1:18" x14ac:dyDescent="0.2">
      <c r="A48" s="39" t="s">
        <v>61</v>
      </c>
      <c r="C48" s="30">
        <v>9.3079999999999998</v>
      </c>
      <c r="D48" s="30">
        <v>4.5140000000000002</v>
      </c>
      <c r="E48" s="30">
        <v>3.2280000000000002</v>
      </c>
      <c r="F48" s="30">
        <v>3.9350000000000001</v>
      </c>
      <c r="G48" s="30">
        <v>4.4649999999999999</v>
      </c>
      <c r="H48" s="30">
        <v>5.1020000000000003</v>
      </c>
      <c r="I48" s="30">
        <v>5.7770000000000001</v>
      </c>
      <c r="J48" s="30">
        <v>1.242</v>
      </c>
      <c r="K48" s="30">
        <v>0.9</v>
      </c>
      <c r="L48" s="30">
        <v>1.1659999999999999</v>
      </c>
    </row>
    <row r="49" spans="1:16" x14ac:dyDescent="0.2">
      <c r="A49" s="39" t="s">
        <v>60</v>
      </c>
      <c r="C49" s="30">
        <f t="shared" ref="C49:L49" si="17">SQRT((C48^2)+36)</f>
        <v>11.074243269858217</v>
      </c>
      <c r="D49" s="30">
        <f t="shared" si="17"/>
        <v>7.5084083533063124</v>
      </c>
      <c r="E49" s="30">
        <f t="shared" si="17"/>
        <v>6.8132212645708199</v>
      </c>
      <c r="F49" s="30">
        <f t="shared" si="17"/>
        <v>7.1752508666944879</v>
      </c>
      <c r="G49" s="30">
        <f t="shared" si="17"/>
        <v>7.4790524132405976</v>
      </c>
      <c r="H49" s="30">
        <f t="shared" si="17"/>
        <v>7.8759382933082964</v>
      </c>
      <c r="I49" s="30">
        <f t="shared" si="17"/>
        <v>8.3290893259707577</v>
      </c>
      <c r="J49" s="30">
        <f t="shared" si="17"/>
        <v>6.1271987074029184</v>
      </c>
      <c r="K49" s="30">
        <f t="shared" si="17"/>
        <v>6.0671245248470056</v>
      </c>
      <c r="L49" s="30">
        <f t="shared" si="17"/>
        <v>6.1122463955570376</v>
      </c>
    </row>
    <row r="50" spans="1:16" x14ac:dyDescent="0.2">
      <c r="A50" s="39" t="s">
        <v>59</v>
      </c>
      <c r="J50" s="30">
        <f>J47/$E$2</f>
        <v>1.6727745910408671</v>
      </c>
      <c r="K50" s="30">
        <f>K47/$E$2</f>
        <v>2.667254396226169</v>
      </c>
      <c r="L50" s="30">
        <f>L47/$E$2</f>
        <v>2.5068887780223887</v>
      </c>
    </row>
    <row r="52" spans="1:16" x14ac:dyDescent="0.2">
      <c r="A52" s="41" t="s">
        <v>546</v>
      </c>
    </row>
    <row r="53" spans="1:16" x14ac:dyDescent="0.2">
      <c r="A53" s="39" t="s">
        <v>63</v>
      </c>
      <c r="C53" s="30">
        <v>869.5</v>
      </c>
      <c r="D53" s="30">
        <v>1106.904</v>
      </c>
    </row>
    <row r="54" spans="1:16" x14ac:dyDescent="0.2">
      <c r="A54" s="39" t="s">
        <v>62</v>
      </c>
      <c r="C54" s="30">
        <f>C53-$B$5</f>
        <v>563.43799999999999</v>
      </c>
      <c r="D54" s="30">
        <f>D53-$B$5</f>
        <v>800.84199999999998</v>
      </c>
    </row>
    <row r="55" spans="1:16" x14ac:dyDescent="0.2">
      <c r="A55" s="39" t="s">
        <v>61</v>
      </c>
      <c r="C55" s="30">
        <v>9.2840000000000007</v>
      </c>
      <c r="D55" s="30">
        <v>4.4770000000000003</v>
      </c>
    </row>
    <row r="56" spans="1:16" x14ac:dyDescent="0.2">
      <c r="A56" s="39" t="s">
        <v>60</v>
      </c>
      <c r="C56" s="30">
        <f>SQRT((C55^2)+49)</f>
        <v>11.627237677109727</v>
      </c>
      <c r="D56" s="30">
        <f>SQRT((D55^2)+49)</f>
        <v>8.3092435877160327</v>
      </c>
    </row>
    <row r="57" spans="1:16" x14ac:dyDescent="0.2">
      <c r="A57" s="39" t="s">
        <v>59</v>
      </c>
      <c r="C57" s="30">
        <f>C54/$E$2</f>
        <v>0.37663747359130662</v>
      </c>
      <c r="D57" s="30">
        <f>D54/$E$2</f>
        <v>0.53533327114218276</v>
      </c>
    </row>
    <row r="59" spans="1:16" x14ac:dyDescent="0.2">
      <c r="A59" s="41" t="s">
        <v>545</v>
      </c>
      <c r="C59" s="30">
        <v>1</v>
      </c>
      <c r="D59" s="30">
        <v>1</v>
      </c>
      <c r="E59" s="30">
        <v>1</v>
      </c>
      <c r="F59" s="30">
        <v>1</v>
      </c>
      <c r="G59" s="30">
        <v>1</v>
      </c>
      <c r="H59" s="30">
        <v>1</v>
      </c>
      <c r="I59" s="30">
        <v>1</v>
      </c>
      <c r="J59" s="30">
        <v>1</v>
      </c>
      <c r="K59" s="30">
        <v>1</v>
      </c>
      <c r="L59" s="30">
        <v>1</v>
      </c>
    </row>
    <row r="60" spans="1:16" x14ac:dyDescent="0.2">
      <c r="A60" s="39" t="s">
        <v>63</v>
      </c>
      <c r="C60" s="30">
        <v>1086.096</v>
      </c>
      <c r="D60" s="30">
        <v>2336.1149999999998</v>
      </c>
      <c r="E60" s="30">
        <v>2655.8850000000002</v>
      </c>
      <c r="F60" s="30">
        <v>1788.615</v>
      </c>
      <c r="G60" s="30">
        <v>2017.192</v>
      </c>
      <c r="H60" s="30">
        <v>2844.308</v>
      </c>
      <c r="I60" s="30">
        <v>2104.4229999999998</v>
      </c>
      <c r="J60" s="30">
        <v>1770.115</v>
      </c>
      <c r="K60" s="30">
        <v>1550.577</v>
      </c>
      <c r="L60" s="30">
        <v>1588.327</v>
      </c>
      <c r="M60" s="30">
        <v>1430.885</v>
      </c>
      <c r="N60" s="30">
        <v>1971.308</v>
      </c>
      <c r="O60" s="30">
        <v>2975.038</v>
      </c>
      <c r="P60" s="30">
        <v>7692.2120000000004</v>
      </c>
    </row>
    <row r="61" spans="1:16" x14ac:dyDescent="0.2">
      <c r="A61" s="39" t="s">
        <v>62</v>
      </c>
      <c r="C61" s="30">
        <f t="shared" ref="C61:P61" si="18">C60-$B$5</f>
        <v>780.03399999999999</v>
      </c>
      <c r="D61" s="30">
        <f t="shared" si="18"/>
        <v>2030.0529999999999</v>
      </c>
      <c r="E61" s="30">
        <f t="shared" si="18"/>
        <v>2349.8230000000003</v>
      </c>
      <c r="F61" s="30">
        <f t="shared" si="18"/>
        <v>1482.5529999999999</v>
      </c>
      <c r="G61" s="30">
        <f t="shared" si="18"/>
        <v>1711.13</v>
      </c>
      <c r="H61" s="30">
        <f t="shared" si="18"/>
        <v>2538.2460000000001</v>
      </c>
      <c r="I61" s="30">
        <f t="shared" si="18"/>
        <v>1798.3609999999999</v>
      </c>
      <c r="J61" s="30">
        <f t="shared" si="18"/>
        <v>1464.0529999999999</v>
      </c>
      <c r="K61" s="30">
        <f t="shared" si="18"/>
        <v>1244.5149999999999</v>
      </c>
      <c r="L61" s="30">
        <f t="shared" si="18"/>
        <v>1282.2649999999999</v>
      </c>
      <c r="M61" s="30">
        <f t="shared" si="18"/>
        <v>1124.8229999999999</v>
      </c>
      <c r="N61" s="30">
        <f t="shared" si="18"/>
        <v>1665.2460000000001</v>
      </c>
      <c r="O61" s="30">
        <f t="shared" si="18"/>
        <v>2668.9760000000001</v>
      </c>
      <c r="P61" s="30">
        <f t="shared" si="18"/>
        <v>7386.1500000000005</v>
      </c>
    </row>
    <row r="62" spans="1:16" x14ac:dyDescent="0.2">
      <c r="A62" s="39" t="s">
        <v>61</v>
      </c>
      <c r="C62" s="30">
        <v>5.0890000000000004</v>
      </c>
      <c r="D62" s="30">
        <v>4.1319999999999997</v>
      </c>
      <c r="E62" s="30">
        <v>2.1120000000000001</v>
      </c>
      <c r="F62" s="30">
        <v>3.9329999999999998</v>
      </c>
      <c r="G62" s="30">
        <v>3.2989999999999999</v>
      </c>
      <c r="H62" s="30">
        <v>2.589</v>
      </c>
      <c r="I62" s="30">
        <v>2.6669999999999998</v>
      </c>
      <c r="J62" s="30">
        <v>2.331</v>
      </c>
      <c r="K62" s="30">
        <v>1.635</v>
      </c>
      <c r="L62" s="30">
        <v>1.9159999999999999</v>
      </c>
      <c r="M62" s="30">
        <v>8.0850000000000009</v>
      </c>
      <c r="N62" s="30">
        <v>5.5860000000000003</v>
      </c>
      <c r="O62" s="30">
        <v>5.4219999999999997</v>
      </c>
      <c r="P62" s="30">
        <v>7.2560000000000002</v>
      </c>
    </row>
    <row r="63" spans="1:16" x14ac:dyDescent="0.2">
      <c r="A63" s="39" t="s">
        <v>60</v>
      </c>
      <c r="C63" s="30">
        <f t="shared" ref="C63:P63" si="19">SQRT((C62^2)+1)</f>
        <v>5.186320564716377</v>
      </c>
      <c r="D63" s="30">
        <f t="shared" si="19"/>
        <v>4.2512849822142007</v>
      </c>
      <c r="E63" s="30">
        <f t="shared" si="19"/>
        <v>2.3367806914642206</v>
      </c>
      <c r="F63" s="30">
        <f t="shared" si="19"/>
        <v>4.0581386127139618</v>
      </c>
      <c r="G63" s="30">
        <f t="shared" si="19"/>
        <v>3.4472309177077185</v>
      </c>
      <c r="H63" s="30">
        <f t="shared" si="19"/>
        <v>2.7754136628618085</v>
      </c>
      <c r="I63" s="30">
        <f t="shared" si="19"/>
        <v>2.8483133605697248</v>
      </c>
      <c r="J63" s="30">
        <f t="shared" si="19"/>
        <v>2.5364465300888956</v>
      </c>
      <c r="K63" s="30">
        <f t="shared" si="19"/>
        <v>1.9165659393822065</v>
      </c>
      <c r="L63" s="30">
        <f t="shared" si="19"/>
        <v>2.161262593948269</v>
      </c>
      <c r="M63" s="30">
        <f t="shared" si="19"/>
        <v>8.1466081899156055</v>
      </c>
      <c r="N63" s="30">
        <f t="shared" si="19"/>
        <v>5.674803608936613</v>
      </c>
      <c r="O63" s="30">
        <f t="shared" si="19"/>
        <v>5.5134457465363704</v>
      </c>
      <c r="P63" s="30">
        <f t="shared" si="19"/>
        <v>7.3245843568082414</v>
      </c>
    </row>
    <row r="64" spans="1:16" x14ac:dyDescent="0.2">
      <c r="A64" s="39" t="s">
        <v>59</v>
      </c>
      <c r="M64" s="30">
        <f>M61/$E$2</f>
        <v>0.75190259257876513</v>
      </c>
      <c r="N64" s="30">
        <f>N61/$E$2</f>
        <v>1.1131553894980974</v>
      </c>
      <c r="O64" s="30">
        <f>O61/$E$2</f>
        <v>1.7841117881929001</v>
      </c>
      <c r="P64" s="30">
        <f>P61/$E$2</f>
        <v>4.9373682207561957</v>
      </c>
    </row>
    <row r="66" spans="1:15" x14ac:dyDescent="0.2">
      <c r="A66" s="41" t="s">
        <v>544</v>
      </c>
      <c r="C66" s="30">
        <v>1</v>
      </c>
      <c r="D66" s="30">
        <v>1</v>
      </c>
      <c r="E66" s="30">
        <v>1</v>
      </c>
      <c r="F66" s="30">
        <v>1</v>
      </c>
      <c r="G66" s="30">
        <v>1</v>
      </c>
      <c r="H66" s="30">
        <v>1</v>
      </c>
      <c r="I66" s="30">
        <v>1</v>
      </c>
      <c r="J66" s="30">
        <v>1</v>
      </c>
      <c r="K66" s="30">
        <v>1</v>
      </c>
      <c r="L66" s="30">
        <v>1</v>
      </c>
    </row>
    <row r="67" spans="1:15" x14ac:dyDescent="0.2">
      <c r="A67" s="39" t="s">
        <v>63</v>
      </c>
      <c r="C67" s="30">
        <v>2939.9229999999998</v>
      </c>
      <c r="D67" s="30">
        <v>2621.846</v>
      </c>
      <c r="E67" s="30">
        <v>1622.385</v>
      </c>
      <c r="F67" s="30">
        <v>1231.885</v>
      </c>
      <c r="G67" s="30">
        <v>1211.962</v>
      </c>
      <c r="H67" s="30">
        <v>1366.5</v>
      </c>
      <c r="I67" s="30">
        <v>1963.769</v>
      </c>
      <c r="J67" s="30">
        <v>2162</v>
      </c>
      <c r="K67" s="30">
        <v>1837.788</v>
      </c>
      <c r="L67" s="30">
        <v>1259.846</v>
      </c>
      <c r="M67" s="30">
        <v>4526.0959999999995</v>
      </c>
      <c r="N67" s="30">
        <v>2498.5</v>
      </c>
      <c r="O67" s="30">
        <v>6186</v>
      </c>
    </row>
    <row r="68" spans="1:15" x14ac:dyDescent="0.2">
      <c r="A68" s="39" t="s">
        <v>62</v>
      </c>
      <c r="C68" s="30">
        <f t="shared" ref="C68:O68" si="20">C67-$B$5</f>
        <v>2633.8609999999999</v>
      </c>
      <c r="D68" s="30">
        <f t="shared" si="20"/>
        <v>2315.7840000000001</v>
      </c>
      <c r="E68" s="30">
        <f t="shared" si="20"/>
        <v>1316.3229999999999</v>
      </c>
      <c r="F68" s="30">
        <f t="shared" si="20"/>
        <v>925.82299999999998</v>
      </c>
      <c r="G68" s="30">
        <f t="shared" si="20"/>
        <v>905.9</v>
      </c>
      <c r="H68" s="30">
        <f t="shared" si="20"/>
        <v>1060.4380000000001</v>
      </c>
      <c r="I68" s="30">
        <f t="shared" si="20"/>
        <v>1657.7069999999999</v>
      </c>
      <c r="J68" s="30">
        <f t="shared" si="20"/>
        <v>1855.9380000000001</v>
      </c>
      <c r="K68" s="30">
        <f t="shared" si="20"/>
        <v>1531.7260000000001</v>
      </c>
      <c r="L68" s="30">
        <f t="shared" si="20"/>
        <v>953.78399999999999</v>
      </c>
      <c r="M68" s="30">
        <f t="shared" si="20"/>
        <v>4220.0339999999997</v>
      </c>
      <c r="N68" s="30">
        <f t="shared" si="20"/>
        <v>2192.4380000000001</v>
      </c>
      <c r="O68" s="30">
        <f t="shared" si="20"/>
        <v>5879.9380000000001</v>
      </c>
    </row>
    <row r="69" spans="1:15" x14ac:dyDescent="0.2">
      <c r="A69" s="39" t="s">
        <v>61</v>
      </c>
      <c r="C69" s="30">
        <v>5.5780000000000003</v>
      </c>
      <c r="D69" s="30">
        <v>5.157</v>
      </c>
      <c r="E69" s="30">
        <v>3</v>
      </c>
      <c r="F69" s="30">
        <v>4.9160000000000004</v>
      </c>
      <c r="G69" s="30">
        <v>3.766</v>
      </c>
      <c r="H69" s="30">
        <v>1.9370000000000001</v>
      </c>
      <c r="I69" s="30">
        <v>3.254</v>
      </c>
      <c r="J69" s="30">
        <v>2.7160000000000002</v>
      </c>
      <c r="K69" s="30">
        <v>2.7440000000000002</v>
      </c>
      <c r="L69" s="30">
        <v>2.3730000000000002</v>
      </c>
      <c r="M69" s="30">
        <v>5.3860000000000001</v>
      </c>
      <c r="N69" s="30">
        <v>3.036</v>
      </c>
      <c r="O69" s="30">
        <v>7.3179999999999996</v>
      </c>
    </row>
    <row r="70" spans="1:15" x14ac:dyDescent="0.2">
      <c r="A70" s="39" t="s">
        <v>60</v>
      </c>
      <c r="C70" s="30">
        <f t="shared" ref="C70:O70" si="21">SQRT((C69^2)+4)</f>
        <v>5.9257137966661881</v>
      </c>
      <c r="D70" s="30">
        <f t="shared" si="21"/>
        <v>5.5312429886961212</v>
      </c>
      <c r="E70" s="30">
        <f t="shared" si="21"/>
        <v>3.6055512754639891</v>
      </c>
      <c r="F70" s="30">
        <f t="shared" si="21"/>
        <v>5.3072644554421817</v>
      </c>
      <c r="G70" s="30">
        <f t="shared" si="21"/>
        <v>4.2641242946236915</v>
      </c>
      <c r="H70" s="30">
        <f t="shared" si="21"/>
        <v>2.7842358017955307</v>
      </c>
      <c r="I70" s="30">
        <f t="shared" si="21"/>
        <v>3.8194915892039871</v>
      </c>
      <c r="J70" s="30">
        <f t="shared" si="21"/>
        <v>3.3729298836471533</v>
      </c>
      <c r="K70" s="30">
        <f t="shared" si="21"/>
        <v>3.3955170445750968</v>
      </c>
      <c r="L70" s="30">
        <f t="shared" si="21"/>
        <v>3.1034060320879706</v>
      </c>
      <c r="M70" s="30">
        <f t="shared" si="21"/>
        <v>5.7453455944790646</v>
      </c>
      <c r="N70" s="30">
        <f t="shared" si="21"/>
        <v>3.6355599293643892</v>
      </c>
      <c r="O70" s="30">
        <f t="shared" si="21"/>
        <v>7.5863775281750909</v>
      </c>
    </row>
    <row r="71" spans="1:15" x14ac:dyDescent="0.2">
      <c r="A71" s="39" t="s">
        <v>59</v>
      </c>
      <c r="M71" s="30">
        <f>M68/$E$2</f>
        <v>2.8209367210401428</v>
      </c>
      <c r="N71" s="30">
        <f>N68/$E$2</f>
        <v>1.4655637520465024</v>
      </c>
      <c r="O71" s="30">
        <f>O68/$E$2</f>
        <v>3.9305211810235026</v>
      </c>
    </row>
    <row r="73" spans="1:15" x14ac:dyDescent="0.2">
      <c r="A73" s="41" t="s">
        <v>543</v>
      </c>
      <c r="C73" s="30">
        <v>1</v>
      </c>
      <c r="D73" s="30">
        <v>1</v>
      </c>
      <c r="E73" s="30">
        <v>1</v>
      </c>
      <c r="F73" s="30">
        <v>1</v>
      </c>
      <c r="G73" s="30">
        <v>1</v>
      </c>
    </row>
    <row r="74" spans="1:15" x14ac:dyDescent="0.2">
      <c r="A74" s="39" t="s">
        <v>63</v>
      </c>
      <c r="C74" s="30">
        <v>1420.058</v>
      </c>
      <c r="D74" s="30">
        <v>1435.673</v>
      </c>
      <c r="E74" s="30">
        <v>1078.404</v>
      </c>
      <c r="F74" s="30">
        <v>1933.692</v>
      </c>
      <c r="G74" s="30">
        <v>3138.712</v>
      </c>
      <c r="H74" s="30">
        <v>1813.962</v>
      </c>
    </row>
    <row r="75" spans="1:15" x14ac:dyDescent="0.2">
      <c r="A75" s="39" t="s">
        <v>62</v>
      </c>
      <c r="C75" s="30">
        <f t="shared" ref="C75:H75" si="22">C74-$B$5</f>
        <v>1113.9960000000001</v>
      </c>
      <c r="D75" s="30">
        <f t="shared" si="22"/>
        <v>1129.6109999999999</v>
      </c>
      <c r="E75" s="30">
        <f t="shared" si="22"/>
        <v>772.34199999999998</v>
      </c>
      <c r="F75" s="30">
        <f t="shared" si="22"/>
        <v>1627.63</v>
      </c>
      <c r="G75" s="30">
        <f t="shared" si="22"/>
        <v>2832.65</v>
      </c>
      <c r="H75" s="30">
        <f t="shared" si="22"/>
        <v>1507.9</v>
      </c>
    </row>
    <row r="76" spans="1:15" x14ac:dyDescent="0.2">
      <c r="A76" s="39" t="s">
        <v>61</v>
      </c>
      <c r="C76" s="30">
        <v>5.7489999999999997</v>
      </c>
      <c r="D76" s="30">
        <v>5.4279999999999999</v>
      </c>
      <c r="E76" s="30">
        <v>3.1819999999999999</v>
      </c>
      <c r="F76" s="30">
        <v>4.9960000000000004</v>
      </c>
      <c r="G76" s="30">
        <v>2.569</v>
      </c>
      <c r="H76" s="30">
        <v>6.6459999999999999</v>
      </c>
    </row>
    <row r="77" spans="1:15" x14ac:dyDescent="0.2">
      <c r="A77" s="39" t="s">
        <v>60</v>
      </c>
      <c r="C77" s="30">
        <f t="shared" ref="C77:H77" si="23">SQRT((C76^2)+9)</f>
        <v>6.4846743171881807</v>
      </c>
      <c r="D77" s="30">
        <f t="shared" si="23"/>
        <v>6.2018693955935573</v>
      </c>
      <c r="E77" s="30">
        <f t="shared" si="23"/>
        <v>4.3732280983273668</v>
      </c>
      <c r="F77" s="30">
        <f t="shared" si="23"/>
        <v>5.8275222865296712</v>
      </c>
      <c r="G77" s="30">
        <f t="shared" si="23"/>
        <v>3.9496532759218246</v>
      </c>
      <c r="H77" s="30">
        <f t="shared" si="23"/>
        <v>7.2917292873501554</v>
      </c>
    </row>
    <row r="78" spans="1:15" x14ac:dyDescent="0.2">
      <c r="A78" s="39" t="s">
        <v>59</v>
      </c>
      <c r="H78" s="30">
        <f>H75/E2</f>
        <v>1.0079754053300121</v>
      </c>
    </row>
    <row r="80" spans="1:15" x14ac:dyDescent="0.2">
      <c r="A80" s="41" t="s">
        <v>542</v>
      </c>
    </row>
    <row r="81" spans="1:5" x14ac:dyDescent="0.2">
      <c r="A81" s="39" t="s">
        <v>63</v>
      </c>
      <c r="C81" s="30">
        <v>3003.058</v>
      </c>
      <c r="D81" s="30">
        <v>7387.1729999999998</v>
      </c>
    </row>
    <row r="82" spans="1:5" x14ac:dyDescent="0.2">
      <c r="A82" s="39" t="s">
        <v>62</v>
      </c>
      <c r="C82" s="30">
        <f>C81-$B$5</f>
        <v>2696.9960000000001</v>
      </c>
      <c r="D82" s="30">
        <f>D81-$B$5</f>
        <v>7081.1109999999999</v>
      </c>
    </row>
    <row r="83" spans="1:5" x14ac:dyDescent="0.2">
      <c r="A83" s="39" t="s">
        <v>61</v>
      </c>
      <c r="C83" s="30">
        <v>2.0419999999999998</v>
      </c>
      <c r="D83" s="30">
        <v>7.9219999999999997</v>
      </c>
    </row>
    <row r="84" spans="1:5" x14ac:dyDescent="0.2">
      <c r="A84" s="39" t="s">
        <v>60</v>
      </c>
      <c r="C84" s="30">
        <f>SQRT((C83^2)+16)</f>
        <v>4.4910760403270844</v>
      </c>
      <c r="D84" s="30">
        <f>SQRT((D83^2)+16)</f>
        <v>8.8745751447604526</v>
      </c>
    </row>
    <row r="85" spans="1:5" x14ac:dyDescent="0.2">
      <c r="A85" s="39" t="s">
        <v>59</v>
      </c>
      <c r="C85" s="30">
        <f>C82/$E$2</f>
        <v>1.8028421223379674</v>
      </c>
      <c r="D85" s="30">
        <f>D82/$E$2</f>
        <v>4.733460926063934</v>
      </c>
    </row>
    <row r="87" spans="1:5" x14ac:dyDescent="0.2">
      <c r="A87" s="41" t="s">
        <v>541</v>
      </c>
      <c r="C87" s="30">
        <v>1</v>
      </c>
      <c r="D87" s="30">
        <v>1</v>
      </c>
    </row>
    <row r="88" spans="1:5" x14ac:dyDescent="0.2">
      <c r="A88" s="39" t="s">
        <v>63</v>
      </c>
      <c r="C88" s="30">
        <v>2125</v>
      </c>
      <c r="D88" s="30">
        <v>2021.519</v>
      </c>
      <c r="E88" s="30">
        <v>4350.1540000000005</v>
      </c>
    </row>
    <row r="89" spans="1:5" x14ac:dyDescent="0.2">
      <c r="A89" s="39" t="s">
        <v>62</v>
      </c>
      <c r="C89" s="30">
        <f>C88-$B$5</f>
        <v>1818.9380000000001</v>
      </c>
      <c r="D89" s="30">
        <f>D88-$B$5</f>
        <v>1715.4569999999999</v>
      </c>
      <c r="E89" s="30">
        <f>E88-$B$5</f>
        <v>4044.0920000000006</v>
      </c>
    </row>
    <row r="90" spans="1:5" x14ac:dyDescent="0.2">
      <c r="A90" s="39" t="s">
        <v>61</v>
      </c>
      <c r="C90" s="30">
        <v>8.6630000000000003</v>
      </c>
      <c r="D90" s="30">
        <v>2.0139999999999998</v>
      </c>
      <c r="E90" s="30">
        <v>7.7960000000000003</v>
      </c>
    </row>
    <row r="91" spans="1:5" x14ac:dyDescent="0.2">
      <c r="A91" s="39" t="s">
        <v>60</v>
      </c>
      <c r="C91" s="30">
        <f>SQRT((C90^2)+25)</f>
        <v>10.002378167216035</v>
      </c>
      <c r="D91" s="30">
        <f>SQRT((D90^2)+25)</f>
        <v>5.3903799495026323</v>
      </c>
      <c r="E91" s="30">
        <f>SQRT((E90^2)+25)</f>
        <v>9.2616205925313082</v>
      </c>
    </row>
    <row r="92" spans="1:5" x14ac:dyDescent="0.2">
      <c r="A92" s="39" t="s">
        <v>59</v>
      </c>
      <c r="E92" s="30">
        <f>E89/E2</f>
        <v>2.7033259983366662</v>
      </c>
    </row>
    <row r="94" spans="1:5" x14ac:dyDescent="0.2">
      <c r="A94" s="41" t="s">
        <v>540</v>
      </c>
      <c r="C94" s="30">
        <v>1</v>
      </c>
      <c r="D94" s="30">
        <v>1</v>
      </c>
      <c r="E94" s="30">
        <v>1</v>
      </c>
    </row>
    <row r="95" spans="1:5" x14ac:dyDescent="0.2">
      <c r="A95" s="39" t="s">
        <v>63</v>
      </c>
      <c r="C95" s="30">
        <v>2462.288</v>
      </c>
      <c r="D95" s="30">
        <v>2550.962</v>
      </c>
      <c r="E95" s="30">
        <v>1719.808</v>
      </c>
    </row>
    <row r="96" spans="1:5" x14ac:dyDescent="0.2">
      <c r="A96" s="39" t="s">
        <v>62</v>
      </c>
      <c r="C96" s="30">
        <f>C95-$B$5</f>
        <v>2156.2260000000001</v>
      </c>
      <c r="D96" s="30">
        <f>D95-$B$5</f>
        <v>2244.9</v>
      </c>
      <c r="E96" s="30">
        <f>E95-$B$5</f>
        <v>1413.7460000000001</v>
      </c>
    </row>
    <row r="97" spans="1:5" x14ac:dyDescent="0.2">
      <c r="A97" s="39" t="s">
        <v>61</v>
      </c>
      <c r="C97" s="30">
        <v>8.6270000000000007</v>
      </c>
      <c r="D97" s="30">
        <v>8.5809999999999995</v>
      </c>
      <c r="E97" s="30">
        <v>7.8040000000000003</v>
      </c>
    </row>
    <row r="98" spans="1:5" x14ac:dyDescent="0.2">
      <c r="A98" s="39" t="s">
        <v>60</v>
      </c>
      <c r="C98" s="30">
        <f>SQRT((C97^2)+36)</f>
        <v>10.508336167062795</v>
      </c>
      <c r="D98" s="30">
        <f>SQRT((D97^2)+36)</f>
        <v>10.470604614825257</v>
      </c>
      <c r="E98" s="30">
        <f>SQRT((E97^2)+36)</f>
        <v>9.8439024781841482</v>
      </c>
    </row>
    <row r="99" spans="1:5" x14ac:dyDescent="0.2">
      <c r="A99" s="39" t="s">
        <v>59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9586-B92F-6D4C-A4A9-BA887B91AD31}">
  <dimension ref="A1:P45"/>
  <sheetViews>
    <sheetView workbookViewId="0">
      <selection activeCell="Q38" sqref="Q38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16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6" x14ac:dyDescent="0.2">
      <c r="A2" s="30" t="s">
        <v>643</v>
      </c>
      <c r="B2" s="42">
        <v>45229</v>
      </c>
      <c r="C2" s="30" t="s">
        <v>222</v>
      </c>
      <c r="E2" s="30">
        <v>45.963000000000001</v>
      </c>
      <c r="G2" s="30">
        <f>AVERAGE(C8:F8,C14:D14,C35:E35)</f>
        <v>1276.9094444444445</v>
      </c>
    </row>
    <row r="4" spans="1:16" x14ac:dyDescent="0.2">
      <c r="A4" s="30" t="s">
        <v>679</v>
      </c>
    </row>
    <row r="6" spans="1:16" x14ac:dyDescent="0.2">
      <c r="A6" s="45" t="s">
        <v>678</v>
      </c>
      <c r="B6" s="30" t="s">
        <v>235</v>
      </c>
      <c r="C6" s="30">
        <v>1</v>
      </c>
      <c r="D6" s="30">
        <v>1</v>
      </c>
      <c r="E6" s="30">
        <v>1</v>
      </c>
      <c r="F6" s="30">
        <v>1</v>
      </c>
    </row>
    <row r="7" spans="1:16" x14ac:dyDescent="0.2">
      <c r="A7" s="30" t="s">
        <v>215</v>
      </c>
      <c r="B7" s="30">
        <v>227.64099999999999</v>
      </c>
      <c r="C7" s="30">
        <v>825.07799999999997</v>
      </c>
      <c r="D7" s="30">
        <v>884.01199999999994</v>
      </c>
      <c r="E7" s="30">
        <v>1459.6210000000001</v>
      </c>
      <c r="F7" s="30">
        <v>795.93</v>
      </c>
      <c r="G7" s="30">
        <v>1899.8050000000001</v>
      </c>
      <c r="H7" s="30">
        <v>1327.008</v>
      </c>
      <c r="I7" s="30">
        <v>1400.297</v>
      </c>
      <c r="J7" s="30">
        <v>2332.1880000000001</v>
      </c>
      <c r="K7" s="30">
        <v>3056.8829999999998</v>
      </c>
      <c r="L7" s="30">
        <v>1689.367</v>
      </c>
      <c r="M7" s="30">
        <v>1303.0229999999999</v>
      </c>
      <c r="N7" s="30">
        <v>1782.6559999999999</v>
      </c>
      <c r="O7" s="30">
        <v>2540.1019999999999</v>
      </c>
      <c r="P7" s="30">
        <v>1558.23</v>
      </c>
    </row>
    <row r="8" spans="1:16" x14ac:dyDescent="0.2">
      <c r="A8" s="30" t="s">
        <v>62</v>
      </c>
      <c r="C8" s="30">
        <f t="shared" ref="C8:P8" si="0">C7-$B$7</f>
        <v>597.43700000000001</v>
      </c>
      <c r="D8" s="30">
        <f t="shared" si="0"/>
        <v>656.37099999999998</v>
      </c>
      <c r="E8" s="30">
        <f t="shared" si="0"/>
        <v>1231.98</v>
      </c>
      <c r="F8" s="30">
        <f t="shared" si="0"/>
        <v>568.28899999999999</v>
      </c>
      <c r="G8" s="30">
        <f t="shared" si="0"/>
        <v>1672.164</v>
      </c>
      <c r="H8" s="30">
        <f t="shared" si="0"/>
        <v>1099.367</v>
      </c>
      <c r="I8" s="30">
        <f t="shared" si="0"/>
        <v>1172.6559999999999</v>
      </c>
      <c r="J8" s="30">
        <f t="shared" si="0"/>
        <v>2104.547</v>
      </c>
      <c r="K8" s="30">
        <f t="shared" si="0"/>
        <v>2829.2419999999997</v>
      </c>
      <c r="L8" s="30">
        <f t="shared" si="0"/>
        <v>1461.7259999999999</v>
      </c>
      <c r="M8" s="30">
        <f t="shared" si="0"/>
        <v>1075.3819999999998</v>
      </c>
      <c r="N8" s="30">
        <f t="shared" si="0"/>
        <v>1555.0149999999999</v>
      </c>
      <c r="O8" s="30">
        <f t="shared" si="0"/>
        <v>2312.4609999999998</v>
      </c>
      <c r="P8" s="30">
        <f t="shared" si="0"/>
        <v>1330.5889999999999</v>
      </c>
    </row>
    <row r="9" spans="1:16" x14ac:dyDescent="0.2">
      <c r="A9" s="30" t="s">
        <v>214</v>
      </c>
      <c r="C9" s="30">
        <v>3.62</v>
      </c>
      <c r="D9" s="30">
        <v>3.0129999999999999</v>
      </c>
      <c r="E9" s="30">
        <v>1.746</v>
      </c>
      <c r="F9" s="30">
        <v>7.94</v>
      </c>
      <c r="G9" s="30">
        <v>2.21</v>
      </c>
      <c r="H9" s="30">
        <v>1.708</v>
      </c>
      <c r="I9" s="30">
        <v>2.48</v>
      </c>
      <c r="J9" s="30">
        <v>2.044</v>
      </c>
      <c r="K9" s="30">
        <v>1.8069999999999999</v>
      </c>
      <c r="L9" s="30">
        <v>1.444</v>
      </c>
      <c r="M9" s="30">
        <v>0.75900000000000001</v>
      </c>
      <c r="N9" s="30">
        <v>2.3039999999999998</v>
      </c>
      <c r="O9" s="30">
        <v>2.1309999999999998</v>
      </c>
      <c r="P9" s="30">
        <v>1.764</v>
      </c>
    </row>
    <row r="10" spans="1:16" x14ac:dyDescent="0.2">
      <c r="A10" s="30" t="s">
        <v>59</v>
      </c>
      <c r="G10" s="30">
        <f t="shared" ref="G10:P10" si="1">G8/$G$2</f>
        <v>1.3095400047945625</v>
      </c>
      <c r="H10" s="30">
        <f t="shared" si="1"/>
        <v>0.86095925187420841</v>
      </c>
      <c r="I10" s="30">
        <f t="shared" si="1"/>
        <v>0.91835486463192151</v>
      </c>
      <c r="J10" s="30">
        <f t="shared" si="1"/>
        <v>1.6481568126513799</v>
      </c>
      <c r="K10" s="30">
        <f t="shared" si="1"/>
        <v>2.215695100627078</v>
      </c>
      <c r="L10" s="30">
        <f t="shared" si="1"/>
        <v>1.1447374019823036</v>
      </c>
      <c r="M10" s="30">
        <f t="shared" si="1"/>
        <v>0.84217561760448501</v>
      </c>
      <c r="N10" s="30">
        <f t="shared" si="1"/>
        <v>1.2177958325592564</v>
      </c>
      <c r="O10" s="30">
        <f t="shared" si="1"/>
        <v>1.8109827678548507</v>
      </c>
      <c r="P10" s="30">
        <f t="shared" si="1"/>
        <v>1.0420386549642213</v>
      </c>
    </row>
    <row r="12" spans="1:16" x14ac:dyDescent="0.2">
      <c r="A12" s="45" t="s">
        <v>677</v>
      </c>
      <c r="C12" s="30">
        <v>1</v>
      </c>
      <c r="D12" s="30">
        <v>1</v>
      </c>
    </row>
    <row r="13" spans="1:16" x14ac:dyDescent="0.2">
      <c r="A13" s="30" t="s">
        <v>215</v>
      </c>
      <c r="C13" s="30">
        <v>1136.652</v>
      </c>
      <c r="D13" s="30">
        <v>1662.078</v>
      </c>
      <c r="E13" s="30">
        <v>691.24199999999996</v>
      </c>
      <c r="F13" s="30">
        <v>1695.0039999999999</v>
      </c>
      <c r="G13" s="30">
        <v>1744.4690000000001</v>
      </c>
      <c r="H13" s="30">
        <v>2578.3629999999998</v>
      </c>
      <c r="I13" s="30">
        <v>2298.5859999999998</v>
      </c>
      <c r="J13" s="30">
        <v>1666.652</v>
      </c>
      <c r="K13" s="30">
        <v>1923.7660000000001</v>
      </c>
      <c r="L13" s="30">
        <v>1341.6559999999999</v>
      </c>
      <c r="M13" s="30">
        <v>1744.633</v>
      </c>
    </row>
    <row r="14" spans="1:16" x14ac:dyDescent="0.2">
      <c r="A14" s="30" t="s">
        <v>62</v>
      </c>
      <c r="C14" s="30">
        <f t="shared" ref="C14:M14" si="2">C13-$B$7</f>
        <v>909.01100000000008</v>
      </c>
      <c r="D14" s="30">
        <f t="shared" si="2"/>
        <v>1434.4369999999999</v>
      </c>
      <c r="E14" s="30">
        <f t="shared" si="2"/>
        <v>463.601</v>
      </c>
      <c r="F14" s="30">
        <f t="shared" si="2"/>
        <v>1467.3629999999998</v>
      </c>
      <c r="G14" s="30">
        <f t="shared" si="2"/>
        <v>1516.828</v>
      </c>
      <c r="H14" s="30">
        <f t="shared" si="2"/>
        <v>2350.7219999999998</v>
      </c>
      <c r="I14" s="30">
        <f t="shared" si="2"/>
        <v>2070.9449999999997</v>
      </c>
      <c r="J14" s="30">
        <f t="shared" si="2"/>
        <v>1439.011</v>
      </c>
      <c r="K14" s="30">
        <f t="shared" si="2"/>
        <v>1696.125</v>
      </c>
      <c r="L14" s="30">
        <f t="shared" si="2"/>
        <v>1114.0149999999999</v>
      </c>
      <c r="M14" s="30">
        <f t="shared" si="2"/>
        <v>1516.992</v>
      </c>
    </row>
    <row r="15" spans="1:16" x14ac:dyDescent="0.2">
      <c r="A15" s="30" t="s">
        <v>214</v>
      </c>
      <c r="C15" s="30">
        <v>2.6739999999999999</v>
      </c>
      <c r="D15" s="30">
        <v>1.8680000000000001</v>
      </c>
      <c r="E15" s="30">
        <v>3.169</v>
      </c>
      <c r="F15" s="30">
        <v>1.7350000000000001</v>
      </c>
      <c r="G15" s="30">
        <v>1.3169999999999999</v>
      </c>
      <c r="H15" s="30">
        <v>1.7490000000000001</v>
      </c>
      <c r="I15" s="30">
        <v>1.978</v>
      </c>
      <c r="J15" s="30">
        <v>2.0880000000000001</v>
      </c>
      <c r="K15" s="30">
        <v>2.415</v>
      </c>
      <c r="L15" s="30">
        <v>1.841</v>
      </c>
      <c r="M15" s="30">
        <v>1.6639999999999999</v>
      </c>
    </row>
    <row r="16" spans="1:16" x14ac:dyDescent="0.2">
      <c r="A16" s="30" t="s">
        <v>60</v>
      </c>
      <c r="C16" s="30">
        <f t="shared" ref="C16:M16" si="3">SQRT((1+(C15^2)))</f>
        <v>2.8548688236064366</v>
      </c>
      <c r="D16" s="30">
        <f t="shared" si="3"/>
        <v>2.1188260900791271</v>
      </c>
      <c r="E16" s="30">
        <f t="shared" si="3"/>
        <v>3.3230349080321142</v>
      </c>
      <c r="F16" s="30">
        <f t="shared" si="3"/>
        <v>2.0025546184811041</v>
      </c>
      <c r="G16" s="30">
        <f t="shared" si="3"/>
        <v>1.6536290394160353</v>
      </c>
      <c r="H16" s="30">
        <f t="shared" si="3"/>
        <v>2.0146962550220815</v>
      </c>
      <c r="I16" s="30">
        <f t="shared" si="3"/>
        <v>2.2164124164965329</v>
      </c>
      <c r="J16" s="30">
        <f t="shared" si="3"/>
        <v>2.3151120923186421</v>
      </c>
      <c r="K16" s="30">
        <f t="shared" si="3"/>
        <v>2.6138525207057879</v>
      </c>
      <c r="L16" s="30">
        <f t="shared" si="3"/>
        <v>2.0950610969611363</v>
      </c>
      <c r="M16" s="30">
        <f t="shared" si="3"/>
        <v>1.9413644686147935</v>
      </c>
    </row>
    <row r="17" spans="1:13" x14ac:dyDescent="0.2">
      <c r="A17" s="30" t="s">
        <v>59</v>
      </c>
      <c r="E17" s="30">
        <f t="shared" ref="E17:M17" si="4">E14/$G$2</f>
        <v>0.36306490019086884</v>
      </c>
      <c r="F17" s="30">
        <f t="shared" si="4"/>
        <v>1.1491519671846562</v>
      </c>
      <c r="G17" s="30">
        <f t="shared" si="4"/>
        <v>1.1878900313560909</v>
      </c>
      <c r="H17" s="30">
        <f t="shared" si="4"/>
        <v>1.8409465214839473</v>
      </c>
      <c r="I17" s="30">
        <f t="shared" si="4"/>
        <v>1.6218417124332751</v>
      </c>
      <c r="J17" s="30">
        <f t="shared" si="4"/>
        <v>1.1269483566441021</v>
      </c>
      <c r="K17" s="30">
        <f t="shared" si="4"/>
        <v>1.3283048436829028</v>
      </c>
      <c r="L17" s="30">
        <f t="shared" si="4"/>
        <v>0.87243069964501951</v>
      </c>
      <c r="M17" s="30">
        <f t="shared" si="4"/>
        <v>1.1880184664622089</v>
      </c>
    </row>
    <row r="19" spans="1:13" x14ac:dyDescent="0.2">
      <c r="A19" s="45" t="s">
        <v>676</v>
      </c>
    </row>
    <row r="20" spans="1:13" x14ac:dyDescent="0.2">
      <c r="A20" s="30" t="s">
        <v>215</v>
      </c>
      <c r="C20" s="30">
        <v>1444.2539999999999</v>
      </c>
      <c r="D20" s="30">
        <v>1600.4259999999999</v>
      </c>
    </row>
    <row r="21" spans="1:13" x14ac:dyDescent="0.2">
      <c r="A21" s="30" t="s">
        <v>62</v>
      </c>
      <c r="C21" s="30">
        <f>C20-$B$7</f>
        <v>1216.6129999999998</v>
      </c>
      <c r="D21" s="30">
        <f>D20-$B$7</f>
        <v>1372.7849999999999</v>
      </c>
    </row>
    <row r="22" spans="1:13" x14ac:dyDescent="0.2">
      <c r="A22" s="30" t="s">
        <v>214</v>
      </c>
      <c r="C22" s="30">
        <v>3.31</v>
      </c>
      <c r="D22" s="30">
        <v>2.0369999999999999</v>
      </c>
    </row>
    <row r="23" spans="1:13" x14ac:dyDescent="0.2">
      <c r="A23" s="30" t="s">
        <v>60</v>
      </c>
      <c r="C23" s="30">
        <f>SQRT((4+(C22^2)))</f>
        <v>3.8673117278026607</v>
      </c>
      <c r="D23" s="30">
        <f>SQRT((4+(D22^2)))</f>
        <v>2.8547099677550434</v>
      </c>
    </row>
    <row r="24" spans="1:13" x14ac:dyDescent="0.2">
      <c r="A24" s="30" t="s">
        <v>59</v>
      </c>
      <c r="C24" s="30">
        <f>C21/$G$2</f>
        <v>0.9527793887759376</v>
      </c>
      <c r="D24" s="30">
        <f>D21/$G$2</f>
        <v>1.0750840679992533</v>
      </c>
    </row>
    <row r="26" spans="1:13" x14ac:dyDescent="0.2">
      <c r="A26" s="45" t="s">
        <v>675</v>
      </c>
    </row>
    <row r="27" spans="1:13" x14ac:dyDescent="0.2">
      <c r="A27" s="30" t="s">
        <v>215</v>
      </c>
      <c r="C27" s="30">
        <v>1071.0509999999999</v>
      </c>
      <c r="D27" s="30">
        <v>1117.3630000000001</v>
      </c>
      <c r="E27" s="30">
        <v>1701.5</v>
      </c>
      <c r="F27" s="30">
        <v>3515.4340000000002</v>
      </c>
      <c r="G27" s="30">
        <v>3199.1950000000002</v>
      </c>
      <c r="H27" s="30">
        <v>2569.4920000000002</v>
      </c>
      <c r="I27" s="30">
        <v>2664.0509999999999</v>
      </c>
      <c r="J27" s="30">
        <v>2466.703</v>
      </c>
      <c r="K27" s="30">
        <v>2422.1170000000002</v>
      </c>
      <c r="L27" s="30">
        <v>1710.4259999999999</v>
      </c>
    </row>
    <row r="28" spans="1:13" x14ac:dyDescent="0.2">
      <c r="A28" s="30" t="s">
        <v>62</v>
      </c>
      <c r="C28" s="30">
        <f t="shared" ref="C28:L28" si="5">C27-$B$7</f>
        <v>843.41</v>
      </c>
      <c r="D28" s="30">
        <f t="shared" si="5"/>
        <v>889.72200000000009</v>
      </c>
      <c r="E28" s="30">
        <f t="shared" si="5"/>
        <v>1473.8589999999999</v>
      </c>
      <c r="F28" s="30">
        <f t="shared" si="5"/>
        <v>3287.7930000000001</v>
      </c>
      <c r="G28" s="30">
        <f t="shared" si="5"/>
        <v>2971.5540000000001</v>
      </c>
      <c r="H28" s="30">
        <f t="shared" si="5"/>
        <v>2341.8510000000001</v>
      </c>
      <c r="I28" s="30">
        <f t="shared" si="5"/>
        <v>2436.41</v>
      </c>
      <c r="J28" s="30">
        <f t="shared" si="5"/>
        <v>2239.0619999999999</v>
      </c>
      <c r="K28" s="30">
        <f t="shared" si="5"/>
        <v>2194.4760000000001</v>
      </c>
      <c r="L28" s="30">
        <f t="shared" si="5"/>
        <v>1482.7849999999999</v>
      </c>
    </row>
    <row r="29" spans="1:13" x14ac:dyDescent="0.2">
      <c r="A29" s="30" t="s">
        <v>214</v>
      </c>
      <c r="C29" s="30">
        <v>2.5179999999999998</v>
      </c>
      <c r="D29" s="30">
        <v>1.5780000000000001</v>
      </c>
      <c r="E29" s="30">
        <v>1.45</v>
      </c>
      <c r="F29" s="30">
        <v>1.764</v>
      </c>
      <c r="G29" s="30">
        <v>1.353</v>
      </c>
      <c r="H29" s="30">
        <v>1.454</v>
      </c>
      <c r="I29" s="30">
        <v>0.33200000000000002</v>
      </c>
      <c r="J29" s="30">
        <v>0.92700000000000005</v>
      </c>
      <c r="K29" s="30">
        <v>1.6359999999999999</v>
      </c>
      <c r="L29" s="30">
        <v>1.4259999999999999</v>
      </c>
    </row>
    <row r="30" spans="1:13" x14ac:dyDescent="0.2">
      <c r="A30" s="30" t="s">
        <v>60</v>
      </c>
      <c r="C30" s="30">
        <f t="shared" ref="C30:L30" si="6">SQRT((1+(C29^2)))</f>
        <v>2.709303231460074</v>
      </c>
      <c r="D30" s="30">
        <f t="shared" si="6"/>
        <v>1.8681766511762212</v>
      </c>
      <c r="E30" s="30">
        <f t="shared" si="6"/>
        <v>1.7613914953808538</v>
      </c>
      <c r="F30" s="30">
        <f t="shared" si="6"/>
        <v>2.027731737681294</v>
      </c>
      <c r="G30" s="30">
        <f t="shared" si="6"/>
        <v>1.6824413808510537</v>
      </c>
      <c r="H30" s="30">
        <f t="shared" si="6"/>
        <v>1.7646858077289564</v>
      </c>
      <c r="I30" s="30">
        <f t="shared" si="6"/>
        <v>1.053671675618169</v>
      </c>
      <c r="J30" s="30">
        <f t="shared" si="6"/>
        <v>1.3635721469727959</v>
      </c>
      <c r="K30" s="30">
        <f t="shared" si="6"/>
        <v>1.917419098684479</v>
      </c>
      <c r="L30" s="30">
        <f t="shared" si="6"/>
        <v>1.7416876872734675</v>
      </c>
    </row>
    <row r="31" spans="1:13" x14ac:dyDescent="0.2">
      <c r="A31" s="30" t="s">
        <v>59</v>
      </c>
      <c r="C31" s="30">
        <f t="shared" ref="C31:L31" si="7">C28/$G$2</f>
        <v>0.66050885884625066</v>
      </c>
      <c r="D31" s="30">
        <f t="shared" si="7"/>
        <v>0.69677767978848237</v>
      </c>
      <c r="E31" s="30">
        <f t="shared" si="7"/>
        <v>1.1542392504123453</v>
      </c>
      <c r="F31" s="30">
        <f t="shared" si="7"/>
        <v>2.5748051393185891</v>
      </c>
      <c r="G31" s="30">
        <f t="shared" si="7"/>
        <v>2.3271454471016608</v>
      </c>
      <c r="H31" s="30">
        <f t="shared" si="7"/>
        <v>1.8339992786402237</v>
      </c>
      <c r="I31" s="30">
        <f t="shared" si="7"/>
        <v>1.9080522981486983</v>
      </c>
      <c r="J31" s="30">
        <f t="shared" si="7"/>
        <v>1.7535010095991317</v>
      </c>
      <c r="K31" s="30">
        <f t="shared" si="7"/>
        <v>1.7185838898347008</v>
      </c>
      <c r="L31" s="30">
        <f t="shared" si="7"/>
        <v>1.161229566005072</v>
      </c>
    </row>
    <row r="33" spans="1:9" x14ac:dyDescent="0.2">
      <c r="A33" s="45" t="s">
        <v>674</v>
      </c>
      <c r="C33" s="30">
        <v>1</v>
      </c>
      <c r="D33" s="30">
        <v>1</v>
      </c>
      <c r="E33" s="30">
        <v>1</v>
      </c>
    </row>
    <row r="34" spans="1:9" x14ac:dyDescent="0.2">
      <c r="A34" s="30" t="s">
        <v>215</v>
      </c>
      <c r="C34" s="30">
        <v>2123.8090000000002</v>
      </c>
      <c r="D34" s="30">
        <v>2387.5160000000001</v>
      </c>
      <c r="E34" s="30">
        <v>2266.2579999999998</v>
      </c>
      <c r="F34" s="30">
        <v>3104.6909999999998</v>
      </c>
      <c r="G34" s="30">
        <v>2630.2809999999999</v>
      </c>
      <c r="H34" s="30">
        <v>2464.0659999999998</v>
      </c>
      <c r="I34" s="30">
        <v>1603.1679999999999</v>
      </c>
    </row>
    <row r="35" spans="1:9" x14ac:dyDescent="0.2">
      <c r="A35" s="30" t="s">
        <v>62</v>
      </c>
      <c r="C35" s="30">
        <f t="shared" ref="C35:I35" si="8">C34-$B$7</f>
        <v>1896.1680000000001</v>
      </c>
      <c r="D35" s="30">
        <f t="shared" si="8"/>
        <v>2159.875</v>
      </c>
      <c r="E35" s="30">
        <f t="shared" si="8"/>
        <v>2038.6169999999997</v>
      </c>
      <c r="F35" s="30">
        <f t="shared" si="8"/>
        <v>2877.0499999999997</v>
      </c>
      <c r="G35" s="30">
        <f t="shared" si="8"/>
        <v>2402.64</v>
      </c>
      <c r="H35" s="30">
        <f t="shared" si="8"/>
        <v>2236.4249999999997</v>
      </c>
      <c r="I35" s="30">
        <f t="shared" si="8"/>
        <v>1375.5269999999998</v>
      </c>
    </row>
    <row r="36" spans="1:9" x14ac:dyDescent="0.2">
      <c r="A36" s="30" t="s">
        <v>214</v>
      </c>
      <c r="C36" s="30">
        <v>1.792</v>
      </c>
      <c r="D36" s="30">
        <v>1.4910000000000001</v>
      </c>
      <c r="E36" s="30">
        <v>0.86599999999999999</v>
      </c>
      <c r="F36" s="30">
        <v>0.57899999999999996</v>
      </c>
      <c r="G36" s="30">
        <v>1.117</v>
      </c>
      <c r="H36" s="30">
        <v>0.33500000000000002</v>
      </c>
      <c r="I36" s="30">
        <v>1.3169999999999999</v>
      </c>
    </row>
    <row r="37" spans="1:9" x14ac:dyDescent="0.2">
      <c r="A37" s="30" t="s">
        <v>60</v>
      </c>
      <c r="C37" s="30">
        <f t="shared" ref="C37:I37" si="9">SQRT((4+(C36^2)))</f>
        <v>2.6853796752042345</v>
      </c>
      <c r="D37" s="30">
        <f t="shared" si="9"/>
        <v>2.4946103904217187</v>
      </c>
      <c r="E37" s="30">
        <f t="shared" si="9"/>
        <v>2.1794393774546701</v>
      </c>
      <c r="F37" s="30">
        <f t="shared" si="9"/>
        <v>2.08212415576017</v>
      </c>
      <c r="G37" s="30">
        <f t="shared" si="9"/>
        <v>2.2907834904241824</v>
      </c>
      <c r="H37" s="30">
        <f t="shared" si="9"/>
        <v>2.0278621748038006</v>
      </c>
      <c r="I37" s="30">
        <f t="shared" si="9"/>
        <v>2.3946793104714459</v>
      </c>
    </row>
    <row r="38" spans="1:9" x14ac:dyDescent="0.2">
      <c r="A38" s="30" t="s">
        <v>59</v>
      </c>
      <c r="F38" s="30">
        <f>F35/$G$2</f>
        <v>2.2531355003421889</v>
      </c>
      <c r="G38" s="30">
        <f>G35/$G$2</f>
        <v>1.8816056302609119</v>
      </c>
      <c r="H38" s="30">
        <f>H35/$G$2</f>
        <v>1.7514358670696648</v>
      </c>
      <c r="I38" s="30">
        <f>I35/$G$2</f>
        <v>1.0772314403222709</v>
      </c>
    </row>
    <row r="40" spans="1:9" x14ac:dyDescent="0.2">
      <c r="A40" s="45" t="s">
        <v>673</v>
      </c>
    </row>
    <row r="41" spans="1:9" x14ac:dyDescent="0.2">
      <c r="A41" s="30" t="s">
        <v>215</v>
      </c>
      <c r="C41" s="30">
        <v>1168.473</v>
      </c>
      <c r="D41" s="30">
        <v>1017.3920000000001</v>
      </c>
      <c r="E41" s="30">
        <v>909.84400000000005</v>
      </c>
    </row>
    <row r="42" spans="1:9" x14ac:dyDescent="0.2">
      <c r="A42" s="30" t="s">
        <v>62</v>
      </c>
      <c r="C42" s="30">
        <f>C41-$B$7</f>
        <v>940.83199999999999</v>
      </c>
      <c r="D42" s="30">
        <f>D41-$B$7</f>
        <v>789.75100000000009</v>
      </c>
      <c r="E42" s="30">
        <f>E41-$B$7</f>
        <v>682.20300000000009</v>
      </c>
    </row>
    <row r="43" spans="1:9" x14ac:dyDescent="0.2">
      <c r="A43" s="30" t="s">
        <v>214</v>
      </c>
      <c r="C43" s="30">
        <v>0.18</v>
      </c>
      <c r="D43" s="30">
        <v>0.753</v>
      </c>
      <c r="E43" s="30">
        <v>1.887</v>
      </c>
    </row>
    <row r="44" spans="1:9" x14ac:dyDescent="0.2">
      <c r="A44" s="30" t="s">
        <v>60</v>
      </c>
      <c r="C44" s="30">
        <f>SQRT((9+(C43^2)))</f>
        <v>3.0053951487283666</v>
      </c>
      <c r="D44" s="30">
        <f>SQRT((9+(D43^2)))</f>
        <v>3.0930581953788066</v>
      </c>
      <c r="E44" s="30">
        <f>SQRT((9+(E43^2)))</f>
        <v>3.5441175206248454</v>
      </c>
    </row>
    <row r="45" spans="1:9" x14ac:dyDescent="0.2">
      <c r="A45" s="30" t="s">
        <v>59</v>
      </c>
      <c r="C45" s="30">
        <f>C42/$G$2</f>
        <v>0.73680401072554957</v>
      </c>
      <c r="D45" s="30">
        <f>D42/$G$2</f>
        <v>0.61848630177812147</v>
      </c>
      <c r="E45" s="30">
        <f>E42/$G$2</f>
        <v>0.5342610652369415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CDF2-35E4-1249-97FE-D5FEB7B80F88}">
  <dimension ref="A1:P52"/>
  <sheetViews>
    <sheetView workbookViewId="0">
      <selection activeCell="S42" sqref="S42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7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7" x14ac:dyDescent="0.2">
      <c r="A2" s="30" t="s">
        <v>643</v>
      </c>
      <c r="B2" s="42">
        <v>45229</v>
      </c>
      <c r="C2" s="30" t="s">
        <v>222</v>
      </c>
      <c r="E2" s="30">
        <v>46.185000000000002</v>
      </c>
      <c r="G2" s="30">
        <f>AVERAGE(C8:D8,C21:H21,C28:F28,C35:E35,C42,C49)</f>
        <v>70.625647058823546</v>
      </c>
    </row>
    <row r="4" spans="1:7" x14ac:dyDescent="0.2">
      <c r="A4" s="30" t="s">
        <v>687</v>
      </c>
    </row>
    <row r="6" spans="1:7" x14ac:dyDescent="0.2">
      <c r="A6" s="45" t="s">
        <v>686</v>
      </c>
      <c r="B6" s="30" t="s">
        <v>235</v>
      </c>
      <c r="C6" s="30">
        <v>1</v>
      </c>
      <c r="D6" s="30">
        <v>1</v>
      </c>
    </row>
    <row r="7" spans="1:7" x14ac:dyDescent="0.2">
      <c r="A7" s="30" t="s">
        <v>215</v>
      </c>
      <c r="B7" s="30">
        <v>214.41499999999999</v>
      </c>
      <c r="C7" s="30">
        <v>294.81599999999997</v>
      </c>
      <c r="D7" s="30">
        <v>281.28500000000003</v>
      </c>
      <c r="E7" s="30">
        <v>307.512</v>
      </c>
      <c r="F7" s="30">
        <v>355.43799999999999</v>
      </c>
      <c r="G7" s="30">
        <v>317.34800000000001</v>
      </c>
    </row>
    <row r="8" spans="1:7" x14ac:dyDescent="0.2">
      <c r="A8" s="30" t="s">
        <v>62</v>
      </c>
      <c r="C8" s="30">
        <f>C7-$B$7</f>
        <v>80.400999999999982</v>
      </c>
      <c r="D8" s="30">
        <f>D7-$B$7</f>
        <v>66.870000000000033</v>
      </c>
      <c r="E8" s="30">
        <f>E7-$B$7</f>
        <v>93.097000000000008</v>
      </c>
      <c r="F8" s="30">
        <f>F7-$B$7</f>
        <v>141.023</v>
      </c>
      <c r="G8" s="30">
        <f>G7-$B$7</f>
        <v>102.93300000000002</v>
      </c>
    </row>
    <row r="9" spans="1:7" x14ac:dyDescent="0.2">
      <c r="A9" s="30" t="s">
        <v>214</v>
      </c>
      <c r="C9" s="30">
        <v>2.4430000000000001</v>
      </c>
      <c r="D9" s="30">
        <v>2.4660000000000002</v>
      </c>
      <c r="E9" s="30">
        <v>2.8</v>
      </c>
      <c r="F9" s="30">
        <v>1.9990000000000001</v>
      </c>
      <c r="G9" s="30">
        <v>2.1619999999999999</v>
      </c>
    </row>
    <row r="10" spans="1:7" x14ac:dyDescent="0.2">
      <c r="A10" s="30" t="s">
        <v>59</v>
      </c>
      <c r="E10" s="30">
        <f>E8/$G$2</f>
        <v>1.3181755336338405</v>
      </c>
      <c r="F10" s="30">
        <f>F8/$G$2</f>
        <v>1.9967675465336701</v>
      </c>
      <c r="G10" s="30">
        <f>G8/$G$2</f>
        <v>1.4574450541213158</v>
      </c>
    </row>
    <row r="12" spans="1:7" x14ac:dyDescent="0.2">
      <c r="A12" s="45" t="s">
        <v>685</v>
      </c>
    </row>
    <row r="13" spans="1:7" x14ac:dyDescent="0.2">
      <c r="A13" s="30" t="s">
        <v>215</v>
      </c>
      <c r="C13" s="30">
        <v>286.18</v>
      </c>
      <c r="D13" s="30">
        <v>230.59399999999999</v>
      </c>
    </row>
    <row r="14" spans="1:7" x14ac:dyDescent="0.2">
      <c r="A14" s="30" t="s">
        <v>62</v>
      </c>
      <c r="C14" s="30">
        <f>C13-$B$7</f>
        <v>71.765000000000015</v>
      </c>
      <c r="D14" s="30">
        <f>D13-$B$7</f>
        <v>16.179000000000002</v>
      </c>
    </row>
    <row r="15" spans="1:7" x14ac:dyDescent="0.2">
      <c r="A15" s="30" t="s">
        <v>214</v>
      </c>
      <c r="C15" s="30">
        <v>2.2610000000000001</v>
      </c>
      <c r="D15" s="30">
        <v>12.686999999999999</v>
      </c>
    </row>
    <row r="16" spans="1:7" x14ac:dyDescent="0.2">
      <c r="A16" s="30" t="s">
        <v>60</v>
      </c>
      <c r="C16" s="30">
        <f>SQRT((1+(C15^2)))</f>
        <v>2.4722704140121889</v>
      </c>
      <c r="D16" s="30">
        <f>SQRT((1+(D15^2)))</f>
        <v>12.726349398000982</v>
      </c>
    </row>
    <row r="17" spans="1:16" x14ac:dyDescent="0.2">
      <c r="A17" s="30" t="s">
        <v>59</v>
      </c>
      <c r="C17" s="30">
        <f>C14/$G$2</f>
        <v>1.0161322832232249</v>
      </c>
      <c r="D17" s="30">
        <f>D14/$G$2</f>
        <v>0.22908108702387733</v>
      </c>
    </row>
    <row r="19" spans="1:16" x14ac:dyDescent="0.2">
      <c r="A19" s="45" t="s">
        <v>684</v>
      </c>
      <c r="C19" s="30">
        <v>1</v>
      </c>
      <c r="D19" s="30">
        <v>1</v>
      </c>
      <c r="E19" s="30">
        <v>1</v>
      </c>
      <c r="F19" s="30">
        <v>1</v>
      </c>
      <c r="G19" s="30">
        <v>1</v>
      </c>
      <c r="H19" s="30">
        <v>1</v>
      </c>
    </row>
    <row r="20" spans="1:16" x14ac:dyDescent="0.2">
      <c r="A20" s="30" t="s">
        <v>215</v>
      </c>
      <c r="C20" s="30">
        <v>253.441</v>
      </c>
      <c r="D20" s="30">
        <v>298.85500000000002</v>
      </c>
      <c r="E20" s="30">
        <v>293.43</v>
      </c>
      <c r="F20" s="30">
        <v>292.16000000000003</v>
      </c>
      <c r="G20" s="30">
        <v>295.69099999999997</v>
      </c>
      <c r="H20" s="30">
        <v>310.12900000000002</v>
      </c>
      <c r="I20" s="30">
        <v>313.20699999999999</v>
      </c>
      <c r="J20" s="30">
        <v>290.89800000000002</v>
      </c>
      <c r="K20" s="30">
        <v>312.80500000000001</v>
      </c>
      <c r="L20" s="30">
        <v>349.22300000000001</v>
      </c>
      <c r="M20" s="30">
        <v>339.57299999999998</v>
      </c>
      <c r="N20" s="30">
        <v>294.44499999999999</v>
      </c>
      <c r="O20" s="30">
        <v>316.16800000000001</v>
      </c>
      <c r="P20" s="30">
        <v>270.21899999999999</v>
      </c>
    </row>
    <row r="21" spans="1:16" x14ac:dyDescent="0.2">
      <c r="A21" s="30" t="s">
        <v>62</v>
      </c>
      <c r="C21" s="30">
        <f t="shared" ref="C21:P21" si="0">C20-$B$7</f>
        <v>39.02600000000001</v>
      </c>
      <c r="D21" s="30">
        <f t="shared" si="0"/>
        <v>84.440000000000026</v>
      </c>
      <c r="E21" s="30">
        <f t="shared" si="0"/>
        <v>79.015000000000015</v>
      </c>
      <c r="F21" s="30">
        <f t="shared" si="0"/>
        <v>77.745000000000033</v>
      </c>
      <c r="G21" s="30">
        <f t="shared" si="0"/>
        <v>81.275999999999982</v>
      </c>
      <c r="H21" s="30">
        <f t="shared" si="0"/>
        <v>95.714000000000027</v>
      </c>
      <c r="I21" s="30">
        <f t="shared" si="0"/>
        <v>98.792000000000002</v>
      </c>
      <c r="J21" s="30">
        <f t="shared" si="0"/>
        <v>76.483000000000033</v>
      </c>
      <c r="K21" s="30">
        <f t="shared" si="0"/>
        <v>98.390000000000015</v>
      </c>
      <c r="L21" s="30">
        <f t="shared" si="0"/>
        <v>134.80800000000002</v>
      </c>
      <c r="M21" s="30">
        <f t="shared" si="0"/>
        <v>125.15799999999999</v>
      </c>
      <c r="N21" s="30">
        <f t="shared" si="0"/>
        <v>80.03</v>
      </c>
      <c r="O21" s="30">
        <f t="shared" si="0"/>
        <v>101.75300000000001</v>
      </c>
      <c r="P21" s="30">
        <f t="shared" si="0"/>
        <v>55.804000000000002</v>
      </c>
    </row>
    <row r="22" spans="1:16" x14ac:dyDescent="0.2">
      <c r="A22" s="30" t="s">
        <v>214</v>
      </c>
      <c r="C22" s="30">
        <v>10.891</v>
      </c>
      <c r="D22" s="30">
        <v>1.415</v>
      </c>
      <c r="E22" s="30">
        <v>0.98799999999999999</v>
      </c>
      <c r="F22" s="30">
        <v>1.335</v>
      </c>
      <c r="G22" s="30">
        <v>2.2330000000000001</v>
      </c>
      <c r="H22" s="30">
        <v>2.6970000000000001</v>
      </c>
      <c r="I22" s="30">
        <v>0.65400000000000003</v>
      </c>
      <c r="J22" s="30">
        <v>2.2839999999999998</v>
      </c>
      <c r="K22" s="30">
        <v>1.9750000000000001</v>
      </c>
      <c r="L22" s="30">
        <v>2.3780000000000001</v>
      </c>
      <c r="M22" s="30">
        <v>1.7769999999999999</v>
      </c>
      <c r="N22" s="30">
        <v>3.0289999999999999</v>
      </c>
      <c r="O22" s="30">
        <v>2.3479999999999999</v>
      </c>
      <c r="P22" s="30">
        <v>2.4449999999999998</v>
      </c>
    </row>
    <row r="23" spans="1:16" x14ac:dyDescent="0.2">
      <c r="A23" s="30" t="s">
        <v>60</v>
      </c>
      <c r="C23" s="30">
        <f t="shared" ref="C23:P23" si="1">SQRT((1+(C22^2)))</f>
        <v>10.936813109859745</v>
      </c>
      <c r="D23" s="30">
        <f t="shared" si="1"/>
        <v>1.7326929906939661</v>
      </c>
      <c r="E23" s="30">
        <f t="shared" si="1"/>
        <v>1.4057538902667139</v>
      </c>
      <c r="F23" s="30">
        <f t="shared" si="1"/>
        <v>1.6680002997601648</v>
      </c>
      <c r="G23" s="30">
        <f t="shared" si="1"/>
        <v>2.4466893958980571</v>
      </c>
      <c r="H23" s="30">
        <f t="shared" si="1"/>
        <v>2.8764229522099143</v>
      </c>
      <c r="I23" s="30">
        <f t="shared" si="1"/>
        <v>1.1948707043023525</v>
      </c>
      <c r="J23" s="30">
        <f t="shared" si="1"/>
        <v>2.493322281615435</v>
      </c>
      <c r="K23" s="30">
        <f t="shared" si="1"/>
        <v>2.213735530726288</v>
      </c>
      <c r="L23" s="30">
        <f t="shared" si="1"/>
        <v>2.5797061848202794</v>
      </c>
      <c r="M23" s="30">
        <f t="shared" si="1"/>
        <v>2.0390510047568697</v>
      </c>
      <c r="N23" s="30">
        <f t="shared" si="1"/>
        <v>3.1898026584727774</v>
      </c>
      <c r="O23" s="30">
        <f t="shared" si="1"/>
        <v>2.552078368702654</v>
      </c>
      <c r="P23" s="30">
        <f t="shared" si="1"/>
        <v>2.6415951620185858</v>
      </c>
    </row>
    <row r="24" spans="1:16" x14ac:dyDescent="0.2">
      <c r="A24" s="30" t="s">
        <v>59</v>
      </c>
      <c r="I24" s="30">
        <f t="shared" ref="I24:P24" si="2">I21/$G$2</f>
        <v>1.3988119629929467</v>
      </c>
      <c r="J24" s="30">
        <f t="shared" si="2"/>
        <v>1.0829352110048343</v>
      </c>
      <c r="K24" s="30">
        <f t="shared" si="2"/>
        <v>1.3931199797440688</v>
      </c>
      <c r="L24" s="30">
        <f t="shared" si="2"/>
        <v>1.9087683527730301</v>
      </c>
      <c r="M24" s="30">
        <f t="shared" si="2"/>
        <v>1.7721324364753341</v>
      </c>
      <c r="N24" s="30">
        <f t="shared" si="2"/>
        <v>1.1331577597206812</v>
      </c>
      <c r="O24" s="30">
        <f t="shared" si="2"/>
        <v>1.440737242594758</v>
      </c>
      <c r="P24" s="30">
        <f t="shared" si="2"/>
        <v>0.79013789358306752</v>
      </c>
    </row>
    <row r="26" spans="1:16" x14ac:dyDescent="0.2">
      <c r="A26" s="45" t="s">
        <v>683</v>
      </c>
      <c r="C26" s="30">
        <v>1</v>
      </c>
      <c r="D26" s="30">
        <v>1</v>
      </c>
      <c r="E26" s="30">
        <v>1</v>
      </c>
      <c r="F26" s="30">
        <v>1</v>
      </c>
    </row>
    <row r="27" spans="1:16" x14ac:dyDescent="0.2">
      <c r="A27" s="30" t="s">
        <v>215</v>
      </c>
      <c r="C27" s="30">
        <v>314.98</v>
      </c>
      <c r="D27" s="30">
        <v>271.89499999999998</v>
      </c>
      <c r="E27" s="30">
        <v>237.39099999999999</v>
      </c>
      <c r="F27" s="30">
        <v>273.42200000000003</v>
      </c>
      <c r="G27" s="30">
        <v>295.613</v>
      </c>
      <c r="H27" s="30">
        <v>298.93</v>
      </c>
      <c r="I27" s="30">
        <v>312.488</v>
      </c>
      <c r="J27" s="30">
        <v>315.58999999999997</v>
      </c>
      <c r="K27" s="30">
        <v>338.47699999999998</v>
      </c>
      <c r="L27" s="30">
        <v>324.62099999999998</v>
      </c>
      <c r="M27" s="30">
        <v>241.398</v>
      </c>
    </row>
    <row r="28" spans="1:16" x14ac:dyDescent="0.2">
      <c r="A28" s="30" t="s">
        <v>62</v>
      </c>
      <c r="C28" s="30">
        <f t="shared" ref="C28:M28" si="3">C27-$B$7</f>
        <v>100.56500000000003</v>
      </c>
      <c r="D28" s="30">
        <f t="shared" si="3"/>
        <v>57.47999999999999</v>
      </c>
      <c r="E28" s="30">
        <f t="shared" si="3"/>
        <v>22.975999999999999</v>
      </c>
      <c r="F28" s="30">
        <f t="shared" si="3"/>
        <v>59.007000000000033</v>
      </c>
      <c r="G28" s="30">
        <f t="shared" si="3"/>
        <v>81.198000000000008</v>
      </c>
      <c r="H28" s="30">
        <f t="shared" si="3"/>
        <v>84.515000000000015</v>
      </c>
      <c r="I28" s="30">
        <f t="shared" si="3"/>
        <v>98.073000000000008</v>
      </c>
      <c r="J28" s="30">
        <f t="shared" si="3"/>
        <v>101.17499999999998</v>
      </c>
      <c r="K28" s="30">
        <f t="shared" si="3"/>
        <v>124.06199999999998</v>
      </c>
      <c r="L28" s="30">
        <f t="shared" si="3"/>
        <v>110.20599999999999</v>
      </c>
      <c r="M28" s="30">
        <f t="shared" si="3"/>
        <v>26.983000000000004</v>
      </c>
    </row>
    <row r="29" spans="1:16" x14ac:dyDescent="0.2">
      <c r="A29" s="30" t="s">
        <v>214</v>
      </c>
      <c r="C29" s="30">
        <v>2.1800000000000002</v>
      </c>
      <c r="D29" s="30">
        <v>1.3580000000000001</v>
      </c>
      <c r="E29" s="30">
        <v>6.3070000000000004</v>
      </c>
      <c r="F29" s="30">
        <v>2.3620000000000001</v>
      </c>
      <c r="G29" s="30">
        <v>2.8519999999999999</v>
      </c>
      <c r="H29" s="30">
        <v>2.391</v>
      </c>
      <c r="I29" s="30">
        <v>1.2210000000000001</v>
      </c>
      <c r="J29" s="30">
        <v>1.161</v>
      </c>
      <c r="K29" s="30">
        <v>0.39200000000000002</v>
      </c>
      <c r="L29" s="30">
        <v>0.377</v>
      </c>
      <c r="M29" s="30">
        <v>2.278</v>
      </c>
    </row>
    <row r="30" spans="1:16" x14ac:dyDescent="0.2">
      <c r="A30" s="30" t="s">
        <v>60</v>
      </c>
      <c r="C30" s="30">
        <f t="shared" ref="C30:M30" si="4">SQRT((4+(C29^2)))</f>
        <v>2.9584455377782435</v>
      </c>
      <c r="D30" s="30">
        <f t="shared" si="4"/>
        <v>2.4174705789316238</v>
      </c>
      <c r="E30" s="30">
        <f t="shared" si="4"/>
        <v>6.6165133567461343</v>
      </c>
      <c r="F30" s="30">
        <f t="shared" si="4"/>
        <v>3.0950030694653599</v>
      </c>
      <c r="G30" s="30">
        <f t="shared" si="4"/>
        <v>3.4833753745469349</v>
      </c>
      <c r="H30" s="30">
        <f t="shared" si="4"/>
        <v>3.1171912036318852</v>
      </c>
      <c r="I30" s="30">
        <f t="shared" si="4"/>
        <v>2.3432543609262741</v>
      </c>
      <c r="J30" s="30">
        <f t="shared" si="4"/>
        <v>2.312557242534766</v>
      </c>
      <c r="K30" s="30">
        <f t="shared" si="4"/>
        <v>2.0380539737700767</v>
      </c>
      <c r="L30" s="30">
        <f t="shared" si="4"/>
        <v>2.0352221009020122</v>
      </c>
      <c r="M30" s="30">
        <f t="shared" si="4"/>
        <v>3.0313831826412181</v>
      </c>
    </row>
    <row r="31" spans="1:16" x14ac:dyDescent="0.2">
      <c r="A31" s="30" t="s">
        <v>59</v>
      </c>
      <c r="G31" s="30">
        <f t="shared" ref="G31:M31" si="5">G28/$G$2</f>
        <v>1.1496956612995111</v>
      </c>
      <c r="H31" s="30">
        <f t="shared" si="5"/>
        <v>1.1966616026839108</v>
      </c>
      <c r="I31" s="30">
        <f t="shared" si="5"/>
        <v>1.3886315252915953</v>
      </c>
      <c r="J31" s="30">
        <f t="shared" si="5"/>
        <v>1.4325532467792064</v>
      </c>
      <c r="K31" s="30">
        <f t="shared" si="5"/>
        <v>1.7566139945828705</v>
      </c>
      <c r="L31" s="30">
        <f t="shared" si="5"/>
        <v>1.5604246416066145</v>
      </c>
      <c r="M31" s="30">
        <f t="shared" si="5"/>
        <v>0.38205667662805376</v>
      </c>
    </row>
    <row r="33" spans="1:6" x14ac:dyDescent="0.2">
      <c r="A33" s="45" t="s">
        <v>682</v>
      </c>
      <c r="C33" s="30">
        <v>1</v>
      </c>
      <c r="D33" s="30">
        <v>1</v>
      </c>
      <c r="E33" s="30">
        <v>1</v>
      </c>
    </row>
    <row r="34" spans="1:6" x14ac:dyDescent="0.2">
      <c r="A34" s="30" t="s">
        <v>215</v>
      </c>
      <c r="C34" s="30">
        <v>270.48</v>
      </c>
      <c r="D34" s="30">
        <v>304.34800000000001</v>
      </c>
      <c r="E34" s="30">
        <v>294.20299999999997</v>
      </c>
      <c r="F34" s="30">
        <v>265.08600000000001</v>
      </c>
    </row>
    <row r="35" spans="1:6" x14ac:dyDescent="0.2">
      <c r="A35" s="30" t="s">
        <v>62</v>
      </c>
      <c r="C35" s="30">
        <f>C34-$B$7</f>
        <v>56.065000000000026</v>
      </c>
      <c r="D35" s="30">
        <f>D34-$B$7</f>
        <v>89.933000000000021</v>
      </c>
      <c r="E35" s="30">
        <f>E34-$B$7</f>
        <v>79.787999999999982</v>
      </c>
      <c r="F35" s="30">
        <f>F34-$B$7</f>
        <v>50.671000000000021</v>
      </c>
    </row>
    <row r="36" spans="1:6" x14ac:dyDescent="0.2">
      <c r="A36" s="30" t="s">
        <v>214</v>
      </c>
      <c r="C36" s="30">
        <v>2.931</v>
      </c>
      <c r="D36" s="30">
        <v>2.1850000000000001</v>
      </c>
      <c r="E36" s="30">
        <v>2.0859999999999999</v>
      </c>
      <c r="F36" s="30">
        <v>1.0469999999999999</v>
      </c>
    </row>
    <row r="37" spans="1:6" x14ac:dyDescent="0.2">
      <c r="A37" s="30" t="s">
        <v>60</v>
      </c>
      <c r="C37" s="30">
        <f>SQRT((9+(C36^2)))</f>
        <v>4.1941341180272245</v>
      </c>
      <c r="D37" s="30">
        <f>SQRT((9+(D36^2)))</f>
        <v>3.7113643044034363</v>
      </c>
      <c r="E37" s="30">
        <f>SQRT((9+(E36^2)))</f>
        <v>3.6539562121076381</v>
      </c>
      <c r="F37" s="30">
        <f>SQRT((9+(F36^2)))</f>
        <v>3.1774532254621781</v>
      </c>
    </row>
    <row r="38" spans="1:6" x14ac:dyDescent="0.2">
      <c r="A38" s="30" t="s">
        <v>59</v>
      </c>
      <c r="F38" s="30">
        <f>F35/$G$2</f>
        <v>0.7174589134425422</v>
      </c>
    </row>
    <row r="40" spans="1:6" x14ac:dyDescent="0.2">
      <c r="A40" s="45" t="s">
        <v>681</v>
      </c>
      <c r="C40" s="30">
        <v>1</v>
      </c>
    </row>
    <row r="41" spans="1:6" x14ac:dyDescent="0.2">
      <c r="A41" s="30" t="s">
        <v>215</v>
      </c>
      <c r="C41" s="30">
        <v>285.39499999999998</v>
      </c>
    </row>
    <row r="42" spans="1:6" x14ac:dyDescent="0.2">
      <c r="A42" s="30" t="s">
        <v>62</v>
      </c>
      <c r="C42" s="30">
        <f>C41-B7</f>
        <v>70.97999999999999</v>
      </c>
    </row>
    <row r="43" spans="1:6" x14ac:dyDescent="0.2">
      <c r="A43" s="30" t="s">
        <v>214</v>
      </c>
      <c r="C43" s="30">
        <v>1.87</v>
      </c>
    </row>
    <row r="44" spans="1:6" x14ac:dyDescent="0.2">
      <c r="A44" s="30" t="s">
        <v>60</v>
      </c>
      <c r="C44" s="30">
        <f>SQRT((16+(C43^2)))</f>
        <v>4.4155294133319956</v>
      </c>
    </row>
    <row r="45" spans="1:6" x14ac:dyDescent="0.2">
      <c r="A45" s="30" t="s">
        <v>59</v>
      </c>
    </row>
    <row r="47" spans="1:6" x14ac:dyDescent="0.2">
      <c r="A47" s="45" t="s">
        <v>680</v>
      </c>
      <c r="C47" s="30">
        <v>1</v>
      </c>
    </row>
    <row r="48" spans="1:6" x14ac:dyDescent="0.2">
      <c r="A48" s="30" t="s">
        <v>215</v>
      </c>
      <c r="C48" s="30">
        <v>273.77</v>
      </c>
    </row>
    <row r="49" spans="1:3" x14ac:dyDescent="0.2">
      <c r="A49" s="30" t="s">
        <v>62</v>
      </c>
      <c r="C49" s="30">
        <f>C48-B7</f>
        <v>59.35499999999999</v>
      </c>
    </row>
    <row r="50" spans="1:3" x14ac:dyDescent="0.2">
      <c r="A50" s="30" t="s">
        <v>214</v>
      </c>
      <c r="C50" s="30">
        <v>15.144</v>
      </c>
    </row>
    <row r="51" spans="1:3" x14ac:dyDescent="0.2">
      <c r="A51" s="30" t="s">
        <v>60</v>
      </c>
      <c r="C51" s="30">
        <f>SQRT((36+(C50^2)))</f>
        <v>16.289282857142606</v>
      </c>
    </row>
    <row r="52" spans="1:3" x14ac:dyDescent="0.2">
      <c r="A52" s="30" t="s">
        <v>59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3D94-EBCE-AF41-A488-CC3D3C8F3F36}">
  <dimension ref="A1:O73"/>
  <sheetViews>
    <sheetView workbookViewId="0">
      <selection activeCell="Q41" sqref="Q41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10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0" x14ac:dyDescent="0.2">
      <c r="A2" s="30" t="s">
        <v>643</v>
      </c>
      <c r="B2" s="42">
        <v>45229</v>
      </c>
      <c r="C2" s="30" t="s">
        <v>222</v>
      </c>
      <c r="E2" s="30">
        <v>45.927</v>
      </c>
      <c r="G2" s="30">
        <f>AVERAGE(C8:D8,C14:E14,C21:E21,C35:D35,C42:F42,C49:G49,C56:D56,C63)</f>
        <v>159.85331818181814</v>
      </c>
    </row>
    <row r="4" spans="1:10" x14ac:dyDescent="0.2">
      <c r="A4" s="30" t="s">
        <v>662</v>
      </c>
    </row>
    <row r="6" spans="1:10" x14ac:dyDescent="0.2">
      <c r="A6" s="45" t="s">
        <v>666</v>
      </c>
      <c r="B6" s="30" t="s">
        <v>235</v>
      </c>
      <c r="C6" s="30">
        <v>1</v>
      </c>
      <c r="D6" s="30">
        <v>1</v>
      </c>
    </row>
    <row r="7" spans="1:10" x14ac:dyDescent="0.2">
      <c r="A7" s="30" t="s">
        <v>215</v>
      </c>
      <c r="B7" s="30">
        <v>217.90100000000001</v>
      </c>
      <c r="C7" s="30">
        <v>420.30500000000001</v>
      </c>
      <c r="D7" s="30">
        <v>374.99599999999998</v>
      </c>
      <c r="E7" s="30">
        <v>498.14499999999998</v>
      </c>
      <c r="F7" s="30">
        <v>575.15599999999995</v>
      </c>
      <c r="G7" s="30">
        <v>436.80900000000003</v>
      </c>
      <c r="H7" s="30">
        <v>488.71899999999999</v>
      </c>
      <c r="I7" s="30">
        <v>533.76599999999996</v>
      </c>
      <c r="J7" s="30">
        <v>549.17999999999995</v>
      </c>
    </row>
    <row r="8" spans="1:10" x14ac:dyDescent="0.2">
      <c r="A8" s="30" t="s">
        <v>62</v>
      </c>
      <c r="C8" s="30">
        <f t="shared" ref="C8:J8" si="0">C7-$B$7</f>
        <v>202.404</v>
      </c>
      <c r="D8" s="30">
        <f t="shared" si="0"/>
        <v>157.09499999999997</v>
      </c>
      <c r="E8" s="30">
        <f t="shared" si="0"/>
        <v>280.24399999999997</v>
      </c>
      <c r="F8" s="30">
        <f t="shared" si="0"/>
        <v>357.25499999999994</v>
      </c>
      <c r="G8" s="30">
        <f t="shared" si="0"/>
        <v>218.90800000000002</v>
      </c>
      <c r="H8" s="30">
        <f t="shared" si="0"/>
        <v>270.81799999999998</v>
      </c>
      <c r="I8" s="30">
        <f t="shared" si="0"/>
        <v>315.86499999999995</v>
      </c>
      <c r="J8" s="30">
        <f t="shared" si="0"/>
        <v>331.27899999999994</v>
      </c>
    </row>
    <row r="9" spans="1:10" x14ac:dyDescent="0.2">
      <c r="A9" s="30" t="s">
        <v>214</v>
      </c>
      <c r="C9" s="30">
        <v>2.8370000000000002</v>
      </c>
      <c r="D9" s="30">
        <v>1.1140000000000001</v>
      </c>
      <c r="E9" s="30">
        <v>1.4650000000000001</v>
      </c>
      <c r="F9" s="30">
        <v>2.2770000000000001</v>
      </c>
      <c r="G9" s="30">
        <v>3.1880000000000002</v>
      </c>
      <c r="H9" s="30">
        <v>2.2559999999999998</v>
      </c>
      <c r="I9" s="30">
        <v>3.0270000000000001</v>
      </c>
      <c r="J9" s="30">
        <v>2.3879999999999999</v>
      </c>
    </row>
    <row r="10" spans="1:10" x14ac:dyDescent="0.2">
      <c r="A10" s="30" t="s">
        <v>59</v>
      </c>
      <c r="E10" s="30">
        <f t="shared" ref="E10:J10" si="1">E8/$G$2</f>
        <v>1.7531322038698549</v>
      </c>
      <c r="F10" s="30">
        <f t="shared" si="1"/>
        <v>2.234892613199658</v>
      </c>
      <c r="G10" s="30">
        <f t="shared" si="1"/>
        <v>1.3694304409184219</v>
      </c>
      <c r="H10" s="30">
        <f t="shared" si="1"/>
        <v>1.6941656456074934</v>
      </c>
      <c r="I10" s="30">
        <f t="shared" si="1"/>
        <v>1.9759677408806313</v>
      </c>
      <c r="J10" s="30">
        <f t="shared" si="1"/>
        <v>2.0723936404197829</v>
      </c>
    </row>
    <row r="12" spans="1:10" x14ac:dyDescent="0.2">
      <c r="A12" s="45" t="s">
        <v>657</v>
      </c>
      <c r="C12" s="30">
        <v>1</v>
      </c>
      <c r="D12" s="30">
        <v>1</v>
      </c>
      <c r="E12" s="30">
        <v>1</v>
      </c>
    </row>
    <row r="13" spans="1:10" x14ac:dyDescent="0.2">
      <c r="A13" s="30" t="s">
        <v>215</v>
      </c>
      <c r="C13" s="30">
        <v>284.68400000000003</v>
      </c>
      <c r="D13" s="30">
        <v>386.41800000000001</v>
      </c>
      <c r="E13" s="30">
        <v>338.14800000000002</v>
      </c>
      <c r="F13" s="30">
        <v>433.39800000000002</v>
      </c>
      <c r="G13" s="30">
        <v>458.59</v>
      </c>
      <c r="H13" s="30">
        <v>321.10899999999998</v>
      </c>
    </row>
    <row r="14" spans="1:10" x14ac:dyDescent="0.2">
      <c r="A14" s="30" t="s">
        <v>62</v>
      </c>
      <c r="C14" s="30">
        <f t="shared" ref="C14:H14" si="2">C13-$B$7</f>
        <v>66.783000000000015</v>
      </c>
      <c r="D14" s="30">
        <f t="shared" si="2"/>
        <v>168.517</v>
      </c>
      <c r="E14" s="30">
        <f t="shared" si="2"/>
        <v>120.24700000000001</v>
      </c>
      <c r="F14" s="30">
        <f t="shared" si="2"/>
        <v>215.49700000000001</v>
      </c>
      <c r="G14" s="30">
        <f t="shared" si="2"/>
        <v>240.68899999999996</v>
      </c>
      <c r="H14" s="30">
        <f t="shared" si="2"/>
        <v>103.20799999999997</v>
      </c>
    </row>
    <row r="15" spans="1:10" x14ac:dyDescent="0.2">
      <c r="A15" s="30" t="s">
        <v>214</v>
      </c>
      <c r="C15" s="30">
        <v>5.3470000000000004</v>
      </c>
      <c r="D15" s="30">
        <v>1.861</v>
      </c>
      <c r="E15" s="30">
        <v>1.2809999999999999</v>
      </c>
      <c r="F15" s="30">
        <v>1.6259999999999999</v>
      </c>
      <c r="G15" s="30">
        <v>0.92</v>
      </c>
      <c r="H15" s="30">
        <v>1.337</v>
      </c>
    </row>
    <row r="16" spans="1:10" x14ac:dyDescent="0.2">
      <c r="A16" s="30" t="s">
        <v>60</v>
      </c>
      <c r="C16" s="30">
        <f t="shared" ref="C16:H16" si="3">SQRT((1+(C15^2)))</f>
        <v>5.4397067016522138</v>
      </c>
      <c r="D16" s="30">
        <f t="shared" si="3"/>
        <v>2.1126573314193671</v>
      </c>
      <c r="E16" s="30">
        <f t="shared" si="3"/>
        <v>1.6251033813268618</v>
      </c>
      <c r="F16" s="30">
        <f t="shared" si="3"/>
        <v>1.9088939205728535</v>
      </c>
      <c r="G16" s="30">
        <f t="shared" si="3"/>
        <v>1.3588230201170424</v>
      </c>
      <c r="H16" s="30">
        <f t="shared" si="3"/>
        <v>1.6696014494483407</v>
      </c>
    </row>
    <row r="17" spans="1:8" x14ac:dyDescent="0.2">
      <c r="A17" s="30" t="s">
        <v>59</v>
      </c>
      <c r="F17" s="30">
        <f>F14/$G$2</f>
        <v>1.3480921287782868</v>
      </c>
      <c r="G17" s="30">
        <f>G14/$G$2</f>
        <v>1.5056866053054891</v>
      </c>
      <c r="H17" s="30">
        <f>H14/$G$2</f>
        <v>0.64564189954825058</v>
      </c>
    </row>
    <row r="19" spans="1:8" x14ac:dyDescent="0.2">
      <c r="A19" s="45" t="s">
        <v>665</v>
      </c>
      <c r="C19" s="30">
        <v>1</v>
      </c>
      <c r="D19" s="30">
        <v>1</v>
      </c>
      <c r="E19" s="30">
        <v>1</v>
      </c>
    </row>
    <row r="20" spans="1:8" x14ac:dyDescent="0.2">
      <c r="A20" s="30" t="s">
        <v>215</v>
      </c>
      <c r="C20" s="30">
        <v>285.69900000000001</v>
      </c>
      <c r="D20" s="30">
        <v>285.23399999999998</v>
      </c>
      <c r="E20" s="30">
        <v>277.39100000000002</v>
      </c>
      <c r="F20" s="30">
        <v>521.07799999999997</v>
      </c>
      <c r="G20" s="30">
        <v>416.46100000000001</v>
      </c>
    </row>
    <row r="21" spans="1:8" x14ac:dyDescent="0.2">
      <c r="A21" s="30" t="s">
        <v>62</v>
      </c>
      <c r="C21" s="30">
        <f>C20-$B$7</f>
        <v>67.798000000000002</v>
      </c>
      <c r="D21" s="30">
        <f>D20-$B$7</f>
        <v>67.33299999999997</v>
      </c>
      <c r="E21" s="30">
        <f>E20-$B$7</f>
        <v>59.490000000000009</v>
      </c>
      <c r="F21" s="30">
        <f>F20-$B$7</f>
        <v>303.17699999999996</v>
      </c>
      <c r="G21" s="30">
        <f>G20-$B$7</f>
        <v>198.56</v>
      </c>
    </row>
    <row r="22" spans="1:8" x14ac:dyDescent="0.2">
      <c r="A22" s="30" t="s">
        <v>214</v>
      </c>
      <c r="C22" s="30">
        <v>5.4480000000000004</v>
      </c>
      <c r="D22" s="30">
        <v>13.446999999999999</v>
      </c>
      <c r="E22" s="30">
        <v>16.562000000000001</v>
      </c>
      <c r="F22" s="30">
        <v>1.752</v>
      </c>
      <c r="G22" s="30">
        <v>1.6319999999999999</v>
      </c>
    </row>
    <row r="23" spans="1:8" x14ac:dyDescent="0.2">
      <c r="A23" s="30" t="s">
        <v>60</v>
      </c>
      <c r="C23" s="30">
        <f>SQRT((4+(C22^2)))</f>
        <v>5.8035079047072902</v>
      </c>
      <c r="D23" s="30">
        <f>SQRT((4+(D22^2)))</f>
        <v>13.594918499204031</v>
      </c>
      <c r="E23" s="30">
        <f>SQRT((4+(E22^2)))</f>
        <v>16.682321301305766</v>
      </c>
      <c r="F23" s="30">
        <f>SQRT((4+(F22^2)))</f>
        <v>2.6588538884263651</v>
      </c>
      <c r="G23" s="30">
        <f>SQRT((4+(G22^2)))</f>
        <v>2.5813608813957027</v>
      </c>
    </row>
    <row r="24" spans="1:8" x14ac:dyDescent="0.2">
      <c r="A24" s="30" t="s">
        <v>59</v>
      </c>
      <c r="F24" s="30">
        <f>F21/$G$2</f>
        <v>1.8965949749955431</v>
      </c>
      <c r="G24" s="30">
        <f>G21/$G$2</f>
        <v>1.2421387448095176</v>
      </c>
    </row>
    <row r="26" spans="1:8" x14ac:dyDescent="0.2">
      <c r="A26" s="45" t="s">
        <v>664</v>
      </c>
    </row>
    <row r="27" spans="1:8" x14ac:dyDescent="0.2">
      <c r="A27" s="30" t="s">
        <v>215</v>
      </c>
      <c r="C27" s="30">
        <v>283.60500000000002</v>
      </c>
    </row>
    <row r="28" spans="1:8" x14ac:dyDescent="0.2">
      <c r="A28" s="30" t="s">
        <v>62</v>
      </c>
      <c r="C28" s="30">
        <f>C27-B7</f>
        <v>65.704000000000008</v>
      </c>
    </row>
    <row r="29" spans="1:8" x14ac:dyDescent="0.2">
      <c r="A29" s="30" t="s">
        <v>214</v>
      </c>
      <c r="C29" s="30">
        <v>16.744</v>
      </c>
    </row>
    <row r="30" spans="1:8" x14ac:dyDescent="0.2">
      <c r="A30" s="30" t="s">
        <v>60</v>
      </c>
      <c r="C30" s="30">
        <f>SQRT((9+(C29^2)))</f>
        <v>17.010630088271274</v>
      </c>
    </row>
    <row r="31" spans="1:8" x14ac:dyDescent="0.2">
      <c r="A31" s="30" t="s">
        <v>59</v>
      </c>
      <c r="C31" s="30">
        <f>C28/G2</f>
        <v>0.4110268135020374</v>
      </c>
    </row>
    <row r="33" spans="1:15" x14ac:dyDescent="0.2">
      <c r="A33" s="45" t="s">
        <v>659</v>
      </c>
      <c r="C33" s="30">
        <v>1</v>
      </c>
      <c r="D33" s="30">
        <v>1</v>
      </c>
    </row>
    <row r="34" spans="1:15" x14ac:dyDescent="0.2">
      <c r="A34" s="30" t="s">
        <v>215</v>
      </c>
      <c r="C34" s="30">
        <v>286.97300000000001</v>
      </c>
      <c r="D34" s="30">
        <v>390.95299999999997</v>
      </c>
      <c r="E34" s="30">
        <v>499.56599999999997</v>
      </c>
      <c r="F34" s="30">
        <v>629.47299999999996</v>
      </c>
      <c r="G34" s="30">
        <v>461.53100000000001</v>
      </c>
      <c r="H34" s="30">
        <v>798.60900000000004</v>
      </c>
      <c r="I34" s="30">
        <v>708.77700000000004</v>
      </c>
      <c r="J34" s="30">
        <v>653.45299999999997</v>
      </c>
      <c r="K34" s="30">
        <v>828.52</v>
      </c>
      <c r="L34" s="30">
        <v>748.95299999999997</v>
      </c>
    </row>
    <row r="35" spans="1:15" x14ac:dyDescent="0.2">
      <c r="A35" s="30" t="s">
        <v>62</v>
      </c>
      <c r="C35" s="30">
        <f t="shared" ref="C35:L35" si="4">C34-$B$7</f>
        <v>69.072000000000003</v>
      </c>
      <c r="D35" s="30">
        <f t="shared" si="4"/>
        <v>173.05199999999996</v>
      </c>
      <c r="E35" s="30">
        <f t="shared" si="4"/>
        <v>281.66499999999996</v>
      </c>
      <c r="F35" s="30">
        <f t="shared" si="4"/>
        <v>411.57199999999995</v>
      </c>
      <c r="G35" s="30">
        <f t="shared" si="4"/>
        <v>243.63</v>
      </c>
      <c r="H35" s="30">
        <f t="shared" si="4"/>
        <v>580.70800000000008</v>
      </c>
      <c r="I35" s="30">
        <f t="shared" si="4"/>
        <v>490.87600000000003</v>
      </c>
      <c r="J35" s="30">
        <f t="shared" si="4"/>
        <v>435.55199999999996</v>
      </c>
      <c r="K35" s="30">
        <f t="shared" si="4"/>
        <v>610.61899999999991</v>
      </c>
      <c r="L35" s="30">
        <f t="shared" si="4"/>
        <v>531.05199999999991</v>
      </c>
    </row>
    <row r="36" spans="1:15" x14ac:dyDescent="0.2">
      <c r="A36" s="30" t="s">
        <v>214</v>
      </c>
      <c r="C36" s="30">
        <v>10.548</v>
      </c>
      <c r="D36" s="30">
        <v>2.6219999999999999</v>
      </c>
      <c r="E36" s="30">
        <v>3.1280000000000001</v>
      </c>
      <c r="F36" s="30">
        <v>2.1619999999999999</v>
      </c>
      <c r="G36" s="30">
        <v>1.609</v>
      </c>
      <c r="H36" s="30">
        <v>3.1629999999999998</v>
      </c>
      <c r="I36" s="30">
        <v>3.637</v>
      </c>
      <c r="J36" s="30">
        <v>2.9220000000000002</v>
      </c>
      <c r="K36" s="30">
        <v>1.9650000000000001</v>
      </c>
      <c r="L36" s="30">
        <v>2.5739999999999998</v>
      </c>
    </row>
    <row r="37" spans="1:15" x14ac:dyDescent="0.2">
      <c r="A37" s="30" t="s">
        <v>60</v>
      </c>
      <c r="C37" s="30">
        <f t="shared" ref="C37:L37" si="5">SQRT((1+(C36^2)))</f>
        <v>10.595296314874822</v>
      </c>
      <c r="D37" s="30">
        <f t="shared" si="5"/>
        <v>2.8062223718016361</v>
      </c>
      <c r="E37" s="30">
        <f t="shared" si="5"/>
        <v>3.2839585868277941</v>
      </c>
      <c r="F37" s="30">
        <f t="shared" si="5"/>
        <v>2.3820671694979549</v>
      </c>
      <c r="G37" s="30">
        <f t="shared" si="5"/>
        <v>1.8944342163295087</v>
      </c>
      <c r="H37" s="30">
        <f t="shared" si="5"/>
        <v>3.3173135215110432</v>
      </c>
      <c r="I37" s="30">
        <f t="shared" si="5"/>
        <v>3.7719715004225578</v>
      </c>
      <c r="J37" s="30">
        <f t="shared" si="5"/>
        <v>3.0883788627692685</v>
      </c>
      <c r="K37" s="30">
        <f t="shared" si="5"/>
        <v>2.2048185866415406</v>
      </c>
      <c r="L37" s="30">
        <f t="shared" si="5"/>
        <v>2.7614264429819597</v>
      </c>
    </row>
    <row r="38" spans="1:15" x14ac:dyDescent="0.2">
      <c r="A38" s="30" t="s">
        <v>59</v>
      </c>
      <c r="E38" s="30">
        <f t="shared" ref="E38:L38" si="6">E35/$G$2</f>
        <v>1.7620216033278238</v>
      </c>
      <c r="F38" s="30">
        <f t="shared" si="6"/>
        <v>2.5746853720726364</v>
      </c>
      <c r="G38" s="30">
        <f t="shared" si="6"/>
        <v>1.5240847219880276</v>
      </c>
      <c r="H38" s="30">
        <f t="shared" si="6"/>
        <v>3.6327553697665458</v>
      </c>
      <c r="I38" s="30">
        <f t="shared" si="6"/>
        <v>3.070790181794504</v>
      </c>
      <c r="J38" s="30">
        <f t="shared" si="6"/>
        <v>2.7246978977602483</v>
      </c>
      <c r="K38" s="30">
        <f t="shared" si="6"/>
        <v>3.8198706598350252</v>
      </c>
      <c r="L38" s="30">
        <f t="shared" si="6"/>
        <v>3.3221205918039067</v>
      </c>
    </row>
    <row r="40" spans="1:15" x14ac:dyDescent="0.2">
      <c r="A40" s="45" t="s">
        <v>660</v>
      </c>
      <c r="C40" s="30">
        <v>1</v>
      </c>
      <c r="D40" s="30">
        <v>1</v>
      </c>
      <c r="E40" s="30">
        <v>1</v>
      </c>
      <c r="F40" s="30">
        <v>1</v>
      </c>
    </row>
    <row r="41" spans="1:15" x14ac:dyDescent="0.2">
      <c r="A41" s="30" t="s">
        <v>215</v>
      </c>
      <c r="C41" s="30">
        <v>437.46899999999999</v>
      </c>
      <c r="D41" s="30">
        <v>431.81599999999997</v>
      </c>
      <c r="E41" s="30">
        <v>319.89499999999998</v>
      </c>
      <c r="F41" s="30">
        <v>394.16399999999999</v>
      </c>
      <c r="G41" s="30">
        <v>351.44499999999999</v>
      </c>
      <c r="H41" s="30">
        <v>346.28699999999998</v>
      </c>
      <c r="I41" s="30">
        <v>667.5</v>
      </c>
      <c r="J41" s="30">
        <v>545.48400000000004</v>
      </c>
      <c r="K41" s="30">
        <v>528.39099999999996</v>
      </c>
      <c r="L41" s="30">
        <v>776.39099999999996</v>
      </c>
      <c r="M41" s="30">
        <v>1059.1759999999999</v>
      </c>
      <c r="N41" s="30">
        <v>823.43</v>
      </c>
      <c r="O41" s="30">
        <v>624.94899999999996</v>
      </c>
    </row>
    <row r="42" spans="1:15" x14ac:dyDescent="0.2">
      <c r="A42" s="30" t="s">
        <v>62</v>
      </c>
      <c r="C42" s="30">
        <f t="shared" ref="C42:O42" si="7">C41-$B$7</f>
        <v>219.56799999999998</v>
      </c>
      <c r="D42" s="30">
        <f t="shared" si="7"/>
        <v>213.91499999999996</v>
      </c>
      <c r="E42" s="30">
        <f t="shared" si="7"/>
        <v>101.99399999999997</v>
      </c>
      <c r="F42" s="30">
        <f t="shared" si="7"/>
        <v>176.26299999999998</v>
      </c>
      <c r="G42" s="30">
        <f t="shared" si="7"/>
        <v>133.54399999999998</v>
      </c>
      <c r="H42" s="30">
        <f t="shared" si="7"/>
        <v>128.38599999999997</v>
      </c>
      <c r="I42" s="30">
        <f t="shared" si="7"/>
        <v>449.59899999999999</v>
      </c>
      <c r="J42" s="30">
        <f t="shared" si="7"/>
        <v>327.58300000000003</v>
      </c>
      <c r="K42" s="30">
        <f t="shared" si="7"/>
        <v>310.48999999999995</v>
      </c>
      <c r="L42" s="30">
        <f t="shared" si="7"/>
        <v>558.49</v>
      </c>
      <c r="M42" s="30">
        <f t="shared" si="7"/>
        <v>841.27499999999986</v>
      </c>
      <c r="N42" s="30">
        <f t="shared" si="7"/>
        <v>605.529</v>
      </c>
      <c r="O42" s="30">
        <f t="shared" si="7"/>
        <v>407.04799999999994</v>
      </c>
    </row>
    <row r="43" spans="1:15" x14ac:dyDescent="0.2">
      <c r="A43" s="30" t="s">
        <v>214</v>
      </c>
      <c r="C43" s="30">
        <v>3.0539999999999998</v>
      </c>
      <c r="D43" s="30">
        <v>3.024</v>
      </c>
      <c r="E43" s="30">
        <v>2.3109999999999999</v>
      </c>
      <c r="F43" s="30">
        <v>18.228000000000002</v>
      </c>
      <c r="G43" s="30">
        <v>3.6869999999999998</v>
      </c>
      <c r="H43" s="30">
        <v>2.3940000000000001</v>
      </c>
      <c r="I43" s="30">
        <v>0.52</v>
      </c>
      <c r="J43" s="30">
        <v>0.42399999999999999</v>
      </c>
      <c r="K43" s="30">
        <v>0.184</v>
      </c>
      <c r="L43" s="30">
        <v>2.706</v>
      </c>
      <c r="M43" s="30">
        <v>2.56</v>
      </c>
      <c r="N43" s="30">
        <v>2.8530000000000002</v>
      </c>
      <c r="O43" s="30">
        <v>3.4049999999999998</v>
      </c>
    </row>
    <row r="44" spans="1:15" x14ac:dyDescent="0.2">
      <c r="A44" s="30" t="s">
        <v>60</v>
      </c>
      <c r="C44" s="30">
        <f t="shared" ref="C44:O44" si="8">SQRT((4+(C43^2)))</f>
        <v>3.650604881386097</v>
      </c>
      <c r="D44" s="30">
        <f t="shared" si="8"/>
        <v>3.6255449245596174</v>
      </c>
      <c r="E44" s="30">
        <f t="shared" si="8"/>
        <v>3.0562593149142301</v>
      </c>
      <c r="F44" s="30">
        <f t="shared" si="8"/>
        <v>18.337393053539536</v>
      </c>
      <c r="G44" s="30">
        <f t="shared" si="8"/>
        <v>4.1945165394834243</v>
      </c>
      <c r="H44" s="30">
        <f t="shared" si="8"/>
        <v>3.1194929075091675</v>
      </c>
      <c r="I44" s="30">
        <f t="shared" si="8"/>
        <v>2.0664946164943183</v>
      </c>
      <c r="J44" s="30">
        <f t="shared" si="8"/>
        <v>2.0444500483014987</v>
      </c>
      <c r="K44" s="30">
        <f t="shared" si="8"/>
        <v>2.0084461655717836</v>
      </c>
      <c r="L44" s="30">
        <f t="shared" si="8"/>
        <v>3.3648827617021073</v>
      </c>
      <c r="M44" s="30">
        <f t="shared" si="8"/>
        <v>3.2486304806795125</v>
      </c>
      <c r="N44" s="30">
        <f t="shared" si="8"/>
        <v>3.4841941679533308</v>
      </c>
      <c r="O44" s="30">
        <f t="shared" si="8"/>
        <v>3.948927069470896</v>
      </c>
    </row>
    <row r="45" spans="1:15" x14ac:dyDescent="0.2">
      <c r="A45" s="30" t="s">
        <v>59</v>
      </c>
      <c r="G45" s="30">
        <f t="shared" ref="G45:O45" si="9">G42/$G$2</f>
        <v>0.83541587699860087</v>
      </c>
      <c r="H45" s="30">
        <f t="shared" si="9"/>
        <v>0.80314879578522702</v>
      </c>
      <c r="I45" s="30">
        <f t="shared" si="9"/>
        <v>2.8125722075323036</v>
      </c>
      <c r="J45" s="30">
        <f t="shared" si="9"/>
        <v>2.0492724438000414</v>
      </c>
      <c r="K45" s="30">
        <f t="shared" si="9"/>
        <v>1.9423431651687502</v>
      </c>
      <c r="L45" s="30">
        <f t="shared" si="9"/>
        <v>3.4937654491774146</v>
      </c>
      <c r="M45" s="30">
        <f t="shared" si="9"/>
        <v>5.262793475723341</v>
      </c>
      <c r="N45" s="30">
        <f t="shared" si="9"/>
        <v>3.7880289686027515</v>
      </c>
      <c r="O45" s="30">
        <f t="shared" si="9"/>
        <v>2.5463844268595106</v>
      </c>
    </row>
    <row r="47" spans="1:15" x14ac:dyDescent="0.2">
      <c r="A47" s="45" t="s">
        <v>663</v>
      </c>
      <c r="C47" s="30">
        <v>1</v>
      </c>
      <c r="D47" s="30">
        <v>1</v>
      </c>
      <c r="E47" s="30">
        <v>1</v>
      </c>
      <c r="F47" s="30">
        <v>1</v>
      </c>
      <c r="G47" s="30">
        <v>1</v>
      </c>
    </row>
    <row r="48" spans="1:15" x14ac:dyDescent="0.2">
      <c r="A48" s="30" t="s">
        <v>215</v>
      </c>
      <c r="C48" s="30">
        <v>308.15600000000001</v>
      </c>
      <c r="D48" s="30">
        <v>423.52</v>
      </c>
      <c r="E48" s="30">
        <v>444.39100000000002</v>
      </c>
      <c r="F48" s="30">
        <v>468.46100000000001</v>
      </c>
      <c r="G48" s="30">
        <v>588.01199999999994</v>
      </c>
      <c r="H48" s="30">
        <v>602.28899999999999</v>
      </c>
      <c r="I48" s="30">
        <v>502.41800000000001</v>
      </c>
      <c r="J48" s="30">
        <v>648.73400000000004</v>
      </c>
      <c r="K48" s="30">
        <v>537.68399999999997</v>
      </c>
      <c r="L48" s="30">
        <v>620.63300000000004</v>
      </c>
      <c r="M48" s="30">
        <v>531.28099999999995</v>
      </c>
      <c r="N48" s="30">
        <v>702.21100000000001</v>
      </c>
    </row>
    <row r="49" spans="1:14" x14ac:dyDescent="0.2">
      <c r="A49" s="30" t="s">
        <v>62</v>
      </c>
      <c r="C49" s="30">
        <f t="shared" ref="C49:N49" si="10">C48-$B$7</f>
        <v>90.254999999999995</v>
      </c>
      <c r="D49" s="30">
        <f t="shared" si="10"/>
        <v>205.61899999999997</v>
      </c>
      <c r="E49" s="30">
        <f t="shared" si="10"/>
        <v>226.49</v>
      </c>
      <c r="F49" s="30">
        <f t="shared" si="10"/>
        <v>250.56</v>
      </c>
      <c r="G49" s="30">
        <f t="shared" si="10"/>
        <v>370.11099999999993</v>
      </c>
      <c r="H49" s="30">
        <f t="shared" si="10"/>
        <v>384.38799999999998</v>
      </c>
      <c r="I49" s="30">
        <f t="shared" si="10"/>
        <v>284.517</v>
      </c>
      <c r="J49" s="30">
        <f t="shared" si="10"/>
        <v>430.83300000000003</v>
      </c>
      <c r="K49" s="30">
        <f t="shared" si="10"/>
        <v>319.78299999999996</v>
      </c>
      <c r="L49" s="30">
        <f t="shared" si="10"/>
        <v>402.73200000000003</v>
      </c>
      <c r="M49" s="30">
        <f t="shared" si="10"/>
        <v>313.37999999999994</v>
      </c>
      <c r="N49" s="30">
        <f t="shared" si="10"/>
        <v>484.31</v>
      </c>
    </row>
    <row r="50" spans="1:14" x14ac:dyDescent="0.2">
      <c r="A50" s="30" t="s">
        <v>214</v>
      </c>
      <c r="C50" s="30">
        <v>18.434000000000001</v>
      </c>
      <c r="D50" s="30">
        <v>7.923</v>
      </c>
      <c r="E50" s="30">
        <v>0.65900000000000003</v>
      </c>
      <c r="F50" s="30">
        <v>2.7429999999999999</v>
      </c>
      <c r="G50" s="30">
        <v>2.6669999999999998</v>
      </c>
      <c r="H50" s="30">
        <v>7.65</v>
      </c>
      <c r="I50" s="30">
        <v>7.13</v>
      </c>
      <c r="J50" s="30">
        <v>1.288</v>
      </c>
      <c r="K50" s="30">
        <v>1.9970000000000001</v>
      </c>
      <c r="L50" s="30">
        <v>1.82</v>
      </c>
      <c r="M50" s="30">
        <v>2.1440000000000001</v>
      </c>
      <c r="N50" s="30">
        <v>3.036</v>
      </c>
    </row>
    <row r="51" spans="1:14" x14ac:dyDescent="0.2">
      <c r="A51" s="30" t="s">
        <v>60</v>
      </c>
      <c r="C51" s="30">
        <f t="shared" ref="C51:N51" si="11">SQRT((9+(C50^2)))</f>
        <v>18.67651884051201</v>
      </c>
      <c r="D51" s="30">
        <f t="shared" si="11"/>
        <v>8.471949539509783</v>
      </c>
      <c r="E51" s="30">
        <f t="shared" si="11"/>
        <v>3.0715274701685478</v>
      </c>
      <c r="F51" s="30">
        <f t="shared" si="11"/>
        <v>4.0649783517258733</v>
      </c>
      <c r="G51" s="30">
        <f t="shared" si="11"/>
        <v>4.0140863219417691</v>
      </c>
      <c r="H51" s="30">
        <f t="shared" si="11"/>
        <v>8.2172075548814032</v>
      </c>
      <c r="I51" s="30">
        <f t="shared" si="11"/>
        <v>7.7354314682504945</v>
      </c>
      <c r="J51" s="30">
        <f t="shared" si="11"/>
        <v>3.264803822590264</v>
      </c>
      <c r="K51" s="30">
        <f t="shared" si="11"/>
        <v>3.6038880393264163</v>
      </c>
      <c r="L51" s="30">
        <f t="shared" si="11"/>
        <v>3.5089029624656196</v>
      </c>
      <c r="M51" s="30">
        <f t="shared" si="11"/>
        <v>3.68737521822773</v>
      </c>
      <c r="N51" s="30">
        <f t="shared" si="11"/>
        <v>4.2681724426269376</v>
      </c>
    </row>
    <row r="52" spans="1:14" x14ac:dyDescent="0.2">
      <c r="A52" s="30" t="s">
        <v>59</v>
      </c>
      <c r="H52" s="30">
        <f t="shared" ref="H52:N52" si="12">H49/$G$2</f>
        <v>2.404629471393235</v>
      </c>
      <c r="I52" s="30">
        <f t="shared" si="12"/>
        <v>1.7798629595939237</v>
      </c>
      <c r="J52" s="30">
        <f t="shared" si="12"/>
        <v>2.6951770842189711</v>
      </c>
      <c r="K52" s="30">
        <f t="shared" si="12"/>
        <v>2.000477710673962</v>
      </c>
      <c r="L52" s="30">
        <f t="shared" si="12"/>
        <v>2.5193846745297472</v>
      </c>
      <c r="M52" s="30">
        <f t="shared" si="12"/>
        <v>1.9604222393654638</v>
      </c>
      <c r="N52" s="30">
        <f t="shared" si="12"/>
        <v>3.0297150256783714</v>
      </c>
    </row>
    <row r="54" spans="1:14" x14ac:dyDescent="0.2">
      <c r="A54" s="45" t="s">
        <v>656</v>
      </c>
      <c r="C54" s="30">
        <v>1</v>
      </c>
      <c r="D54" s="30">
        <v>1</v>
      </c>
    </row>
    <row r="55" spans="1:14" x14ac:dyDescent="0.2">
      <c r="A55" s="30" t="s">
        <v>215</v>
      </c>
      <c r="C55" s="30">
        <v>344.69499999999999</v>
      </c>
      <c r="D55" s="30">
        <v>459.74200000000002</v>
      </c>
      <c r="E55" s="30">
        <v>543.57399999999996</v>
      </c>
      <c r="F55" s="30">
        <v>789.50800000000004</v>
      </c>
      <c r="G55" s="30">
        <v>490.34800000000001</v>
      </c>
      <c r="H55" s="30">
        <v>418.93400000000003</v>
      </c>
    </row>
    <row r="56" spans="1:14" x14ac:dyDescent="0.2">
      <c r="A56" s="30" t="s">
        <v>62</v>
      </c>
      <c r="C56" s="30">
        <f t="shared" ref="C56:H56" si="13">C55-$B$7</f>
        <v>126.79399999999998</v>
      </c>
      <c r="D56" s="30">
        <f t="shared" si="13"/>
        <v>241.84100000000001</v>
      </c>
      <c r="E56" s="30">
        <f t="shared" si="13"/>
        <v>325.67299999999994</v>
      </c>
      <c r="F56" s="30">
        <f t="shared" si="13"/>
        <v>571.60699999999997</v>
      </c>
      <c r="G56" s="30">
        <f t="shared" si="13"/>
        <v>272.447</v>
      </c>
      <c r="H56" s="30">
        <f t="shared" si="13"/>
        <v>201.03300000000002</v>
      </c>
    </row>
    <row r="57" spans="1:14" x14ac:dyDescent="0.2">
      <c r="A57" s="30" t="s">
        <v>214</v>
      </c>
      <c r="C57" s="30">
        <v>2.6539999999999999</v>
      </c>
      <c r="D57" s="30">
        <v>1.3540000000000001</v>
      </c>
      <c r="E57" s="30">
        <v>1.6739999999999999</v>
      </c>
      <c r="F57" s="30">
        <v>7.3609999999999998</v>
      </c>
      <c r="G57" s="30">
        <v>6.8209999999999997</v>
      </c>
      <c r="H57" s="30">
        <v>7.8339999999999996</v>
      </c>
    </row>
    <row r="58" spans="1:14" x14ac:dyDescent="0.2">
      <c r="A58" s="30" t="s">
        <v>60</v>
      </c>
      <c r="C58" s="30">
        <f t="shared" ref="C58:H58" si="14">SQRT((16+(C57^2)))</f>
        <v>4.8003870677269349</v>
      </c>
      <c r="D58" s="30">
        <f t="shared" si="14"/>
        <v>4.222951100829845</v>
      </c>
      <c r="E58" s="30">
        <f t="shared" si="14"/>
        <v>4.3361591299213176</v>
      </c>
      <c r="F58" s="30">
        <f t="shared" si="14"/>
        <v>8.377608310251798</v>
      </c>
      <c r="G58" s="30">
        <f t="shared" si="14"/>
        <v>7.9073409563518888</v>
      </c>
      <c r="H58" s="30">
        <f t="shared" si="14"/>
        <v>8.796110276707541</v>
      </c>
    </row>
    <row r="59" spans="1:14" x14ac:dyDescent="0.2">
      <c r="A59" s="30" t="s">
        <v>59</v>
      </c>
      <c r="E59" s="30">
        <f>E56/$G$2</f>
        <v>2.0373239899191677</v>
      </c>
      <c r="F59" s="30">
        <f>F56/$G$2</f>
        <v>3.575821925384437</v>
      </c>
      <c r="G59" s="30">
        <f>G56/$G$2</f>
        <v>1.7043562379488246</v>
      </c>
      <c r="H59" s="30">
        <f>H56/$G$2</f>
        <v>1.2576091775044911</v>
      </c>
    </row>
    <row r="61" spans="1:14" x14ac:dyDescent="0.2">
      <c r="A61" s="45" t="s">
        <v>654</v>
      </c>
      <c r="C61" s="30">
        <v>1</v>
      </c>
    </row>
    <row r="62" spans="1:14" x14ac:dyDescent="0.2">
      <c r="A62" s="30" t="s">
        <v>215</v>
      </c>
      <c r="C62" s="30">
        <v>359.47300000000001</v>
      </c>
    </row>
    <row r="63" spans="1:14" x14ac:dyDescent="0.2">
      <c r="A63" s="30" t="s">
        <v>62</v>
      </c>
      <c r="C63" s="30">
        <f>C62-B7</f>
        <v>141.572</v>
      </c>
    </row>
    <row r="64" spans="1:14" x14ac:dyDescent="0.2">
      <c r="A64" s="30" t="s">
        <v>214</v>
      </c>
      <c r="C64" s="30">
        <v>13.05</v>
      </c>
    </row>
    <row r="65" spans="1:3" x14ac:dyDescent="0.2">
      <c r="A65" s="30" t="s">
        <v>60</v>
      </c>
      <c r="C65" s="30">
        <f>SQRT((36+(C64^2)))</f>
        <v>14.363234315431884</v>
      </c>
    </row>
    <row r="66" spans="1:3" x14ac:dyDescent="0.2">
      <c r="A66" s="30" t="s">
        <v>59</v>
      </c>
    </row>
    <row r="68" spans="1:3" x14ac:dyDescent="0.2">
      <c r="A68" s="45" t="s">
        <v>653</v>
      </c>
    </row>
    <row r="69" spans="1:3" x14ac:dyDescent="0.2">
      <c r="A69" s="30" t="s">
        <v>215</v>
      </c>
      <c r="C69" s="30">
        <v>298.39800000000002</v>
      </c>
    </row>
    <row r="70" spans="1:3" x14ac:dyDescent="0.2">
      <c r="A70" s="30" t="s">
        <v>62</v>
      </c>
      <c r="C70" s="30">
        <f>C69-B7</f>
        <v>80.497000000000014</v>
      </c>
    </row>
    <row r="71" spans="1:3" x14ac:dyDescent="0.2">
      <c r="A71" s="30" t="s">
        <v>214</v>
      </c>
      <c r="C71" s="30">
        <v>13.157</v>
      </c>
    </row>
    <row r="72" spans="1:3" x14ac:dyDescent="0.2">
      <c r="A72" s="30" t="s">
        <v>60</v>
      </c>
      <c r="C72" s="30">
        <f>SQRT((49+(C71^2)))</f>
        <v>14.90324290213375</v>
      </c>
    </row>
    <row r="73" spans="1:3" x14ac:dyDescent="0.2">
      <c r="A73" s="30" t="s">
        <v>59</v>
      </c>
      <c r="C73" s="30">
        <f>C70/G2</f>
        <v>0.50356790159615106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A196-2999-3D4D-A229-D812E11421F6}">
  <dimension ref="A1:Q73"/>
  <sheetViews>
    <sheetView workbookViewId="0">
      <selection activeCell="R44" sqref="R44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17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7" x14ac:dyDescent="0.2">
      <c r="A2" s="30" t="s">
        <v>643</v>
      </c>
      <c r="B2" s="42">
        <v>45229</v>
      </c>
      <c r="C2" s="30" t="s">
        <v>222</v>
      </c>
      <c r="E2" s="30">
        <v>49.761000000000003</v>
      </c>
      <c r="G2" s="30">
        <f>AVERAGE(C8:E8,C14:E14,C21:F21,C28:E28,C35,C49:G49,C63,C70)</f>
        <v>57.317952380952384</v>
      </c>
    </row>
    <row r="4" spans="1:17" x14ac:dyDescent="0.2">
      <c r="A4" s="30" t="s">
        <v>662</v>
      </c>
    </row>
    <row r="6" spans="1:17" x14ac:dyDescent="0.2">
      <c r="A6" s="45" t="s">
        <v>661</v>
      </c>
      <c r="B6" s="30" t="s">
        <v>235</v>
      </c>
      <c r="C6" s="30">
        <v>1</v>
      </c>
      <c r="D6" s="30">
        <v>1</v>
      </c>
      <c r="E6" s="30">
        <v>1</v>
      </c>
    </row>
    <row r="7" spans="1:17" x14ac:dyDescent="0.2">
      <c r="A7" s="30" t="s">
        <v>215</v>
      </c>
      <c r="B7" s="30">
        <v>214.244</v>
      </c>
      <c r="C7" s="30">
        <v>231.691</v>
      </c>
      <c r="D7" s="30">
        <v>269.911</v>
      </c>
      <c r="E7" s="30">
        <v>260.78899999999999</v>
      </c>
      <c r="F7" s="30">
        <v>331.43</v>
      </c>
      <c r="G7" s="30">
        <v>353.04700000000003</v>
      </c>
      <c r="H7" s="30">
        <v>340.64100000000002</v>
      </c>
      <c r="I7" s="30">
        <v>261.12900000000002</v>
      </c>
      <c r="J7" s="30">
        <v>257.64800000000002</v>
      </c>
    </row>
    <row r="8" spans="1:17" x14ac:dyDescent="0.2">
      <c r="A8" s="30" t="s">
        <v>62</v>
      </c>
      <c r="C8" s="30">
        <f t="shared" ref="C8:J8" si="0">C7-$B$7</f>
        <v>17.447000000000003</v>
      </c>
      <c r="D8" s="30">
        <f t="shared" si="0"/>
        <v>55.667000000000002</v>
      </c>
      <c r="E8" s="30">
        <f t="shared" si="0"/>
        <v>46.544999999999987</v>
      </c>
      <c r="F8" s="30">
        <f t="shared" si="0"/>
        <v>117.18600000000001</v>
      </c>
      <c r="G8" s="30">
        <f t="shared" si="0"/>
        <v>138.80300000000003</v>
      </c>
      <c r="H8" s="30">
        <f t="shared" si="0"/>
        <v>126.39700000000002</v>
      </c>
      <c r="I8" s="30">
        <f t="shared" si="0"/>
        <v>46.885000000000019</v>
      </c>
      <c r="J8" s="30">
        <f t="shared" si="0"/>
        <v>43.404000000000025</v>
      </c>
    </row>
    <row r="9" spans="1:17" x14ac:dyDescent="0.2">
      <c r="A9" s="30" t="s">
        <v>214</v>
      </c>
      <c r="C9" s="30">
        <v>1.6639999999999999</v>
      </c>
      <c r="D9" s="30">
        <v>2.7090000000000001</v>
      </c>
      <c r="E9" s="30">
        <v>2.7170000000000001</v>
      </c>
      <c r="F9" s="30">
        <v>2.9119999999999999</v>
      </c>
      <c r="G9" s="30">
        <v>3.2480000000000002</v>
      </c>
      <c r="H9" s="30">
        <v>3.786</v>
      </c>
      <c r="I9" s="30">
        <v>3.577</v>
      </c>
      <c r="J9" s="30">
        <v>4.4029999999999996</v>
      </c>
    </row>
    <row r="10" spans="1:17" x14ac:dyDescent="0.2">
      <c r="A10" s="30" t="s">
        <v>59</v>
      </c>
      <c r="F10" s="30">
        <f>F8/$G$2</f>
        <v>2.0444903408472537</v>
      </c>
      <c r="G10" s="30">
        <f>G8/$G$2</f>
        <v>2.4216322152869916</v>
      </c>
      <c r="H10" s="30">
        <f>H8/$G$2</f>
        <v>2.2051904289938249</v>
      </c>
      <c r="I10" s="30">
        <f>I8/$G$2</f>
        <v>0.81798106967234596</v>
      </c>
      <c r="J10" s="30">
        <f>J8/$G$2</f>
        <v>0.75724966083093759</v>
      </c>
    </row>
    <row r="12" spans="1:17" x14ac:dyDescent="0.2">
      <c r="A12" s="45" t="s">
        <v>660</v>
      </c>
      <c r="C12" s="30">
        <v>1</v>
      </c>
      <c r="D12" s="30">
        <v>1</v>
      </c>
      <c r="E12" s="30">
        <v>1</v>
      </c>
    </row>
    <row r="13" spans="1:17" x14ac:dyDescent="0.2">
      <c r="A13" s="30" t="s">
        <v>215</v>
      </c>
      <c r="C13" s="30">
        <v>261.14100000000002</v>
      </c>
      <c r="D13" s="30">
        <v>239.50399999999999</v>
      </c>
      <c r="E13" s="30">
        <v>249.488</v>
      </c>
      <c r="F13" s="30">
        <v>260.87900000000002</v>
      </c>
      <c r="G13" s="30">
        <v>287.47699999999998</v>
      </c>
      <c r="H13" s="30">
        <v>384.08600000000001</v>
      </c>
      <c r="I13" s="30">
        <v>351.70699999999999</v>
      </c>
      <c r="J13" s="30">
        <v>325.46899999999999</v>
      </c>
      <c r="K13" s="30">
        <v>382.89800000000002</v>
      </c>
      <c r="L13" s="30">
        <v>342.76600000000002</v>
      </c>
      <c r="M13" s="30">
        <v>374.03100000000001</v>
      </c>
      <c r="N13" s="30">
        <v>302.51600000000002</v>
      </c>
      <c r="O13" s="30">
        <v>321.70699999999999</v>
      </c>
      <c r="P13" s="30">
        <v>340.32400000000001</v>
      </c>
      <c r="Q13" s="30">
        <v>290.24200000000002</v>
      </c>
    </row>
    <row r="14" spans="1:17" x14ac:dyDescent="0.2">
      <c r="A14" s="30" t="s">
        <v>62</v>
      </c>
      <c r="C14" s="30">
        <f t="shared" ref="C14:Q14" si="1">C13-$B$7</f>
        <v>46.89700000000002</v>
      </c>
      <c r="D14" s="30">
        <f t="shared" si="1"/>
        <v>25.259999999999991</v>
      </c>
      <c r="E14" s="30">
        <f t="shared" si="1"/>
        <v>35.244</v>
      </c>
      <c r="F14" s="30">
        <f t="shared" si="1"/>
        <v>46.635000000000019</v>
      </c>
      <c r="G14" s="30">
        <f t="shared" si="1"/>
        <v>73.232999999999976</v>
      </c>
      <c r="H14" s="30">
        <f t="shared" si="1"/>
        <v>169.84200000000001</v>
      </c>
      <c r="I14" s="30">
        <f t="shared" si="1"/>
        <v>137.46299999999999</v>
      </c>
      <c r="J14" s="30">
        <f t="shared" si="1"/>
        <v>111.22499999999999</v>
      </c>
      <c r="K14" s="30">
        <f t="shared" si="1"/>
        <v>168.65400000000002</v>
      </c>
      <c r="L14" s="30">
        <f t="shared" si="1"/>
        <v>128.52200000000002</v>
      </c>
      <c r="M14" s="30">
        <f t="shared" si="1"/>
        <v>159.78700000000001</v>
      </c>
      <c r="N14" s="30">
        <f t="shared" si="1"/>
        <v>88.27200000000002</v>
      </c>
      <c r="O14" s="30">
        <f t="shared" si="1"/>
        <v>107.46299999999999</v>
      </c>
      <c r="P14" s="30">
        <f t="shared" si="1"/>
        <v>126.08000000000001</v>
      </c>
      <c r="Q14" s="30">
        <f t="shared" si="1"/>
        <v>75.998000000000019</v>
      </c>
    </row>
    <row r="15" spans="1:17" x14ac:dyDescent="0.2">
      <c r="A15" s="30" t="s">
        <v>214</v>
      </c>
      <c r="C15" s="30">
        <v>1.6919999999999999</v>
      </c>
      <c r="D15" s="30">
        <v>1.841</v>
      </c>
      <c r="E15" s="30">
        <v>1.952</v>
      </c>
      <c r="F15" s="30">
        <v>2.6629999999999998</v>
      </c>
      <c r="G15" s="30">
        <v>2.298</v>
      </c>
      <c r="H15" s="30">
        <v>2.8109999999999999</v>
      </c>
      <c r="I15" s="30">
        <v>3.4470000000000001</v>
      </c>
      <c r="J15" s="30">
        <v>4.0380000000000003</v>
      </c>
      <c r="K15" s="30">
        <v>3.895</v>
      </c>
      <c r="L15" s="30">
        <v>3.2509999999999999</v>
      </c>
      <c r="M15" s="30">
        <v>3.8929999999999998</v>
      </c>
      <c r="N15" s="30">
        <v>2.9359999999999999</v>
      </c>
      <c r="O15" s="30">
        <v>3.6150000000000002</v>
      </c>
      <c r="P15" s="30">
        <v>4.3490000000000002</v>
      </c>
      <c r="Q15" s="30">
        <v>4.577</v>
      </c>
    </row>
    <row r="16" spans="1:17" x14ac:dyDescent="0.2">
      <c r="A16" s="30" t="s">
        <v>60</v>
      </c>
      <c r="C16" s="30">
        <f t="shared" ref="C16:Q16" si="2">SQRT((1+(C15^2)))</f>
        <v>1.9654170040986212</v>
      </c>
      <c r="D16" s="30">
        <f t="shared" si="2"/>
        <v>2.0950610969611363</v>
      </c>
      <c r="E16" s="30">
        <f t="shared" si="2"/>
        <v>2.1932405248854949</v>
      </c>
      <c r="F16" s="30">
        <f t="shared" si="2"/>
        <v>2.8445683328055242</v>
      </c>
      <c r="G16" s="30">
        <f t="shared" si="2"/>
        <v>2.5061532275581238</v>
      </c>
      <c r="H16" s="30">
        <f t="shared" si="2"/>
        <v>2.9835752043479644</v>
      </c>
      <c r="I16" s="30">
        <f t="shared" si="2"/>
        <v>3.5891237092081405</v>
      </c>
      <c r="J16" s="30">
        <f t="shared" si="2"/>
        <v>4.1599812499577444</v>
      </c>
      <c r="K16" s="30">
        <f t="shared" si="2"/>
        <v>4.0213213002693529</v>
      </c>
      <c r="L16" s="30">
        <f t="shared" si="2"/>
        <v>3.4013234189062351</v>
      </c>
      <c r="M16" s="30">
        <f t="shared" si="2"/>
        <v>4.0193841568081048</v>
      </c>
      <c r="N16" s="30">
        <f t="shared" si="2"/>
        <v>3.1016279596366809</v>
      </c>
      <c r="O16" s="30">
        <f t="shared" si="2"/>
        <v>3.7507632556587733</v>
      </c>
      <c r="P16" s="30">
        <f t="shared" si="2"/>
        <v>4.4624882072673318</v>
      </c>
      <c r="Q16" s="30">
        <f t="shared" si="2"/>
        <v>4.6849684097120656</v>
      </c>
    </row>
    <row r="17" spans="1:17" x14ac:dyDescent="0.2">
      <c r="A17" s="30" t="s">
        <v>59</v>
      </c>
      <c r="F17" s="30">
        <f t="shared" ref="F17:Q17" si="3">F14/$G$2</f>
        <v>0.8136194344496076</v>
      </c>
      <c r="G17" s="30">
        <f t="shared" si="3"/>
        <v>1.2776625290671828</v>
      </c>
      <c r="H17" s="30">
        <f t="shared" si="3"/>
        <v>2.963155398001291</v>
      </c>
      <c r="I17" s="30">
        <f t="shared" si="3"/>
        <v>2.3982538504931137</v>
      </c>
      <c r="J17" s="30">
        <f t="shared" si="3"/>
        <v>1.940491510596281</v>
      </c>
      <c r="K17" s="30">
        <f t="shared" si="3"/>
        <v>2.9424289074228387</v>
      </c>
      <c r="L17" s="30">
        <f t="shared" si="3"/>
        <v>2.2422643283871007</v>
      </c>
      <c r="M17" s="30">
        <f t="shared" si="3"/>
        <v>2.7877304293427554</v>
      </c>
      <c r="N17" s="30">
        <f t="shared" si="3"/>
        <v>1.5400410575262302</v>
      </c>
      <c r="O17" s="30">
        <f t="shared" si="3"/>
        <v>1.8748576237645147</v>
      </c>
      <c r="P17" s="30">
        <f t="shared" si="3"/>
        <v>2.1996598755313927</v>
      </c>
      <c r="Q17" s="30">
        <f t="shared" si="3"/>
        <v>1.3259022146306694</v>
      </c>
    </row>
    <row r="19" spans="1:17" x14ac:dyDescent="0.2">
      <c r="A19" s="45" t="s">
        <v>659</v>
      </c>
      <c r="C19" s="30">
        <v>1</v>
      </c>
      <c r="D19" s="30">
        <v>1</v>
      </c>
      <c r="E19" s="30">
        <v>1</v>
      </c>
      <c r="F19" s="30">
        <v>1</v>
      </c>
    </row>
    <row r="20" spans="1:17" x14ac:dyDescent="0.2">
      <c r="A20" s="30" t="s">
        <v>215</v>
      </c>
      <c r="C20" s="30">
        <v>273.25</v>
      </c>
      <c r="D20" s="30">
        <v>237.07400000000001</v>
      </c>
      <c r="E20" s="30">
        <v>228.63300000000001</v>
      </c>
      <c r="F20" s="30">
        <v>305.613</v>
      </c>
      <c r="G20" s="30">
        <v>369.07</v>
      </c>
      <c r="H20" s="30">
        <v>337.75799999999998</v>
      </c>
      <c r="I20" s="30">
        <v>327.45699999999999</v>
      </c>
      <c r="J20" s="30">
        <v>252.05500000000001</v>
      </c>
      <c r="K20" s="30">
        <v>232.738</v>
      </c>
    </row>
    <row r="21" spans="1:17" x14ac:dyDescent="0.2">
      <c r="A21" s="30" t="s">
        <v>62</v>
      </c>
      <c r="C21" s="30">
        <f t="shared" ref="C21:K21" si="4">C20-$B$7</f>
        <v>59.006</v>
      </c>
      <c r="D21" s="30">
        <f t="shared" si="4"/>
        <v>22.830000000000013</v>
      </c>
      <c r="E21" s="30">
        <f t="shared" si="4"/>
        <v>14.38900000000001</v>
      </c>
      <c r="F21" s="30">
        <f t="shared" si="4"/>
        <v>91.369</v>
      </c>
      <c r="G21" s="30">
        <f t="shared" si="4"/>
        <v>154.82599999999999</v>
      </c>
      <c r="H21" s="30">
        <f t="shared" si="4"/>
        <v>123.51399999999998</v>
      </c>
      <c r="I21" s="30">
        <f t="shared" si="4"/>
        <v>113.21299999999999</v>
      </c>
      <c r="J21" s="30">
        <f t="shared" si="4"/>
        <v>37.811000000000007</v>
      </c>
      <c r="K21" s="30">
        <f t="shared" si="4"/>
        <v>18.494</v>
      </c>
    </row>
    <row r="22" spans="1:17" x14ac:dyDescent="0.2">
      <c r="A22" s="30" t="s">
        <v>214</v>
      </c>
      <c r="C22" s="30">
        <v>1.946</v>
      </c>
      <c r="D22" s="30">
        <v>7.0019999999999998</v>
      </c>
      <c r="E22" s="30">
        <v>8.4130000000000003</v>
      </c>
      <c r="F22" s="30">
        <v>1.857</v>
      </c>
      <c r="G22" s="30">
        <v>2.9260000000000002</v>
      </c>
      <c r="H22" s="30">
        <v>2.5169999999999999</v>
      </c>
      <c r="I22" s="30">
        <v>2.673</v>
      </c>
      <c r="J22" s="30">
        <v>2.8580000000000001</v>
      </c>
      <c r="K22" s="30">
        <v>12.3</v>
      </c>
    </row>
    <row r="23" spans="1:17" x14ac:dyDescent="0.2">
      <c r="A23" s="30" t="s">
        <v>60</v>
      </c>
      <c r="C23" s="30">
        <f t="shared" ref="C23:K23" si="5">SQRT((4+(C22^2)))</f>
        <v>2.7905046138646679</v>
      </c>
      <c r="D23" s="30">
        <f t="shared" si="5"/>
        <v>7.2820329579039944</v>
      </c>
      <c r="E23" s="30">
        <f t="shared" si="5"/>
        <v>8.6474602629905153</v>
      </c>
      <c r="F23" s="30">
        <f t="shared" si="5"/>
        <v>2.729184676785358</v>
      </c>
      <c r="G23" s="30">
        <f t="shared" si="5"/>
        <v>3.5442172619634933</v>
      </c>
      <c r="H23" s="30">
        <f t="shared" si="5"/>
        <v>3.2148544290527368</v>
      </c>
      <c r="I23" s="30">
        <f t="shared" si="5"/>
        <v>3.3384021627119762</v>
      </c>
      <c r="J23" s="30">
        <f t="shared" si="5"/>
        <v>3.4882895522017665</v>
      </c>
      <c r="K23" s="30">
        <f t="shared" si="5"/>
        <v>12.461540835707277</v>
      </c>
    </row>
    <row r="24" spans="1:17" x14ac:dyDescent="0.2">
      <c r="A24" s="30" t="s">
        <v>59</v>
      </c>
      <c r="G24" s="30">
        <f>G21/$G$2</f>
        <v>2.7011781399827361</v>
      </c>
      <c r="H24" s="30">
        <f>H21/$G$2</f>
        <v>2.1548920516052061</v>
      </c>
      <c r="I24" s="30">
        <f>I21/$G$2</f>
        <v>1.9751752338874962</v>
      </c>
      <c r="J24" s="30">
        <f>J21/$G$2</f>
        <v>0.65967115762783546</v>
      </c>
      <c r="K24" s="30">
        <f>K21/$G$2</f>
        <v>0.32265632723729037</v>
      </c>
    </row>
    <row r="26" spans="1:17" x14ac:dyDescent="0.2">
      <c r="A26" s="45" t="s">
        <v>658</v>
      </c>
      <c r="C26" s="30">
        <v>1</v>
      </c>
      <c r="D26" s="30">
        <v>1</v>
      </c>
      <c r="E26" s="30">
        <v>1</v>
      </c>
    </row>
    <row r="27" spans="1:17" x14ac:dyDescent="0.2">
      <c r="A27" s="30" t="s">
        <v>215</v>
      </c>
      <c r="C27" s="30">
        <v>267.82799999999997</v>
      </c>
      <c r="D27" s="30">
        <v>234.43</v>
      </c>
      <c r="E27" s="30">
        <v>291.89499999999998</v>
      </c>
    </row>
    <row r="28" spans="1:17" x14ac:dyDescent="0.2">
      <c r="A28" s="30" t="s">
        <v>62</v>
      </c>
      <c r="C28" s="30">
        <f>C27-$B$7</f>
        <v>53.583999999999975</v>
      </c>
      <c r="D28" s="30">
        <f>D27-$B$7</f>
        <v>20.186000000000007</v>
      </c>
      <c r="E28" s="30">
        <f>E27-$B$7</f>
        <v>77.650999999999982</v>
      </c>
    </row>
    <row r="29" spans="1:17" x14ac:dyDescent="0.2">
      <c r="A29" s="30" t="s">
        <v>214</v>
      </c>
      <c r="C29" s="30">
        <v>2.1419999999999999</v>
      </c>
      <c r="D29" s="30">
        <v>10.865</v>
      </c>
      <c r="E29" s="30">
        <v>12.122</v>
      </c>
    </row>
    <row r="30" spans="1:17" x14ac:dyDescent="0.2">
      <c r="A30" s="30" t="s">
        <v>60</v>
      </c>
      <c r="C30" s="30">
        <f>SQRT((9+(C29^2)))</f>
        <v>3.6862126905538153</v>
      </c>
      <c r="D30" s="30">
        <f>SQRT((9+(D29^2)))</f>
        <v>11.2715671048883</v>
      </c>
      <c r="E30" s="30">
        <f>SQRT((9+(E29^2)))</f>
        <v>12.487709317565011</v>
      </c>
    </row>
    <row r="31" spans="1:17" x14ac:dyDescent="0.2">
      <c r="A31" s="30" t="s">
        <v>59</v>
      </c>
    </row>
    <row r="33" spans="1:14" x14ac:dyDescent="0.2">
      <c r="A33" s="45" t="s">
        <v>657</v>
      </c>
      <c r="C33" s="30">
        <v>1</v>
      </c>
    </row>
    <row r="34" spans="1:14" x14ac:dyDescent="0.2">
      <c r="A34" s="30" t="s">
        <v>215</v>
      </c>
      <c r="C34" s="30">
        <v>260.83600000000001</v>
      </c>
      <c r="D34" s="30">
        <v>247.602</v>
      </c>
    </row>
    <row r="35" spans="1:14" x14ac:dyDescent="0.2">
      <c r="A35" s="30" t="s">
        <v>62</v>
      </c>
      <c r="C35" s="30">
        <f>C34-$B$7</f>
        <v>46.592000000000013</v>
      </c>
      <c r="D35" s="30">
        <f>D34-$B$7</f>
        <v>33.358000000000004</v>
      </c>
    </row>
    <row r="36" spans="1:14" x14ac:dyDescent="0.2">
      <c r="A36" s="30" t="s">
        <v>214</v>
      </c>
      <c r="C36" s="30">
        <v>10.994</v>
      </c>
      <c r="D36" s="30">
        <v>11.91</v>
      </c>
    </row>
    <row r="37" spans="1:14" x14ac:dyDescent="0.2">
      <c r="A37" s="30" t="s">
        <v>60</v>
      </c>
      <c r="C37" s="30">
        <f>SQRT((16+(C36^2)))</f>
        <v>11.699061329867451</v>
      </c>
      <c r="D37" s="30">
        <f>SQRT((16+(D36^2)))</f>
        <v>12.563761379459578</v>
      </c>
    </row>
    <row r="38" spans="1:14" x14ac:dyDescent="0.2">
      <c r="A38" s="30" t="s">
        <v>59</v>
      </c>
      <c r="D38" s="30">
        <f>D35/G2</f>
        <v>0.5819817110404204</v>
      </c>
    </row>
    <row r="40" spans="1:14" x14ac:dyDescent="0.2">
      <c r="A40" s="45" t="s">
        <v>656</v>
      </c>
    </row>
    <row r="41" spans="1:14" x14ac:dyDescent="0.2">
      <c r="A41" s="30" t="s">
        <v>215</v>
      </c>
      <c r="C41" s="30">
        <v>301.91800000000001</v>
      </c>
      <c r="D41" s="30">
        <v>306.72699999999998</v>
      </c>
      <c r="E41" s="30">
        <v>305.01600000000002</v>
      </c>
      <c r="F41" s="30">
        <v>275.30099999999999</v>
      </c>
      <c r="G41" s="30">
        <v>309.16000000000003</v>
      </c>
    </row>
    <row r="42" spans="1:14" x14ac:dyDescent="0.2">
      <c r="A42" s="30" t="s">
        <v>62</v>
      </c>
      <c r="C42" s="30">
        <f>C41-$B$7</f>
        <v>87.674000000000007</v>
      </c>
      <c r="D42" s="30">
        <f>D41-$B$7</f>
        <v>92.482999999999976</v>
      </c>
      <c r="E42" s="30">
        <f>E41-$B$7</f>
        <v>90.77200000000002</v>
      </c>
      <c r="F42" s="30">
        <f>F41-$B$7</f>
        <v>61.056999999999988</v>
      </c>
      <c r="G42" s="30">
        <f>G41-$B$7</f>
        <v>94.916000000000025</v>
      </c>
    </row>
    <row r="43" spans="1:14" x14ac:dyDescent="0.2">
      <c r="A43" s="30" t="s">
        <v>214</v>
      </c>
      <c r="C43" s="30">
        <v>2.2559999999999998</v>
      </c>
      <c r="D43" s="30">
        <v>1.6850000000000001</v>
      </c>
      <c r="E43" s="30">
        <v>1.6870000000000001</v>
      </c>
      <c r="F43" s="30">
        <v>0.68300000000000005</v>
      </c>
      <c r="G43" s="30">
        <v>1.8180000000000001</v>
      </c>
    </row>
    <row r="44" spans="1:14" x14ac:dyDescent="0.2">
      <c r="A44" s="30" t="s">
        <v>60</v>
      </c>
      <c r="C44" s="30">
        <f>SQRT((1+(C43^2)))</f>
        <v>2.4676985229156334</v>
      </c>
      <c r="D44" s="30">
        <f>SQRT((1+(D43^2)))</f>
        <v>1.9593940389824607</v>
      </c>
      <c r="E44" s="30">
        <f>SQRT((1+(E43^2)))</f>
        <v>1.9611142241083257</v>
      </c>
      <c r="F44" s="30">
        <f>SQRT((1+(F43^2)))</f>
        <v>1.2109867877066207</v>
      </c>
      <c r="G44" s="30">
        <f>SQRT((1+(G43^2)))</f>
        <v>2.0748792735964181</v>
      </c>
    </row>
    <row r="45" spans="1:14" x14ac:dyDescent="0.2">
      <c r="A45" s="30" t="s">
        <v>59</v>
      </c>
      <c r="C45" s="30">
        <f>C42/$G$2</f>
        <v>1.5296080260734399</v>
      </c>
      <c r="D45" s="30">
        <f>D42/$G$2</f>
        <v>1.6135084412180338</v>
      </c>
      <c r="E45" s="30">
        <f>E42/$G$2</f>
        <v>1.5836574097536136</v>
      </c>
      <c r="F45" s="30">
        <f>F42/$G$2</f>
        <v>1.0652334471789355</v>
      </c>
      <c r="G45" s="30">
        <f>G42/$G$2</f>
        <v>1.6559558752057242</v>
      </c>
    </row>
    <row r="47" spans="1:14" x14ac:dyDescent="0.2">
      <c r="A47" s="45" t="s">
        <v>655</v>
      </c>
      <c r="C47" s="30">
        <v>1</v>
      </c>
      <c r="D47" s="30">
        <v>1</v>
      </c>
      <c r="E47" s="30">
        <v>1</v>
      </c>
      <c r="F47" s="30">
        <v>1</v>
      </c>
      <c r="G47" s="30">
        <v>1</v>
      </c>
    </row>
    <row r="48" spans="1:14" x14ac:dyDescent="0.2">
      <c r="A48" s="30" t="s">
        <v>215</v>
      </c>
      <c r="C48" s="30">
        <v>295.31200000000001</v>
      </c>
      <c r="D48" s="30">
        <v>302.31599999999997</v>
      </c>
      <c r="E48" s="30">
        <v>380.238</v>
      </c>
      <c r="F48" s="30">
        <v>279.34399999999999</v>
      </c>
      <c r="G48" s="30">
        <v>313.78100000000001</v>
      </c>
      <c r="H48" s="30">
        <v>252.27699999999999</v>
      </c>
      <c r="I48" s="30">
        <v>296.15600000000001</v>
      </c>
      <c r="J48" s="30">
        <v>347.41800000000001</v>
      </c>
      <c r="K48" s="30">
        <v>310.69499999999999</v>
      </c>
      <c r="L48" s="30">
        <v>251.80099999999999</v>
      </c>
      <c r="M48" s="30">
        <v>325.95299999999997</v>
      </c>
      <c r="N48" s="30">
        <v>332.19099999999997</v>
      </c>
    </row>
    <row r="49" spans="1:14" x14ac:dyDescent="0.2">
      <c r="A49" s="30" t="s">
        <v>62</v>
      </c>
      <c r="C49" s="30">
        <f t="shared" ref="C49:N49" si="6">C48-$B$7</f>
        <v>81.068000000000012</v>
      </c>
      <c r="D49" s="30">
        <f t="shared" si="6"/>
        <v>88.071999999999974</v>
      </c>
      <c r="E49" s="30">
        <f t="shared" si="6"/>
        <v>165.994</v>
      </c>
      <c r="F49" s="30">
        <f t="shared" si="6"/>
        <v>65.099999999999994</v>
      </c>
      <c r="G49" s="30">
        <f t="shared" si="6"/>
        <v>99.537000000000006</v>
      </c>
      <c r="H49" s="30">
        <f t="shared" si="6"/>
        <v>38.032999999999987</v>
      </c>
      <c r="I49" s="30">
        <f t="shared" si="6"/>
        <v>81.912000000000006</v>
      </c>
      <c r="J49" s="30">
        <f t="shared" si="6"/>
        <v>133.17400000000001</v>
      </c>
      <c r="K49" s="30">
        <f t="shared" si="6"/>
        <v>96.450999999999993</v>
      </c>
      <c r="L49" s="30">
        <f t="shared" si="6"/>
        <v>37.556999999999988</v>
      </c>
      <c r="M49" s="30">
        <f t="shared" si="6"/>
        <v>111.70899999999997</v>
      </c>
      <c r="N49" s="30">
        <f t="shared" si="6"/>
        <v>117.94699999999997</v>
      </c>
    </row>
    <row r="50" spans="1:14" x14ac:dyDescent="0.2">
      <c r="A50" s="30" t="s">
        <v>214</v>
      </c>
      <c r="C50" s="30">
        <v>1.4990000000000001</v>
      </c>
      <c r="D50" s="30">
        <v>1.121</v>
      </c>
      <c r="E50" s="30">
        <v>0.72199999999999998</v>
      </c>
      <c r="F50" s="30">
        <v>0.876</v>
      </c>
      <c r="G50" s="30">
        <v>1.679</v>
      </c>
      <c r="H50" s="30">
        <v>0.77800000000000002</v>
      </c>
      <c r="I50" s="30">
        <v>2.0430000000000001</v>
      </c>
      <c r="J50" s="30">
        <v>1.431</v>
      </c>
      <c r="K50" s="30">
        <v>1.9</v>
      </c>
      <c r="L50" s="30">
        <v>0.71299999999999997</v>
      </c>
      <c r="M50" s="30">
        <v>2.2389999999999999</v>
      </c>
      <c r="N50" s="30">
        <v>2.3210000000000002</v>
      </c>
    </row>
    <row r="51" spans="1:14" x14ac:dyDescent="0.2">
      <c r="A51" s="30" t="s">
        <v>60</v>
      </c>
      <c r="C51" s="30">
        <f t="shared" ref="C51:N51" si="7">SQRT((4+(C50^2)))</f>
        <v>2.4994001280307243</v>
      </c>
      <c r="D51" s="30">
        <f t="shared" si="7"/>
        <v>2.2927365744890973</v>
      </c>
      <c r="E51" s="30">
        <f t="shared" si="7"/>
        <v>2.1263311125034123</v>
      </c>
      <c r="F51" s="30">
        <f t="shared" si="7"/>
        <v>2.1834321606131937</v>
      </c>
      <c r="G51" s="30">
        <f t="shared" si="7"/>
        <v>2.6113293549454846</v>
      </c>
      <c r="H51" s="30">
        <f t="shared" si="7"/>
        <v>2.1459925442554546</v>
      </c>
      <c r="I51" s="30">
        <f t="shared" si="7"/>
        <v>2.8589944036321584</v>
      </c>
      <c r="J51" s="30">
        <f t="shared" si="7"/>
        <v>2.4592195916591097</v>
      </c>
      <c r="K51" s="30">
        <f t="shared" si="7"/>
        <v>2.758622844826744</v>
      </c>
      <c r="L51" s="30">
        <f t="shared" si="7"/>
        <v>2.1232920194829537</v>
      </c>
      <c r="M51" s="30">
        <f t="shared" si="7"/>
        <v>3.0021860368737974</v>
      </c>
      <c r="N51" s="30">
        <f t="shared" si="7"/>
        <v>3.0638278345886212</v>
      </c>
    </row>
    <row r="52" spans="1:14" x14ac:dyDescent="0.2">
      <c r="A52" s="30" t="s">
        <v>59</v>
      </c>
      <c r="H52" s="30">
        <f t="shared" ref="H52:N52" si="8">H49/$G$2</f>
        <v>0.66354428970562673</v>
      </c>
      <c r="I52" s="30">
        <f t="shared" si="8"/>
        <v>1.429081057459767</v>
      </c>
      <c r="J52" s="30">
        <f t="shared" si="8"/>
        <v>2.3234256366118151</v>
      </c>
      <c r="K52" s="30">
        <f t="shared" si="8"/>
        <v>1.6827363154733368</v>
      </c>
      <c r="L52" s="30">
        <f t="shared" si="8"/>
        <v>0.65523973624153298</v>
      </c>
      <c r="M52" s="30">
        <f t="shared" si="8"/>
        <v>1.9489356363875021</v>
      </c>
      <c r="N52" s="30">
        <f t="shared" si="8"/>
        <v>2.0577671584652686</v>
      </c>
    </row>
    <row r="54" spans="1:14" x14ac:dyDescent="0.2">
      <c r="A54" s="45" t="s">
        <v>654</v>
      </c>
    </row>
    <row r="55" spans="1:14" x14ac:dyDescent="0.2">
      <c r="A55" s="30" t="s">
        <v>215</v>
      </c>
      <c r="C55" s="30">
        <v>269.70699999999999</v>
      </c>
      <c r="D55" s="30">
        <v>279.57</v>
      </c>
      <c r="E55" s="30">
        <v>260.875</v>
      </c>
    </row>
    <row r="56" spans="1:14" x14ac:dyDescent="0.2">
      <c r="A56" s="30" t="s">
        <v>62</v>
      </c>
      <c r="C56" s="30">
        <f>C55-$B$7</f>
        <v>55.462999999999994</v>
      </c>
      <c r="D56" s="30">
        <f>D55-$B$7</f>
        <v>65.325999999999993</v>
      </c>
      <c r="E56" s="30">
        <f>E55-$B$7</f>
        <v>46.631</v>
      </c>
    </row>
    <row r="57" spans="1:14" x14ac:dyDescent="0.2">
      <c r="A57" s="30" t="s">
        <v>214</v>
      </c>
      <c r="C57" s="30">
        <v>2.0529999999999999</v>
      </c>
      <c r="D57" s="30">
        <v>2.7730000000000001</v>
      </c>
      <c r="E57" s="30">
        <v>3.6869999999999998</v>
      </c>
    </row>
    <row r="58" spans="1:14" x14ac:dyDescent="0.2">
      <c r="A58" s="30" t="s">
        <v>60</v>
      </c>
      <c r="C58" s="30">
        <f>SQRT((9+(C57^2)))</f>
        <v>3.6352178751761222</v>
      </c>
      <c r="D58" s="30">
        <f>SQRT((9+(D57^2)))</f>
        <v>4.0852819976104469</v>
      </c>
      <c r="E58" s="30">
        <f>SQRT((9+(E57^2)))</f>
        <v>4.75331137208578</v>
      </c>
    </row>
    <row r="59" spans="1:14" x14ac:dyDescent="0.2">
      <c r="A59" s="30" t="s">
        <v>59</v>
      </c>
      <c r="C59" s="30">
        <f>C56/$G$2</f>
        <v>0.96763749743494298</v>
      </c>
      <c r="D59" s="30">
        <f>D56/$G$2</f>
        <v>1.1397127302424153</v>
      </c>
      <c r="E59" s="30">
        <f>E56/$G$2</f>
        <v>0.81354964828604348</v>
      </c>
    </row>
    <row r="61" spans="1:14" x14ac:dyDescent="0.2">
      <c r="A61" s="45" t="s">
        <v>653</v>
      </c>
      <c r="C61" s="30">
        <v>1</v>
      </c>
    </row>
    <row r="62" spans="1:14" x14ac:dyDescent="0.2">
      <c r="A62" s="30" t="s">
        <v>215</v>
      </c>
      <c r="C62" s="30">
        <v>271.60199999999998</v>
      </c>
    </row>
    <row r="63" spans="1:14" x14ac:dyDescent="0.2">
      <c r="A63" s="30" t="s">
        <v>62</v>
      </c>
      <c r="C63" s="30">
        <f>C62-B7</f>
        <v>57.357999999999976</v>
      </c>
    </row>
    <row r="64" spans="1:14" x14ac:dyDescent="0.2">
      <c r="A64" s="30" t="s">
        <v>214</v>
      </c>
      <c r="C64" s="30">
        <v>2.72</v>
      </c>
    </row>
    <row r="65" spans="1:3" x14ac:dyDescent="0.2">
      <c r="A65" s="30" t="s">
        <v>60</v>
      </c>
      <c r="C65" s="30">
        <f>SQRT((16+(C64^2)))</f>
        <v>4.837189266505912</v>
      </c>
    </row>
    <row r="66" spans="1:3" x14ac:dyDescent="0.2">
      <c r="A66" s="30" t="s">
        <v>59</v>
      </c>
      <c r="C66" s="30">
        <f>C63/G2</f>
        <v>1.0006986924232992</v>
      </c>
    </row>
    <row r="68" spans="1:3" x14ac:dyDescent="0.2">
      <c r="A68" s="45" t="s">
        <v>652</v>
      </c>
      <c r="C68" s="30">
        <v>1</v>
      </c>
    </row>
    <row r="69" spans="1:3" x14ac:dyDescent="0.2">
      <c r="A69" s="30" t="s">
        <v>215</v>
      </c>
      <c r="C69" s="30">
        <v>248.125</v>
      </c>
    </row>
    <row r="70" spans="1:3" x14ac:dyDescent="0.2">
      <c r="A70" s="30" t="s">
        <v>62</v>
      </c>
      <c r="C70" s="30">
        <f>C69-B7</f>
        <v>33.881</v>
      </c>
    </row>
    <row r="71" spans="1:3" x14ac:dyDescent="0.2">
      <c r="A71" s="30" t="s">
        <v>214</v>
      </c>
      <c r="C71" s="30">
        <v>2.8809999999999998</v>
      </c>
    </row>
    <row r="72" spans="1:3" x14ac:dyDescent="0.2">
      <c r="A72" s="30" t="s">
        <v>60</v>
      </c>
      <c r="C72" s="30">
        <f>SQRT((25+(C71^2)))</f>
        <v>5.7706291684702808</v>
      </c>
    </row>
    <row r="73" spans="1:3" x14ac:dyDescent="0.2">
      <c r="A73" s="30" t="s">
        <v>59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5020-5A12-2B43-A279-9E86EEA21AE5}">
  <dimension ref="A1:S94"/>
  <sheetViews>
    <sheetView workbookViewId="0">
      <selection activeCell="R46" sqref="R46"/>
    </sheetView>
  </sheetViews>
  <sheetFormatPr baseColWidth="10" defaultRowHeight="16" x14ac:dyDescent="0.2"/>
  <cols>
    <col min="1" max="1" width="20.83203125" style="30" bestFit="1" customWidth="1"/>
    <col min="2" max="2" width="17.5" style="30" bestFit="1" customWidth="1"/>
    <col min="3" max="16384" width="10.83203125" style="30"/>
  </cols>
  <sheetData>
    <row r="1" spans="1:19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9" x14ac:dyDescent="0.2">
      <c r="A2" s="30" t="s">
        <v>643</v>
      </c>
      <c r="B2" s="42">
        <v>45229</v>
      </c>
      <c r="C2" s="30" t="s">
        <v>222</v>
      </c>
      <c r="E2" s="30">
        <v>39.953000000000003</v>
      </c>
      <c r="G2" s="30">
        <f>AVERAGE(C8:E8,C14:G14,C21:D21,C35,C42:D42,C56:D56,C77,C84)</f>
        <v>92.374823529411785</v>
      </c>
    </row>
    <row r="4" spans="1:19" x14ac:dyDescent="0.2">
      <c r="A4" s="30" t="s">
        <v>642</v>
      </c>
    </row>
    <row r="6" spans="1:19" x14ac:dyDescent="0.2">
      <c r="A6" s="45" t="s">
        <v>641</v>
      </c>
      <c r="B6" s="30" t="s">
        <v>235</v>
      </c>
      <c r="C6" s="30">
        <v>1</v>
      </c>
      <c r="D6" s="30">
        <v>1</v>
      </c>
      <c r="E6" s="30">
        <v>1</v>
      </c>
    </row>
    <row r="7" spans="1:19" x14ac:dyDescent="0.2">
      <c r="A7" s="30" t="s">
        <v>215</v>
      </c>
      <c r="B7" s="30">
        <v>217.78299999999999</v>
      </c>
      <c r="C7" s="30">
        <v>335.77300000000002</v>
      </c>
      <c r="D7" s="30">
        <v>321.41000000000003</v>
      </c>
      <c r="E7" s="30">
        <v>291.75</v>
      </c>
      <c r="F7" s="30">
        <v>440.39800000000002</v>
      </c>
      <c r="G7" s="30">
        <v>467.89499999999998</v>
      </c>
      <c r="H7" s="30">
        <v>500.47699999999998</v>
      </c>
      <c r="I7" s="30">
        <v>413.35500000000002</v>
      </c>
      <c r="J7" s="30">
        <v>426.77</v>
      </c>
      <c r="K7" s="30">
        <v>537.65599999999995</v>
      </c>
      <c r="L7" s="30">
        <v>235.059</v>
      </c>
    </row>
    <row r="8" spans="1:19" x14ac:dyDescent="0.2">
      <c r="A8" s="30" t="s">
        <v>62</v>
      </c>
      <c r="C8" s="30">
        <f t="shared" ref="C8:L8" si="0">C7-$B$7</f>
        <v>117.99000000000004</v>
      </c>
      <c r="D8" s="30">
        <f t="shared" si="0"/>
        <v>103.62700000000004</v>
      </c>
      <c r="E8" s="30">
        <f t="shared" si="0"/>
        <v>73.967000000000013</v>
      </c>
      <c r="F8" s="30">
        <f t="shared" si="0"/>
        <v>222.61500000000004</v>
      </c>
      <c r="G8" s="30">
        <f t="shared" si="0"/>
        <v>250.11199999999999</v>
      </c>
      <c r="H8" s="30">
        <f t="shared" si="0"/>
        <v>282.69399999999996</v>
      </c>
      <c r="I8" s="30">
        <f t="shared" si="0"/>
        <v>195.57200000000003</v>
      </c>
      <c r="J8" s="30">
        <f t="shared" si="0"/>
        <v>208.98699999999999</v>
      </c>
      <c r="K8" s="30">
        <f t="shared" si="0"/>
        <v>319.87299999999993</v>
      </c>
      <c r="L8" s="30">
        <f t="shared" si="0"/>
        <v>17.27600000000001</v>
      </c>
    </row>
    <row r="9" spans="1:19" x14ac:dyDescent="0.2">
      <c r="A9" s="30" t="s">
        <v>214</v>
      </c>
      <c r="C9" s="30">
        <v>2.0059999999999998</v>
      </c>
      <c r="D9" s="30">
        <v>5.3490000000000002</v>
      </c>
      <c r="E9" s="30">
        <v>3.9329999999999998</v>
      </c>
      <c r="F9" s="30">
        <v>3.2120000000000002</v>
      </c>
      <c r="G9" s="30">
        <v>3.3620000000000001</v>
      </c>
      <c r="H9" s="30">
        <v>2.4449999999999998</v>
      </c>
      <c r="I9" s="30">
        <v>2.016</v>
      </c>
      <c r="J9" s="30">
        <v>2.798</v>
      </c>
      <c r="K9" s="30">
        <v>2.399</v>
      </c>
      <c r="L9" s="30">
        <v>12.772</v>
      </c>
    </row>
    <row r="10" spans="1:19" x14ac:dyDescent="0.2">
      <c r="A10" s="30" t="s">
        <v>59</v>
      </c>
      <c r="F10" s="30">
        <f t="shared" ref="F10:L10" si="1">F8/$G$2</f>
        <v>2.409909881225595</v>
      </c>
      <c r="G10" s="30">
        <f t="shared" si="1"/>
        <v>2.7075775676081841</v>
      </c>
      <c r="H10" s="30">
        <f t="shared" si="1"/>
        <v>3.0602927204509496</v>
      </c>
      <c r="I10" s="30">
        <f t="shared" si="1"/>
        <v>2.1171569538937272</v>
      </c>
      <c r="J10" s="30">
        <f t="shared" si="1"/>
        <v>2.2623805060202291</v>
      </c>
      <c r="K10" s="30">
        <f t="shared" si="1"/>
        <v>3.4627725150473885</v>
      </c>
      <c r="L10" s="30">
        <f t="shared" si="1"/>
        <v>0.18702065497856565</v>
      </c>
    </row>
    <row r="12" spans="1:19" x14ac:dyDescent="0.2">
      <c r="A12" s="45" t="s">
        <v>640</v>
      </c>
      <c r="C12" s="30">
        <v>1</v>
      </c>
      <c r="D12" s="30">
        <v>1</v>
      </c>
      <c r="E12" s="30">
        <v>1</v>
      </c>
      <c r="F12" s="30">
        <v>1</v>
      </c>
      <c r="G12" s="30">
        <v>1</v>
      </c>
    </row>
    <row r="13" spans="1:19" x14ac:dyDescent="0.2">
      <c r="A13" s="30" t="s">
        <v>215</v>
      </c>
      <c r="C13" s="30">
        <v>301.34399999999999</v>
      </c>
      <c r="D13" s="30">
        <v>311.03100000000001</v>
      </c>
      <c r="E13" s="30">
        <v>322.34399999999999</v>
      </c>
      <c r="F13" s="30">
        <v>280.45299999999997</v>
      </c>
      <c r="G13" s="30">
        <v>267.39499999999998</v>
      </c>
      <c r="H13" s="30">
        <v>345.02699999999999</v>
      </c>
      <c r="I13" s="30">
        <v>330.81599999999997</v>
      </c>
      <c r="J13" s="30">
        <v>416</v>
      </c>
      <c r="K13" s="30">
        <v>420.32</v>
      </c>
      <c r="L13" s="30">
        <v>295.20699999999999</v>
      </c>
      <c r="M13" s="30">
        <v>317.27</v>
      </c>
      <c r="N13" s="30">
        <v>328.55099999999999</v>
      </c>
      <c r="O13" s="30">
        <v>398.46499999999997</v>
      </c>
      <c r="P13" s="30">
        <v>323.93799999999999</v>
      </c>
      <c r="Q13" s="30">
        <v>496.77300000000002</v>
      </c>
      <c r="R13" s="30">
        <v>369.57400000000001</v>
      </c>
      <c r="S13" s="30">
        <v>242.99199999999999</v>
      </c>
    </row>
    <row r="14" spans="1:19" x14ac:dyDescent="0.2">
      <c r="A14" s="30" t="s">
        <v>62</v>
      </c>
      <c r="C14" s="30">
        <f t="shared" ref="C14:S14" si="2">C13-$B$7</f>
        <v>83.561000000000007</v>
      </c>
      <c r="D14" s="30">
        <f t="shared" si="2"/>
        <v>93.248000000000019</v>
      </c>
      <c r="E14" s="30">
        <f t="shared" si="2"/>
        <v>104.56100000000001</v>
      </c>
      <c r="F14" s="30">
        <f t="shared" si="2"/>
        <v>62.669999999999987</v>
      </c>
      <c r="G14" s="30">
        <f t="shared" si="2"/>
        <v>49.611999999999995</v>
      </c>
      <c r="H14" s="30">
        <f t="shared" si="2"/>
        <v>127.244</v>
      </c>
      <c r="I14" s="30">
        <f t="shared" si="2"/>
        <v>113.03299999999999</v>
      </c>
      <c r="J14" s="30">
        <f t="shared" si="2"/>
        <v>198.21700000000001</v>
      </c>
      <c r="K14" s="30">
        <f t="shared" si="2"/>
        <v>202.53700000000001</v>
      </c>
      <c r="L14" s="30">
        <f t="shared" si="2"/>
        <v>77.424000000000007</v>
      </c>
      <c r="M14" s="30">
        <f t="shared" si="2"/>
        <v>99.486999999999995</v>
      </c>
      <c r="N14" s="30">
        <f t="shared" si="2"/>
        <v>110.768</v>
      </c>
      <c r="O14" s="30">
        <f t="shared" si="2"/>
        <v>180.68199999999999</v>
      </c>
      <c r="P14" s="30">
        <f t="shared" si="2"/>
        <v>106.155</v>
      </c>
      <c r="Q14" s="30">
        <f t="shared" si="2"/>
        <v>278.99</v>
      </c>
      <c r="R14" s="30">
        <f t="shared" si="2"/>
        <v>151.79100000000003</v>
      </c>
      <c r="S14" s="30">
        <f t="shared" si="2"/>
        <v>25.209000000000003</v>
      </c>
    </row>
    <row r="15" spans="1:19" x14ac:dyDescent="0.2">
      <c r="A15" s="30" t="s">
        <v>214</v>
      </c>
      <c r="C15" s="30">
        <v>2.5099999999999998</v>
      </c>
      <c r="E15" s="30">
        <v>1.9410000000000001</v>
      </c>
      <c r="F15" s="30">
        <v>1.77</v>
      </c>
      <c r="G15" s="30">
        <v>1.5209999999999999</v>
      </c>
      <c r="H15" s="30">
        <v>2.1970000000000001</v>
      </c>
      <c r="I15" s="30">
        <v>2.3849999999999998</v>
      </c>
      <c r="J15" s="30">
        <v>2.8690000000000002</v>
      </c>
      <c r="K15" s="30">
        <v>2.226</v>
      </c>
      <c r="L15" s="30">
        <v>1.1060000000000001</v>
      </c>
      <c r="M15" s="30">
        <v>2.8090000000000002</v>
      </c>
      <c r="N15" s="30">
        <v>2.556</v>
      </c>
      <c r="O15" s="30">
        <v>3.2559999999999998</v>
      </c>
      <c r="P15" s="30">
        <v>3.9039999999999999</v>
      </c>
      <c r="Q15" s="30">
        <v>3.9369999999999998</v>
      </c>
      <c r="R15" s="30">
        <v>4.6150000000000002</v>
      </c>
      <c r="S15" s="30">
        <v>12.907</v>
      </c>
    </row>
    <row r="16" spans="1:19" x14ac:dyDescent="0.2">
      <c r="A16" s="30" t="s">
        <v>60</v>
      </c>
      <c r="C16" s="30">
        <f t="shared" ref="C16:S16" si="3">SQRT((1+(C15^2)))</f>
        <v>2.7018697229881381</v>
      </c>
      <c r="D16" s="30">
        <f t="shared" si="3"/>
        <v>1</v>
      </c>
      <c r="E16" s="30">
        <f t="shared" si="3"/>
        <v>2.1834562051939579</v>
      </c>
      <c r="F16" s="30">
        <f t="shared" si="3"/>
        <v>2.032953516438583</v>
      </c>
      <c r="G16" s="30">
        <f t="shared" si="3"/>
        <v>1.8202859665448172</v>
      </c>
      <c r="H16" s="30">
        <f t="shared" si="3"/>
        <v>2.4138784145022716</v>
      </c>
      <c r="I16" s="30">
        <f t="shared" si="3"/>
        <v>2.5861602811890836</v>
      </c>
      <c r="J16" s="30">
        <f t="shared" si="3"/>
        <v>3.0382825740868808</v>
      </c>
      <c r="K16" s="30">
        <f t="shared" si="3"/>
        <v>2.4403024402725166</v>
      </c>
      <c r="L16" s="30">
        <f t="shared" si="3"/>
        <v>1.4910519776319</v>
      </c>
      <c r="M16" s="30">
        <f t="shared" si="3"/>
        <v>2.9816909631952138</v>
      </c>
      <c r="N16" s="30">
        <f t="shared" si="3"/>
        <v>2.7446558982867049</v>
      </c>
      <c r="O16" s="30">
        <f t="shared" si="3"/>
        <v>3.4061027582854866</v>
      </c>
      <c r="P16" s="30">
        <f t="shared" si="3"/>
        <v>4.0300392057646288</v>
      </c>
      <c r="Q16" s="30">
        <f t="shared" si="3"/>
        <v>4.0620153864799677</v>
      </c>
      <c r="R16" s="30">
        <f t="shared" si="3"/>
        <v>4.7220996389318177</v>
      </c>
      <c r="S16" s="30">
        <f t="shared" si="3"/>
        <v>12.945680708251691</v>
      </c>
    </row>
    <row r="17" spans="1:19" x14ac:dyDescent="0.2">
      <c r="A17" s="30" t="s">
        <v>59</v>
      </c>
      <c r="H17" s="30">
        <f t="shared" ref="H17:S17" si="4">H14/$G$2</f>
        <v>1.3774748912996408</v>
      </c>
      <c r="I17" s="30">
        <f t="shared" si="4"/>
        <v>1.2236342726436789</v>
      </c>
      <c r="J17" s="30">
        <f t="shared" si="4"/>
        <v>2.1457902968213896</v>
      </c>
      <c r="K17" s="30">
        <f t="shared" si="4"/>
        <v>2.1925562860264951</v>
      </c>
      <c r="L17" s="30">
        <f t="shared" si="4"/>
        <v>0.83815045097594698</v>
      </c>
      <c r="M17" s="30">
        <f t="shared" si="4"/>
        <v>1.0769925851963735</v>
      </c>
      <c r="N17" s="30">
        <f t="shared" si="4"/>
        <v>1.1991146046923911</v>
      </c>
      <c r="O17" s="30">
        <f t="shared" si="4"/>
        <v>1.9559658475826105</v>
      </c>
      <c r="P17" s="30">
        <f t="shared" si="4"/>
        <v>1.1491767555712911</v>
      </c>
      <c r="Q17" s="30">
        <f t="shared" si="4"/>
        <v>3.0201952148917575</v>
      </c>
      <c r="R17" s="30">
        <f t="shared" si="4"/>
        <v>1.6432074693130034</v>
      </c>
      <c r="S17" s="30">
        <f t="shared" si="4"/>
        <v>0.27289903284062628</v>
      </c>
    </row>
    <row r="19" spans="1:19" x14ac:dyDescent="0.2">
      <c r="A19" s="45" t="s">
        <v>639</v>
      </c>
      <c r="C19" s="30">
        <v>1</v>
      </c>
      <c r="D19" s="30">
        <v>1</v>
      </c>
    </row>
    <row r="20" spans="1:19" x14ac:dyDescent="0.2">
      <c r="A20" s="30" t="s">
        <v>215</v>
      </c>
      <c r="C20" s="30">
        <v>308.80500000000001</v>
      </c>
      <c r="D20" s="30">
        <v>297.04300000000001</v>
      </c>
      <c r="E20" s="30">
        <v>255.94900000000001</v>
      </c>
      <c r="F20" s="30">
        <v>382.52300000000002</v>
      </c>
      <c r="G20" s="30">
        <v>356.64800000000002</v>
      </c>
      <c r="H20" s="30">
        <v>495.69099999999997</v>
      </c>
      <c r="I20" s="30">
        <v>487.53899999999999</v>
      </c>
      <c r="J20" s="30">
        <v>495.93799999999999</v>
      </c>
      <c r="K20" s="30">
        <v>370.19499999999999</v>
      </c>
    </row>
    <row r="21" spans="1:19" x14ac:dyDescent="0.2">
      <c r="A21" s="30" t="s">
        <v>62</v>
      </c>
      <c r="C21" s="30">
        <f t="shared" ref="C21:K21" si="5">C20-$B$7</f>
        <v>91.02200000000002</v>
      </c>
      <c r="D21" s="30">
        <f t="shared" si="5"/>
        <v>79.260000000000019</v>
      </c>
      <c r="E21" s="30">
        <f t="shared" si="5"/>
        <v>38.166000000000025</v>
      </c>
      <c r="F21" s="30">
        <f t="shared" si="5"/>
        <v>164.74000000000004</v>
      </c>
      <c r="G21" s="30">
        <f t="shared" si="5"/>
        <v>138.86500000000004</v>
      </c>
      <c r="H21" s="30">
        <f t="shared" si="5"/>
        <v>277.90800000000002</v>
      </c>
      <c r="I21" s="30">
        <f t="shared" si="5"/>
        <v>269.75599999999997</v>
      </c>
      <c r="J21" s="30">
        <f t="shared" si="5"/>
        <v>278.15499999999997</v>
      </c>
      <c r="K21" s="30">
        <f t="shared" si="5"/>
        <v>152.41200000000001</v>
      </c>
    </row>
    <row r="22" spans="1:19" x14ac:dyDescent="0.2">
      <c r="A22" s="30" t="s">
        <v>214</v>
      </c>
      <c r="C22" s="30">
        <v>2.3039999999999998</v>
      </c>
      <c r="D22" s="30">
        <v>1.337</v>
      </c>
      <c r="E22" s="30">
        <v>1.0209999999999999</v>
      </c>
      <c r="F22" s="30">
        <v>1.365</v>
      </c>
      <c r="G22" s="30">
        <v>2.0369999999999999</v>
      </c>
      <c r="H22" s="30">
        <v>2.9630000000000001</v>
      </c>
      <c r="I22" s="30">
        <v>3.2330000000000001</v>
      </c>
      <c r="J22" s="30">
        <v>3.8929999999999998</v>
      </c>
      <c r="K22" s="30">
        <v>3.8220000000000001</v>
      </c>
    </row>
    <row r="23" spans="1:19" x14ac:dyDescent="0.2">
      <c r="A23" s="30" t="s">
        <v>60</v>
      </c>
      <c r="C23" s="30">
        <f t="shared" ref="C23:K23" si="6">SQRT((4+(C22^2)))</f>
        <v>3.0509696819208152</v>
      </c>
      <c r="D23" s="30">
        <f t="shared" si="6"/>
        <v>2.4057366855082041</v>
      </c>
      <c r="E23" s="30">
        <f t="shared" si="6"/>
        <v>2.2455380201635422</v>
      </c>
      <c r="F23" s="30">
        <f t="shared" si="6"/>
        <v>2.4214097133694659</v>
      </c>
      <c r="G23" s="30">
        <f t="shared" si="6"/>
        <v>2.8547099677550434</v>
      </c>
      <c r="H23" s="30">
        <f t="shared" si="6"/>
        <v>3.5748243313483252</v>
      </c>
      <c r="I23" s="30">
        <f t="shared" si="6"/>
        <v>3.8016166298036946</v>
      </c>
      <c r="J23" s="30">
        <f t="shared" si="6"/>
        <v>4.3766938435307532</v>
      </c>
      <c r="K23" s="30">
        <f t="shared" si="6"/>
        <v>4.3136624810014981</v>
      </c>
    </row>
    <row r="24" spans="1:19" x14ac:dyDescent="0.2">
      <c r="A24" s="30" t="s">
        <v>59</v>
      </c>
      <c r="E24" s="30">
        <f t="shared" ref="E24:K24" si="7">E21/$G$2</f>
        <v>0.41316452407455068</v>
      </c>
      <c r="F24" s="30">
        <f t="shared" si="7"/>
        <v>1.7833863568632147</v>
      </c>
      <c r="G24" s="30">
        <f t="shared" si="7"/>
        <v>1.503277567353468</v>
      </c>
      <c r="H24" s="30">
        <f t="shared" si="7"/>
        <v>3.0084820666695529</v>
      </c>
      <c r="I24" s="30">
        <f t="shared" si="7"/>
        <v>2.9202329129658442</v>
      </c>
      <c r="J24" s="30">
        <f t="shared" si="7"/>
        <v>3.0111559554041962</v>
      </c>
      <c r="K24" s="30">
        <f t="shared" si="7"/>
        <v>1.6499300802612371</v>
      </c>
    </row>
    <row r="26" spans="1:19" x14ac:dyDescent="0.2">
      <c r="A26" s="45" t="s">
        <v>638</v>
      </c>
    </row>
    <row r="27" spans="1:19" x14ac:dyDescent="0.2">
      <c r="A27" s="30" t="s">
        <v>215</v>
      </c>
      <c r="C27" s="30">
        <v>257.33999999999997</v>
      </c>
      <c r="D27" s="30">
        <v>315.87099999999998</v>
      </c>
      <c r="E27" s="30">
        <v>263.13299999999998</v>
      </c>
    </row>
    <row r="28" spans="1:19" x14ac:dyDescent="0.2">
      <c r="A28" s="30" t="s">
        <v>62</v>
      </c>
      <c r="C28" s="30">
        <f>C27-$B$7</f>
        <v>39.556999999999988</v>
      </c>
      <c r="D28" s="30">
        <f>D27-$B$7</f>
        <v>98.087999999999994</v>
      </c>
      <c r="E28" s="30">
        <f>E27-$B$7</f>
        <v>45.349999999999994</v>
      </c>
    </row>
    <row r="29" spans="1:19" x14ac:dyDescent="0.2">
      <c r="A29" s="30" t="s">
        <v>214</v>
      </c>
      <c r="C29" s="30">
        <v>1.1279999999999999</v>
      </c>
      <c r="D29" s="30">
        <v>3.9940000000000002</v>
      </c>
      <c r="E29" s="30">
        <v>14.002000000000001</v>
      </c>
    </row>
    <row r="30" spans="1:19" x14ac:dyDescent="0.2">
      <c r="A30" s="30" t="s">
        <v>60</v>
      </c>
      <c r="C30" s="30">
        <f>SQRT((9+(C29^2)))</f>
        <v>3.2050560057509134</v>
      </c>
      <c r="D30" s="30">
        <f>SQRT((9+(D29^2)))</f>
        <v>4.9952012972451874</v>
      </c>
      <c r="E30" s="30">
        <f>SQRT((9+(E29^2)))</f>
        <v>14.31977667423623</v>
      </c>
    </row>
    <row r="31" spans="1:19" x14ac:dyDescent="0.2">
      <c r="A31" s="30" t="s">
        <v>59</v>
      </c>
      <c r="C31" s="30">
        <f>C28/$G$2</f>
        <v>0.4282227395801757</v>
      </c>
      <c r="D31" s="30">
        <f>D28/$G$2</f>
        <v>1.0618477660070349</v>
      </c>
      <c r="E31" s="30">
        <f>E28/$G$2</f>
        <v>0.49093463204896659</v>
      </c>
    </row>
    <row r="33" spans="1:7" x14ac:dyDescent="0.2">
      <c r="A33" s="45" t="s">
        <v>637</v>
      </c>
      <c r="C33" s="30">
        <v>1</v>
      </c>
    </row>
    <row r="34" spans="1:7" x14ac:dyDescent="0.2">
      <c r="A34" s="30" t="s">
        <v>215</v>
      </c>
      <c r="C34" s="30">
        <v>251.30500000000001</v>
      </c>
      <c r="D34" s="30">
        <v>347.66800000000001</v>
      </c>
      <c r="E34" s="30">
        <v>353.10899999999998</v>
      </c>
      <c r="F34" s="30">
        <v>300.20299999999997</v>
      </c>
      <c r="G34" s="30">
        <v>292.95699999999999</v>
      </c>
    </row>
    <row r="35" spans="1:7" x14ac:dyDescent="0.2">
      <c r="A35" s="30" t="s">
        <v>62</v>
      </c>
      <c r="C35" s="30">
        <f>C34-$B$7</f>
        <v>33.52200000000002</v>
      </c>
      <c r="D35" s="30">
        <f>D34-$B$7</f>
        <v>129.88500000000002</v>
      </c>
      <c r="E35" s="30">
        <f>E34-$B$7</f>
        <v>135.32599999999999</v>
      </c>
      <c r="F35" s="30">
        <f>F34-$B$7</f>
        <v>82.419999999999987</v>
      </c>
      <c r="G35" s="30">
        <f>G34-$B$7</f>
        <v>75.174000000000007</v>
      </c>
    </row>
    <row r="36" spans="1:7" x14ac:dyDescent="0.2">
      <c r="A36" s="30" t="s">
        <v>214</v>
      </c>
      <c r="C36" s="30">
        <v>7.968</v>
      </c>
      <c r="D36" s="30">
        <v>14.286</v>
      </c>
      <c r="E36" s="30">
        <v>13.971</v>
      </c>
      <c r="F36" s="30">
        <v>14.247</v>
      </c>
      <c r="G36" s="30">
        <v>13.85</v>
      </c>
    </row>
    <row r="37" spans="1:7" x14ac:dyDescent="0.2">
      <c r="A37" s="30" t="s">
        <v>60</v>
      </c>
      <c r="C37" s="30">
        <f>SQRT((16+(C36^2)))</f>
        <v>8.9156617253011561</v>
      </c>
      <c r="D37" s="30">
        <f>SQRT((16+(D36^2)))</f>
        <v>14.835423687916702</v>
      </c>
      <c r="E37" s="30">
        <f>SQRT((16+(E36^2)))</f>
        <v>14.532337767888551</v>
      </c>
      <c r="F37" s="30">
        <f>SQRT((16+(F36^2)))</f>
        <v>14.797871772657039</v>
      </c>
      <c r="G37" s="30">
        <f>SQRT((16+(G36^2)))</f>
        <v>14.416050083153845</v>
      </c>
    </row>
    <row r="38" spans="1:7" x14ac:dyDescent="0.2">
      <c r="A38" s="30" t="s">
        <v>59</v>
      </c>
      <c r="D38" s="30">
        <f>D35/$G$2</f>
        <v>1.4060649323854475</v>
      </c>
      <c r="E38" s="30">
        <f>E35/$G$2</f>
        <v>1.4649662627708591</v>
      </c>
      <c r="F38" s="30">
        <f>F35/$G$2</f>
        <v>0.89223445145481417</v>
      </c>
      <c r="G38" s="30">
        <f>G35/$G$2</f>
        <v>0.81379316493162124</v>
      </c>
    </row>
    <row r="40" spans="1:7" x14ac:dyDescent="0.2">
      <c r="A40" s="45" t="s">
        <v>636</v>
      </c>
      <c r="C40" s="30">
        <v>1</v>
      </c>
      <c r="D40" s="30">
        <v>1</v>
      </c>
    </row>
    <row r="41" spans="1:7" x14ac:dyDescent="0.2">
      <c r="A41" s="30" t="s">
        <v>215</v>
      </c>
      <c r="C41" s="30">
        <v>382.85899999999998</v>
      </c>
      <c r="D41" s="30">
        <v>327.61700000000002</v>
      </c>
      <c r="E41" s="30">
        <v>323.14100000000002</v>
      </c>
      <c r="F41" s="30">
        <v>292.762</v>
      </c>
      <c r="G41" s="30">
        <v>409.988</v>
      </c>
    </row>
    <row r="42" spans="1:7" x14ac:dyDescent="0.2">
      <c r="A42" s="30" t="s">
        <v>62</v>
      </c>
      <c r="C42" s="30">
        <f>C41-$B$7</f>
        <v>165.07599999999999</v>
      </c>
      <c r="D42" s="30">
        <f>D41-$B$7</f>
        <v>109.83400000000003</v>
      </c>
      <c r="E42" s="30">
        <f>E41-$B$7</f>
        <v>105.35800000000003</v>
      </c>
      <c r="F42" s="30">
        <f>F41-$B$7</f>
        <v>74.979000000000013</v>
      </c>
      <c r="G42" s="30">
        <f>G41-$B$7</f>
        <v>192.20500000000001</v>
      </c>
    </row>
    <row r="43" spans="1:7" x14ac:dyDescent="0.2">
      <c r="A43" s="30" t="s">
        <v>214</v>
      </c>
      <c r="C43" s="30">
        <v>3.8359999999999999</v>
      </c>
      <c r="D43" s="30">
        <v>2.1280000000000001</v>
      </c>
      <c r="E43" s="30">
        <v>3.3620000000000001</v>
      </c>
      <c r="F43" s="30">
        <v>2.5710000000000002</v>
      </c>
      <c r="G43" s="30">
        <v>2.613</v>
      </c>
    </row>
    <row r="44" spans="1:7" x14ac:dyDescent="0.2">
      <c r="A44" s="30" t="s">
        <v>60</v>
      </c>
      <c r="C44" s="30">
        <f>SQRT((1+(C43^2)))</f>
        <v>3.9642018112099184</v>
      </c>
      <c r="D44" s="30">
        <f>SQRT((1+(D43^2)))</f>
        <v>2.351251581604997</v>
      </c>
      <c r="E44" s="30">
        <f>SQRT((1+(E43^2)))</f>
        <v>3.5075695288903397</v>
      </c>
      <c r="F44" s="30">
        <f>SQRT((1+(F43^2)))</f>
        <v>2.7586302760609298</v>
      </c>
      <c r="G44" s="30">
        <f>SQRT((1+(G43^2)))</f>
        <v>2.7978150403484503</v>
      </c>
    </row>
    <row r="45" spans="1:7" x14ac:dyDescent="0.2">
      <c r="A45" s="30" t="s">
        <v>59</v>
      </c>
      <c r="E45" s="30">
        <f>E42/$G$2</f>
        <v>1.1405488635813681</v>
      </c>
      <c r="F45" s="30">
        <f>F42/$G$2</f>
        <v>0.81168220014111303</v>
      </c>
      <c r="G45" s="30">
        <f>G42/$G$2</f>
        <v>2.0807076285109511</v>
      </c>
    </row>
    <row r="47" spans="1:7" x14ac:dyDescent="0.2">
      <c r="A47" s="45" t="s">
        <v>635</v>
      </c>
    </row>
    <row r="48" spans="1:7" x14ac:dyDescent="0.2">
      <c r="A48" s="30" t="s">
        <v>215</v>
      </c>
      <c r="C48" s="30">
        <v>281.46100000000001</v>
      </c>
      <c r="D48" s="30">
        <v>274.36700000000002</v>
      </c>
      <c r="E48" s="30">
        <v>255.63300000000001</v>
      </c>
    </row>
    <row r="49" spans="1:8" x14ac:dyDescent="0.2">
      <c r="A49" s="30" t="s">
        <v>62</v>
      </c>
      <c r="C49" s="30">
        <f>C48-$B$7</f>
        <v>63.678000000000026</v>
      </c>
      <c r="D49" s="30">
        <f>D48-$B$7</f>
        <v>56.584000000000032</v>
      </c>
      <c r="E49" s="30">
        <f>E48-$B$7</f>
        <v>37.850000000000023</v>
      </c>
    </row>
    <row r="50" spans="1:8" x14ac:dyDescent="0.2">
      <c r="A50" s="30" t="s">
        <v>214</v>
      </c>
      <c r="C50" s="30">
        <v>3.8860000000000001</v>
      </c>
      <c r="D50" s="30">
        <v>2.1760000000000002</v>
      </c>
      <c r="E50" s="30">
        <v>9.5890000000000004</v>
      </c>
    </row>
    <row r="51" spans="1:8" x14ac:dyDescent="0.2">
      <c r="A51" s="30" t="s">
        <v>60</v>
      </c>
      <c r="C51" s="30">
        <f>SQRT((4+(C50^2)))</f>
        <v>4.3704686247586775</v>
      </c>
      <c r="D51" s="30">
        <f>SQRT((4+(D50^2)))</f>
        <v>2.9554992810014351</v>
      </c>
      <c r="E51" s="30">
        <f>SQRT((4+(E50^2)))</f>
        <v>9.7953520100096458</v>
      </c>
    </row>
    <row r="52" spans="1:8" x14ac:dyDescent="0.2">
      <c r="A52" s="30" t="s">
        <v>59</v>
      </c>
      <c r="C52" s="30">
        <f>C49/$G$2</f>
        <v>0.68934367143581277</v>
      </c>
      <c r="D52" s="30">
        <f>D49/$G$2</f>
        <v>0.61254785490316965</v>
      </c>
      <c r="E52" s="30">
        <f>E49/$G$2</f>
        <v>0.40974367856788091</v>
      </c>
    </row>
    <row r="54" spans="1:8" x14ac:dyDescent="0.2">
      <c r="A54" s="45" t="s">
        <v>634</v>
      </c>
      <c r="C54" s="30">
        <v>1</v>
      </c>
      <c r="D54" s="30">
        <v>1</v>
      </c>
    </row>
    <row r="55" spans="1:8" x14ac:dyDescent="0.2">
      <c r="A55" s="30" t="s">
        <v>215</v>
      </c>
      <c r="C55" s="30">
        <v>342.98</v>
      </c>
      <c r="D55" s="30">
        <v>339.89100000000002</v>
      </c>
      <c r="E55" s="30">
        <v>476.10899999999998</v>
      </c>
      <c r="F55" s="30">
        <v>450.19099999999997</v>
      </c>
      <c r="G55" s="30">
        <v>443.48</v>
      </c>
      <c r="H55" s="30">
        <v>321.33999999999997</v>
      </c>
    </row>
    <row r="56" spans="1:8" x14ac:dyDescent="0.2">
      <c r="A56" s="30" t="s">
        <v>62</v>
      </c>
      <c r="C56" s="30">
        <f t="shared" ref="C56:H56" si="8">C55-$B$7</f>
        <v>125.19700000000003</v>
      </c>
      <c r="D56" s="30">
        <f t="shared" si="8"/>
        <v>122.10800000000003</v>
      </c>
      <c r="E56" s="30">
        <f t="shared" si="8"/>
        <v>258.32600000000002</v>
      </c>
      <c r="F56" s="30">
        <f t="shared" si="8"/>
        <v>232.40799999999999</v>
      </c>
      <c r="G56" s="30">
        <f t="shared" si="8"/>
        <v>225.69700000000003</v>
      </c>
      <c r="H56" s="30">
        <f t="shared" si="8"/>
        <v>103.55699999999999</v>
      </c>
    </row>
    <row r="57" spans="1:8" x14ac:dyDescent="0.2">
      <c r="A57" s="30" t="s">
        <v>214</v>
      </c>
      <c r="C57" s="30">
        <v>9.4009999999999998</v>
      </c>
      <c r="D57" s="30">
        <v>8.9879999999999995</v>
      </c>
      <c r="E57" s="30">
        <v>2.3220000000000001</v>
      </c>
      <c r="F57" s="30">
        <v>1.891</v>
      </c>
      <c r="G57" s="30">
        <v>3.0270000000000001</v>
      </c>
      <c r="H57" s="30">
        <v>3.726</v>
      </c>
    </row>
    <row r="58" spans="1:8" x14ac:dyDescent="0.2">
      <c r="A58" s="30" t="s">
        <v>60</v>
      </c>
      <c r="C58" s="30">
        <f t="shared" ref="C58:H58" si="9">SQRT((9+(C57^2)))</f>
        <v>9.8680697707302407</v>
      </c>
      <c r="D58" s="30">
        <f t="shared" si="9"/>
        <v>9.4754495407869701</v>
      </c>
      <c r="E58" s="30">
        <f t="shared" si="9"/>
        <v>3.7936373047512069</v>
      </c>
      <c r="F58" s="30">
        <f t="shared" si="9"/>
        <v>3.5462488632356299</v>
      </c>
      <c r="G58" s="30">
        <f t="shared" si="9"/>
        <v>4.2617753342943825</v>
      </c>
      <c r="H58" s="30">
        <f t="shared" si="9"/>
        <v>4.7836258214872949</v>
      </c>
    </row>
    <row r="59" spans="1:8" x14ac:dyDescent="0.2">
      <c r="A59" s="30" t="s">
        <v>59</v>
      </c>
      <c r="E59" s="30">
        <f>E56/$G$2</f>
        <v>2.7964978998606695</v>
      </c>
      <c r="F59" s="30">
        <f>F56/$G$2</f>
        <v>2.5159236155509643</v>
      </c>
      <c r="G59" s="30">
        <f>G56/$G$2</f>
        <v>2.443273950376089</v>
      </c>
      <c r="H59" s="30">
        <f>H56/$G$2</f>
        <v>1.1210522092854429</v>
      </c>
    </row>
    <row r="61" spans="1:8" x14ac:dyDescent="0.2">
      <c r="A61" s="45" t="s">
        <v>633</v>
      </c>
    </row>
    <row r="62" spans="1:8" x14ac:dyDescent="0.2">
      <c r="A62" s="30" t="s">
        <v>215</v>
      </c>
      <c r="C62" s="30">
        <v>309.75799999999998</v>
      </c>
      <c r="D62" s="30">
        <v>301.07</v>
      </c>
      <c r="E62" s="30">
        <v>382.19900000000001</v>
      </c>
      <c r="F62" s="30">
        <v>698.33199999999999</v>
      </c>
    </row>
    <row r="63" spans="1:8" x14ac:dyDescent="0.2">
      <c r="A63" s="30" t="s">
        <v>62</v>
      </c>
      <c r="C63" s="30">
        <f>C62-$B$7</f>
        <v>91.974999999999994</v>
      </c>
      <c r="D63" s="30">
        <f>D62-$B$7</f>
        <v>83.287000000000006</v>
      </c>
      <c r="E63" s="30">
        <f>E62-$B$7</f>
        <v>164.41600000000003</v>
      </c>
      <c r="F63" s="30">
        <f>F62-$B$7</f>
        <v>480.54899999999998</v>
      </c>
    </row>
    <row r="64" spans="1:8" x14ac:dyDescent="0.2">
      <c r="A64" s="30" t="s">
        <v>214</v>
      </c>
      <c r="C64" s="30">
        <v>3.8180000000000001</v>
      </c>
      <c r="D64" s="30">
        <v>3.1110000000000002</v>
      </c>
      <c r="E64" s="30">
        <v>1.8380000000000001</v>
      </c>
      <c r="F64" s="30">
        <v>2.2309999999999999</v>
      </c>
    </row>
    <row r="65" spans="1:6" x14ac:dyDescent="0.2">
      <c r="A65" s="30" t="s">
        <v>60</v>
      </c>
      <c r="C65" s="30">
        <f>SQRT((16+(C64^2)))</f>
        <v>5.5296585789721231</v>
      </c>
      <c r="D65" s="30">
        <f>SQRT((16+(D64^2)))</f>
        <v>5.0673781189092262</v>
      </c>
      <c r="E65" s="30">
        <f>SQRT((16+(E64^2)))</f>
        <v>4.4020726936296724</v>
      </c>
      <c r="F65" s="30">
        <f>SQRT((16+(F64^2)))</f>
        <v>4.5801049114621817</v>
      </c>
    </row>
    <row r="66" spans="1:6" x14ac:dyDescent="0.2">
      <c r="A66" s="30" t="s">
        <v>59</v>
      </c>
      <c r="C66" s="30">
        <f>C63/$G$2</f>
        <v>0.99567172618971778</v>
      </c>
      <c r="D66" s="30">
        <f>D63/$G$2</f>
        <v>0.90162012567722793</v>
      </c>
      <c r="E66" s="30">
        <f>E63/$G$2</f>
        <v>1.7798789076728316</v>
      </c>
      <c r="F66" s="30">
        <f>F63/$G$2</f>
        <v>5.2021642005843187</v>
      </c>
    </row>
    <row r="68" spans="1:6" x14ac:dyDescent="0.2">
      <c r="A68" s="45" t="s">
        <v>632</v>
      </c>
    </row>
    <row r="69" spans="1:6" x14ac:dyDescent="0.2">
      <c r="A69" s="30" t="s">
        <v>215</v>
      </c>
      <c r="C69" s="30">
        <v>321.512</v>
      </c>
      <c r="D69" s="30">
        <v>328.93799999999999</v>
      </c>
    </row>
    <row r="70" spans="1:6" x14ac:dyDescent="0.2">
      <c r="A70" s="30" t="s">
        <v>62</v>
      </c>
      <c r="C70" s="30">
        <f>C69-$B$7</f>
        <v>103.72900000000001</v>
      </c>
      <c r="D70" s="30">
        <f>D69-$B$7</f>
        <v>111.155</v>
      </c>
    </row>
    <row r="71" spans="1:6" x14ac:dyDescent="0.2">
      <c r="A71" s="30" t="s">
        <v>214</v>
      </c>
      <c r="C71" s="30">
        <v>1.9650000000000001</v>
      </c>
      <c r="D71" s="30">
        <v>1.8879999999999999</v>
      </c>
    </row>
    <row r="72" spans="1:6" x14ac:dyDescent="0.2">
      <c r="A72" s="30" t="s">
        <v>60</v>
      </c>
      <c r="C72" s="30">
        <f>SQRT((25+(C71^2)))</f>
        <v>5.3722644201491052</v>
      </c>
      <c r="D72" s="30">
        <f>SQRT((25+(D71^2)))</f>
        <v>5.3445808067611811</v>
      </c>
    </row>
    <row r="73" spans="1:6" x14ac:dyDescent="0.2">
      <c r="A73" s="30" t="s">
        <v>59</v>
      </c>
      <c r="C73" s="30">
        <f>C70/$G$2</f>
        <v>1.122914188485276</v>
      </c>
      <c r="D73" s="30">
        <f>D70/$G$2</f>
        <v>1.2033040578920151</v>
      </c>
    </row>
    <row r="75" spans="1:6" x14ac:dyDescent="0.2">
      <c r="A75" s="45" t="s">
        <v>631</v>
      </c>
      <c r="C75" s="30">
        <v>1</v>
      </c>
    </row>
    <row r="76" spans="1:6" x14ac:dyDescent="0.2">
      <c r="A76" s="30" t="s">
        <v>215</v>
      </c>
      <c r="C76" s="30">
        <v>307.48399999999998</v>
      </c>
    </row>
    <row r="77" spans="1:6" x14ac:dyDescent="0.2">
      <c r="A77" s="30" t="s">
        <v>62</v>
      </c>
      <c r="C77" s="30">
        <f>C76-B7</f>
        <v>89.700999999999993</v>
      </c>
    </row>
    <row r="78" spans="1:6" x14ac:dyDescent="0.2">
      <c r="A78" s="30" t="s">
        <v>214</v>
      </c>
      <c r="C78" s="30">
        <v>8.702</v>
      </c>
    </row>
    <row r="79" spans="1:6" x14ac:dyDescent="0.2">
      <c r="A79" s="30" t="s">
        <v>60</v>
      </c>
      <c r="C79" s="30">
        <f>SQRT((36+(C78^2)))</f>
        <v>10.569995458844815</v>
      </c>
    </row>
    <row r="80" spans="1:6" x14ac:dyDescent="0.2">
      <c r="A80" s="30" t="s">
        <v>59</v>
      </c>
    </row>
    <row r="82" spans="1:4" x14ac:dyDescent="0.2">
      <c r="A82" s="45" t="s">
        <v>630</v>
      </c>
      <c r="C82" s="30">
        <v>1</v>
      </c>
    </row>
    <row r="83" spans="1:4" x14ac:dyDescent="0.2">
      <c r="A83" s="30" t="s">
        <v>215</v>
      </c>
      <c r="C83" s="30">
        <v>283.19900000000001</v>
      </c>
      <c r="D83" s="30">
        <v>250.70699999999999</v>
      </c>
    </row>
    <row r="84" spans="1:4" x14ac:dyDescent="0.2">
      <c r="A84" s="30" t="s">
        <v>62</v>
      </c>
      <c r="C84" s="30">
        <f>C83-$B$7</f>
        <v>65.416000000000025</v>
      </c>
      <c r="D84" s="30">
        <f>D83-$B$7</f>
        <v>32.924000000000007</v>
      </c>
    </row>
    <row r="85" spans="1:4" x14ac:dyDescent="0.2">
      <c r="A85" s="30" t="s">
        <v>214</v>
      </c>
      <c r="C85" s="30">
        <v>10.47</v>
      </c>
      <c r="D85" s="30">
        <v>8.6880000000000006</v>
      </c>
    </row>
    <row r="86" spans="1:4" x14ac:dyDescent="0.2">
      <c r="A86" s="30" t="s">
        <v>60</v>
      </c>
      <c r="C86" s="30">
        <f>SQRT((49+(C85^2)))</f>
        <v>12.594478949126875</v>
      </c>
      <c r="D86" s="30">
        <f>SQRT((49+(D85^2)))</f>
        <v>11.157120775540614</v>
      </c>
    </row>
    <row r="87" spans="1:4" x14ac:dyDescent="0.2">
      <c r="A87" s="30" t="s">
        <v>59</v>
      </c>
      <c r="D87" s="30">
        <f>D84/G2</f>
        <v>0.35641746032150345</v>
      </c>
    </row>
    <row r="89" spans="1:4" x14ac:dyDescent="0.2">
      <c r="A89" s="45" t="s">
        <v>629</v>
      </c>
    </row>
    <row r="90" spans="1:4" x14ac:dyDescent="0.2">
      <c r="A90" s="30" t="s">
        <v>215</v>
      </c>
      <c r="C90" s="30">
        <v>255.172</v>
      </c>
      <c r="D90" s="30">
        <v>254.78100000000001</v>
      </c>
    </row>
    <row r="91" spans="1:4" x14ac:dyDescent="0.2">
      <c r="A91" s="30" t="s">
        <v>62</v>
      </c>
      <c r="C91" s="30">
        <f>C90-$B$7</f>
        <v>37.38900000000001</v>
      </c>
      <c r="D91" s="30">
        <f>D90-$B$7</f>
        <v>36.998000000000019</v>
      </c>
    </row>
    <row r="92" spans="1:4" x14ac:dyDescent="0.2">
      <c r="A92" s="30" t="s">
        <v>214</v>
      </c>
      <c r="C92" s="30">
        <v>11.711</v>
      </c>
      <c r="D92" s="30">
        <v>5.992</v>
      </c>
    </row>
    <row r="93" spans="1:4" x14ac:dyDescent="0.2">
      <c r="A93" s="30" t="s">
        <v>60</v>
      </c>
      <c r="C93" s="30">
        <f>SQRT((64+(C92^2)))</f>
        <v>14.182648589033009</v>
      </c>
      <c r="D93" s="30">
        <f>SQRT((64+(D92^2)))</f>
        <v>9.9952020489833018</v>
      </c>
    </row>
    <row r="94" spans="1:4" x14ac:dyDescent="0.2">
      <c r="A94" s="30" t="s">
        <v>59</v>
      </c>
      <c r="C94" s="30">
        <f>C91/$G$2</f>
        <v>0.40475314129390999</v>
      </c>
      <c r="D94" s="30">
        <f>D91/$G$2</f>
        <v>0.40052038625242947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AA10-03B4-2741-B5F6-F0F69A4146C2}">
  <dimension ref="A1:S59"/>
  <sheetViews>
    <sheetView workbookViewId="0">
      <selection activeCell="S48" sqref="S48"/>
    </sheetView>
  </sheetViews>
  <sheetFormatPr baseColWidth="10" defaultColWidth="10.83203125" defaultRowHeight="15" x14ac:dyDescent="0.2"/>
  <cols>
    <col min="1" max="1" width="18.83203125" customWidth="1"/>
    <col min="2" max="2" width="22.33203125" customWidth="1"/>
  </cols>
  <sheetData>
    <row r="1" spans="1:6" x14ac:dyDescent="0.2">
      <c r="A1" t="s">
        <v>613</v>
      </c>
    </row>
    <row r="2" spans="1:6" s="1" customFormat="1" x14ac:dyDescent="0.2">
      <c r="A2" s="1" t="s">
        <v>15</v>
      </c>
      <c r="B2" s="1" t="s">
        <v>30</v>
      </c>
      <c r="C2" s="1" t="s">
        <v>25</v>
      </c>
    </row>
    <row r="3" spans="1:6" x14ac:dyDescent="0.2">
      <c r="A3" t="s">
        <v>612</v>
      </c>
      <c r="B3">
        <v>241.393</v>
      </c>
      <c r="C3">
        <v>299.26900000000001</v>
      </c>
      <c r="D3">
        <v>321.23099999999999</v>
      </c>
      <c r="E3">
        <v>313.36500000000001</v>
      </c>
    </row>
    <row r="4" spans="1:6" x14ac:dyDescent="0.2">
      <c r="A4" t="s">
        <v>611</v>
      </c>
      <c r="C4">
        <f>C3-B3</f>
        <v>57.876000000000005</v>
      </c>
      <c r="D4">
        <f>D3-B3</f>
        <v>79.837999999999994</v>
      </c>
      <c r="E4">
        <f>E3-B3</f>
        <v>71.972000000000008</v>
      </c>
    </row>
    <row r="5" spans="1:6" x14ac:dyDescent="0.2">
      <c r="A5" t="s">
        <v>5</v>
      </c>
      <c r="C5">
        <v>7.407</v>
      </c>
      <c r="D5">
        <v>4.9409999999999998</v>
      </c>
      <c r="E5">
        <v>4.7560000000000002</v>
      </c>
    </row>
    <row r="6" spans="1:6" x14ac:dyDescent="0.2">
      <c r="A6" t="s">
        <v>6</v>
      </c>
      <c r="C6">
        <f>SQRT(25+C5^2)</f>
        <v>8.9366464067904143</v>
      </c>
      <c r="D6">
        <f>SQRT(25+D5^2)</f>
        <v>7.0294723130545149</v>
      </c>
      <c r="E6">
        <f>SQRT(25+E5^2)</f>
        <v>6.9006909798946952</v>
      </c>
    </row>
    <row r="7" spans="1:6" x14ac:dyDescent="0.2">
      <c r="A7" t="s">
        <v>10</v>
      </c>
      <c r="C7">
        <f>C4/83.709</f>
        <v>0.69139519048131026</v>
      </c>
      <c r="D7">
        <f>D4/83.709</f>
        <v>0.95375646585193929</v>
      </c>
      <c r="E7">
        <f>E4/83.709</f>
        <v>0.85978807535629387</v>
      </c>
    </row>
    <row r="9" spans="1:6" s="1" customFormat="1" x14ac:dyDescent="0.2">
      <c r="A9" s="1" t="s">
        <v>16</v>
      </c>
      <c r="B9" s="1" t="s">
        <v>30</v>
      </c>
      <c r="C9" s="1" t="s">
        <v>25</v>
      </c>
    </row>
    <row r="10" spans="1:6" x14ac:dyDescent="0.2">
      <c r="A10" t="s">
        <v>610</v>
      </c>
      <c r="B10">
        <v>241.393</v>
      </c>
      <c r="C10">
        <v>356.78800000000001</v>
      </c>
      <c r="D10">
        <v>372.80799999999999</v>
      </c>
      <c r="E10">
        <v>367.11500000000001</v>
      </c>
      <c r="F10">
        <v>328.26900000000001</v>
      </c>
    </row>
    <row r="11" spans="1:6" x14ac:dyDescent="0.2">
      <c r="A11" t="s">
        <v>609</v>
      </c>
      <c r="C11">
        <f>C10-B10</f>
        <v>115.39500000000001</v>
      </c>
      <c r="D11">
        <f>D10-B10</f>
        <v>131.41499999999999</v>
      </c>
      <c r="E11">
        <f>E10-B10</f>
        <v>125.72200000000001</v>
      </c>
      <c r="F11">
        <f>F10-B10</f>
        <v>86.876000000000005</v>
      </c>
    </row>
    <row r="12" spans="1:6" x14ac:dyDescent="0.2">
      <c r="A12" t="s">
        <v>5</v>
      </c>
      <c r="C12">
        <v>7.577</v>
      </c>
      <c r="D12">
        <v>5.032</v>
      </c>
      <c r="E12">
        <v>4.7569999999999997</v>
      </c>
      <c r="F12">
        <v>8.1590000000000007</v>
      </c>
    </row>
    <row r="13" spans="1:6" x14ac:dyDescent="0.2">
      <c r="A13" t="s">
        <v>6</v>
      </c>
      <c r="C13">
        <f>SQRT(9+C12^2)</f>
        <v>8.1492900917810012</v>
      </c>
      <c r="D13">
        <f>SQRT(9+D12^2)</f>
        <v>5.8584148026577978</v>
      </c>
      <c r="E13">
        <f>SQRT(9+E12^2)</f>
        <v>5.6239709280898671</v>
      </c>
      <c r="F13">
        <f>SQRT(9+F12^2)</f>
        <v>8.6930593579015678</v>
      </c>
    </row>
    <row r="14" spans="1:6" x14ac:dyDescent="0.2">
      <c r="A14" t="s">
        <v>10</v>
      </c>
      <c r="C14">
        <f>C11/83.709</f>
        <v>1.3785256065656024</v>
      </c>
      <c r="D14">
        <f>D11/83.709</f>
        <v>1.5699028778267567</v>
      </c>
      <c r="E14">
        <f>E11/83.709</f>
        <v>1.5018934642631019</v>
      </c>
      <c r="F14">
        <f>F11/83.709</f>
        <v>1.0378334468217276</v>
      </c>
    </row>
    <row r="16" spans="1:6" s="1" customFormat="1" x14ac:dyDescent="0.2">
      <c r="A16" s="1" t="s">
        <v>18</v>
      </c>
      <c r="B16" s="1" t="s">
        <v>30</v>
      </c>
      <c r="C16" s="1" t="s">
        <v>25</v>
      </c>
    </row>
    <row r="17" spans="1:18" x14ac:dyDescent="0.2">
      <c r="A17" t="s">
        <v>3</v>
      </c>
      <c r="B17">
        <v>241.393</v>
      </c>
      <c r="C17">
        <v>331.63499999999999</v>
      </c>
      <c r="D17">
        <v>331.423</v>
      </c>
      <c r="E17">
        <v>470.25</v>
      </c>
      <c r="F17">
        <v>521.44200000000001</v>
      </c>
      <c r="G17">
        <v>319.78800000000001</v>
      </c>
      <c r="H17">
        <v>399.846</v>
      </c>
    </row>
    <row r="18" spans="1:18" x14ac:dyDescent="0.2">
      <c r="A18" t="s">
        <v>4</v>
      </c>
      <c r="C18">
        <f>C17-B17</f>
        <v>90.24199999999999</v>
      </c>
      <c r="D18">
        <f>D17-B17</f>
        <v>90.03</v>
      </c>
      <c r="E18">
        <f>E17-B17</f>
        <v>228.857</v>
      </c>
      <c r="F18">
        <f>F17-B17</f>
        <v>280.04899999999998</v>
      </c>
      <c r="G18">
        <f>G17-B17</f>
        <v>78.39500000000001</v>
      </c>
      <c r="H18">
        <f>H17-B17</f>
        <v>158.453</v>
      </c>
    </row>
    <row r="19" spans="1:18" x14ac:dyDescent="0.2">
      <c r="A19" t="s">
        <v>5</v>
      </c>
      <c r="C19">
        <v>7.5270000000000001</v>
      </c>
      <c r="D19">
        <v>7.5369999999999999</v>
      </c>
      <c r="E19">
        <v>4.7359999999999998</v>
      </c>
      <c r="F19">
        <v>5.0339999999999998</v>
      </c>
      <c r="G19">
        <v>6.4889999999999999</v>
      </c>
      <c r="H19">
        <v>8.0510000000000002</v>
      </c>
    </row>
    <row r="20" spans="1:18" x14ac:dyDescent="0.2">
      <c r="A20" t="s">
        <v>17</v>
      </c>
      <c r="C20">
        <f t="shared" ref="C20:H20" si="0">SQRT(4+C19^2)</f>
        <v>7.7881787986666051</v>
      </c>
      <c r="D20">
        <f t="shared" si="0"/>
        <v>7.797843868660105</v>
      </c>
      <c r="E20">
        <f t="shared" si="0"/>
        <v>5.1409820073600718</v>
      </c>
      <c r="F20">
        <f t="shared" si="0"/>
        <v>5.4167477327267139</v>
      </c>
      <c r="G20">
        <f t="shared" si="0"/>
        <v>6.7902224558551838</v>
      </c>
      <c r="H20">
        <f t="shared" si="0"/>
        <v>8.2956977403953189</v>
      </c>
    </row>
    <row r="21" spans="1:18" x14ac:dyDescent="0.2">
      <c r="A21" t="s">
        <v>10</v>
      </c>
      <c r="C21">
        <f t="shared" ref="C21:H21" si="1">C18/83.709</f>
        <v>1.0780441768507567</v>
      </c>
      <c r="D21">
        <f t="shared" si="1"/>
        <v>1.0755115937354407</v>
      </c>
      <c r="E21">
        <f t="shared" si="1"/>
        <v>2.7339593114240999</v>
      </c>
      <c r="F21">
        <f t="shared" si="1"/>
        <v>3.3455064568923292</v>
      </c>
      <c r="G21">
        <f t="shared" si="1"/>
        <v>0.93651817606231114</v>
      </c>
      <c r="H21">
        <f t="shared" si="1"/>
        <v>1.8929027942037295</v>
      </c>
    </row>
    <row r="23" spans="1:18" s="1" customFormat="1" x14ac:dyDescent="0.2">
      <c r="A23" s="1" t="s">
        <v>19</v>
      </c>
      <c r="B23" s="1" t="s">
        <v>30</v>
      </c>
      <c r="C23" s="1" t="s">
        <v>23</v>
      </c>
      <c r="E23" s="1" t="s">
        <v>25</v>
      </c>
    </row>
    <row r="24" spans="1:18" x14ac:dyDescent="0.2">
      <c r="A24" t="s">
        <v>9</v>
      </c>
      <c r="B24">
        <v>241.393</v>
      </c>
      <c r="C24">
        <v>322.923</v>
      </c>
      <c r="D24">
        <v>302.96199999999999</v>
      </c>
      <c r="E24">
        <v>336.71199999999999</v>
      </c>
      <c r="F24">
        <v>343.173</v>
      </c>
      <c r="G24">
        <v>358.596</v>
      </c>
      <c r="H24">
        <v>337.13499999999999</v>
      </c>
      <c r="I24">
        <v>377.423</v>
      </c>
      <c r="J24">
        <v>483.51900000000001</v>
      </c>
      <c r="K24">
        <v>485.19200000000001</v>
      </c>
      <c r="L24">
        <v>496.19200000000001</v>
      </c>
      <c r="M24">
        <v>369.61500000000001</v>
      </c>
      <c r="N24">
        <v>338.423</v>
      </c>
      <c r="O24">
        <v>328.19200000000001</v>
      </c>
      <c r="P24">
        <v>324.36500000000001</v>
      </c>
      <c r="Q24">
        <v>322.75</v>
      </c>
    </row>
    <row r="25" spans="1:18" x14ac:dyDescent="0.2">
      <c r="A25" t="s">
        <v>4</v>
      </c>
      <c r="C25">
        <f>C24-B24</f>
        <v>81.53</v>
      </c>
      <c r="D25">
        <f>D24-B24</f>
        <v>61.568999999999988</v>
      </c>
      <c r="E25">
        <f>E24-B24</f>
        <v>95.318999999999988</v>
      </c>
      <c r="F25">
        <f>F24-B24</f>
        <v>101.78</v>
      </c>
      <c r="G25">
        <f>G24-B24</f>
        <v>117.203</v>
      </c>
      <c r="H25">
        <f>H24-B24</f>
        <v>95.74199999999999</v>
      </c>
      <c r="I25">
        <f>I24-B24</f>
        <v>136.03</v>
      </c>
      <c r="J25">
        <f>J24-B24</f>
        <v>242.126</v>
      </c>
      <c r="K25">
        <f>K24-B24</f>
        <v>243.79900000000001</v>
      </c>
      <c r="L25">
        <f>L24-B24</f>
        <v>254.79900000000001</v>
      </c>
      <c r="M25">
        <f>M24-B24</f>
        <v>128.22200000000001</v>
      </c>
      <c r="N25">
        <f>N24-B24</f>
        <v>97.03</v>
      </c>
      <c r="O25">
        <f>O24-B24</f>
        <v>86.799000000000007</v>
      </c>
      <c r="P25">
        <v>82.971999999999994</v>
      </c>
      <c r="Q25">
        <v>81.356999999999999</v>
      </c>
    </row>
    <row r="26" spans="1:18" x14ac:dyDescent="0.2">
      <c r="A26" t="s">
        <v>31</v>
      </c>
      <c r="C26">
        <v>6.5759999999999996</v>
      </c>
      <c r="D26">
        <v>3.7770000000000001</v>
      </c>
      <c r="E26">
        <v>6.4530000000000003</v>
      </c>
      <c r="F26">
        <v>4.4669999999999996</v>
      </c>
      <c r="G26">
        <v>2.3290000000000002</v>
      </c>
      <c r="H26">
        <v>3.3460000000000001</v>
      </c>
      <c r="I26">
        <v>7.423</v>
      </c>
      <c r="J26">
        <v>5.4660000000000002</v>
      </c>
      <c r="K26">
        <v>4.5780000000000003</v>
      </c>
      <c r="L26">
        <v>4.7869999999999999</v>
      </c>
      <c r="M26">
        <v>5.7329999999999997</v>
      </c>
      <c r="N26">
        <v>6.1559999999999997</v>
      </c>
      <c r="O26">
        <v>6.6219999999999999</v>
      </c>
      <c r="P26">
        <v>6.5819999999999999</v>
      </c>
      <c r="Q26">
        <v>8.0150000000000006</v>
      </c>
    </row>
    <row r="27" spans="1:18" x14ac:dyDescent="0.2">
      <c r="A27" t="s">
        <v>6</v>
      </c>
      <c r="C27">
        <f t="shared" ref="C27:Q27" si="2">SQRT(1+C26^2)</f>
        <v>6.6515995068855425</v>
      </c>
      <c r="D27">
        <f t="shared" si="2"/>
        <v>3.9071382110183919</v>
      </c>
      <c r="E27">
        <f t="shared" si="2"/>
        <v>6.5300236599877648</v>
      </c>
      <c r="F27">
        <f t="shared" si="2"/>
        <v>4.5775636532985535</v>
      </c>
      <c r="G27">
        <f t="shared" si="2"/>
        <v>2.5346086482926711</v>
      </c>
      <c r="H27">
        <f t="shared" si="2"/>
        <v>3.4922365326535374</v>
      </c>
      <c r="I27">
        <f t="shared" si="2"/>
        <v>7.4900553402494969</v>
      </c>
      <c r="J27">
        <f t="shared" si="2"/>
        <v>5.5567216953883882</v>
      </c>
      <c r="K27">
        <f t="shared" si="2"/>
        <v>4.685945368866351</v>
      </c>
      <c r="L27">
        <f t="shared" si="2"/>
        <v>4.8903342421556424</v>
      </c>
      <c r="M27">
        <f t="shared" si="2"/>
        <v>5.819560894088144</v>
      </c>
      <c r="N27">
        <f t="shared" si="2"/>
        <v>6.2366927132896324</v>
      </c>
      <c r="O27">
        <f t="shared" si="2"/>
        <v>6.6970802593369001</v>
      </c>
      <c r="P27">
        <f t="shared" si="2"/>
        <v>6.657531374315858</v>
      </c>
      <c r="Q27">
        <f t="shared" si="2"/>
        <v>8.0771421307291611</v>
      </c>
    </row>
    <row r="28" spans="1:18" x14ac:dyDescent="0.2">
      <c r="A28" t="s">
        <v>10</v>
      </c>
      <c r="E28">
        <f t="shared" ref="E28:Q28" si="3">E25/83.709</f>
        <v>1.1386947640038703</v>
      </c>
      <c r="F28">
        <f t="shared" si="3"/>
        <v>1.2158788182871614</v>
      </c>
      <c r="G28">
        <f t="shared" si="3"/>
        <v>1.4001242399264118</v>
      </c>
      <c r="H28">
        <f t="shared" si="3"/>
        <v>1.1437479840877323</v>
      </c>
      <c r="I28">
        <f t="shared" si="3"/>
        <v>1.6250343451719647</v>
      </c>
      <c r="J28">
        <f t="shared" si="3"/>
        <v>2.8924727329199964</v>
      </c>
      <c r="K28">
        <f t="shared" si="3"/>
        <v>2.9124586364668077</v>
      </c>
      <c r="L28">
        <f t="shared" si="3"/>
        <v>3.0438662509407588</v>
      </c>
      <c r="M28">
        <f t="shared" si="3"/>
        <v>1.531758831189</v>
      </c>
      <c r="N28">
        <f t="shared" si="3"/>
        <v>1.1591346211279552</v>
      </c>
      <c r="O28">
        <f t="shared" si="3"/>
        <v>1.0369135935204101</v>
      </c>
      <c r="P28">
        <f t="shared" si="3"/>
        <v>0.9911956898302452</v>
      </c>
      <c r="Q28">
        <f t="shared" si="3"/>
        <v>0.97190266279611504</v>
      </c>
    </row>
    <row r="30" spans="1:18" s="1" customFormat="1" x14ac:dyDescent="0.2">
      <c r="A30" s="1" t="s">
        <v>48</v>
      </c>
      <c r="B30" s="1" t="s">
        <v>30</v>
      </c>
      <c r="C30" s="1" t="s">
        <v>23</v>
      </c>
      <c r="F30" s="1" t="s">
        <v>25</v>
      </c>
    </row>
    <row r="31" spans="1:18" x14ac:dyDescent="0.2">
      <c r="A31" t="s">
        <v>9</v>
      </c>
      <c r="B31">
        <v>241.393</v>
      </c>
      <c r="C31">
        <v>359.53800000000001</v>
      </c>
      <c r="D31">
        <v>351.44200000000001</v>
      </c>
      <c r="E31">
        <v>327.26900000000001</v>
      </c>
      <c r="F31">
        <v>472.46199999999999</v>
      </c>
      <c r="G31">
        <v>359.55799999999999</v>
      </c>
      <c r="H31">
        <v>405.173</v>
      </c>
      <c r="I31">
        <v>508.19200000000001</v>
      </c>
      <c r="J31">
        <v>350.23099999999999</v>
      </c>
      <c r="K31">
        <v>445.423</v>
      </c>
      <c r="L31">
        <v>414.94200000000001</v>
      </c>
      <c r="M31">
        <v>378.904</v>
      </c>
      <c r="N31">
        <v>395.51900000000001</v>
      </c>
      <c r="O31">
        <v>380.346</v>
      </c>
      <c r="P31">
        <v>471.38499999999999</v>
      </c>
      <c r="Q31">
        <v>387.904</v>
      </c>
      <c r="R31">
        <v>327.46199999999999</v>
      </c>
    </row>
    <row r="32" spans="1:18" x14ac:dyDescent="0.2">
      <c r="A32" t="s">
        <v>4</v>
      </c>
      <c r="C32">
        <f>C31-B31</f>
        <v>118.14500000000001</v>
      </c>
      <c r="D32">
        <f>D31-B31</f>
        <v>110.04900000000001</v>
      </c>
      <c r="E32">
        <f>E31-B31</f>
        <v>85.876000000000005</v>
      </c>
      <c r="F32">
        <f>F31-B31</f>
        <v>231.06899999999999</v>
      </c>
      <c r="G32">
        <f>G31-B31</f>
        <v>118.16499999999999</v>
      </c>
      <c r="H32">
        <f>H31-B31</f>
        <v>163.78</v>
      </c>
      <c r="I32">
        <f>I31-B31</f>
        <v>266.79899999999998</v>
      </c>
      <c r="J32">
        <f>J31-B31</f>
        <v>108.83799999999999</v>
      </c>
      <c r="K32">
        <f>K31-B31</f>
        <v>204.03</v>
      </c>
      <c r="L32">
        <f>L31-B31</f>
        <v>173.54900000000001</v>
      </c>
      <c r="M32">
        <f>M31-B31</f>
        <v>137.511</v>
      </c>
      <c r="N32">
        <f>N31-B31</f>
        <v>154.126</v>
      </c>
      <c r="O32">
        <f>O31-B31</f>
        <v>138.953</v>
      </c>
      <c r="P32">
        <f>P31-B31</f>
        <v>229.99199999999999</v>
      </c>
      <c r="Q32">
        <f>Q31-B31</f>
        <v>146.511</v>
      </c>
      <c r="R32">
        <f>R31-B31</f>
        <v>86.068999999999988</v>
      </c>
    </row>
    <row r="33" spans="1:19" x14ac:dyDescent="0.2">
      <c r="A33" t="s">
        <v>5</v>
      </c>
      <c r="C33">
        <v>2.6560000000000001</v>
      </c>
      <c r="D33">
        <v>4.1529999999999996</v>
      </c>
      <c r="E33">
        <v>5.0780000000000003</v>
      </c>
      <c r="F33">
        <v>7.0049999999999999</v>
      </c>
      <c r="G33">
        <v>2.5840000000000001</v>
      </c>
      <c r="H33">
        <v>4.4930000000000003</v>
      </c>
      <c r="I33">
        <v>2.113</v>
      </c>
      <c r="J33">
        <v>2.2519999999999998</v>
      </c>
      <c r="K33">
        <v>3.2989999999999999</v>
      </c>
      <c r="L33">
        <v>4.3869999999999996</v>
      </c>
      <c r="M33">
        <v>4.68</v>
      </c>
      <c r="N33">
        <v>5.6470000000000002</v>
      </c>
      <c r="O33">
        <v>5.5540000000000003</v>
      </c>
      <c r="P33">
        <v>5.1310000000000002</v>
      </c>
      <c r="Q33">
        <v>5.1829999999999998</v>
      </c>
      <c r="R33">
        <v>6.0759999999999996</v>
      </c>
    </row>
    <row r="34" spans="1:19" x14ac:dyDescent="0.2">
      <c r="A34" t="s">
        <v>10</v>
      </c>
      <c r="F34">
        <f t="shared" ref="F34:R34" si="4">F32/83.709</f>
        <v>2.7603841880801343</v>
      </c>
      <c r="G34">
        <f t="shared" si="4"/>
        <v>1.4116164331194971</v>
      </c>
      <c r="H34">
        <f t="shared" si="4"/>
        <v>1.9565399180494332</v>
      </c>
      <c r="I34">
        <f t="shared" si="4"/>
        <v>3.1872200121850693</v>
      </c>
      <c r="J34">
        <f t="shared" si="4"/>
        <v>1.3001947221923567</v>
      </c>
      <c r="K34">
        <f t="shared" si="4"/>
        <v>2.4373723255563915</v>
      </c>
      <c r="L34">
        <f t="shared" si="4"/>
        <v>2.0732418258490726</v>
      </c>
      <c r="M34">
        <f t="shared" si="4"/>
        <v>1.6427265885388667</v>
      </c>
      <c r="N34">
        <f t="shared" si="4"/>
        <v>1.8412118171283853</v>
      </c>
      <c r="O34">
        <f t="shared" si="4"/>
        <v>1.6599529321817248</v>
      </c>
      <c r="P34">
        <f t="shared" si="4"/>
        <v>2.7475181880084576</v>
      </c>
      <c r="Q34">
        <f t="shared" si="4"/>
        <v>1.7502419094720996</v>
      </c>
      <c r="R34">
        <f t="shared" si="4"/>
        <v>1.0281929063780475</v>
      </c>
    </row>
    <row r="36" spans="1:19" s="1" customFormat="1" x14ac:dyDescent="0.2">
      <c r="A36" s="1" t="s">
        <v>22</v>
      </c>
      <c r="B36" s="1" t="s">
        <v>30</v>
      </c>
      <c r="C36" s="1" t="s">
        <v>23</v>
      </c>
      <c r="E36" s="1" t="s">
        <v>25</v>
      </c>
    </row>
    <row r="37" spans="1:19" x14ac:dyDescent="0.2">
      <c r="A37" t="s">
        <v>3</v>
      </c>
      <c r="B37">
        <v>241.393</v>
      </c>
      <c r="C37">
        <v>343.71199999999999</v>
      </c>
      <c r="D37">
        <v>313.30799999999999</v>
      </c>
      <c r="E37">
        <v>440.46199999999999</v>
      </c>
      <c r="F37">
        <v>343.71199999999999</v>
      </c>
      <c r="G37">
        <v>384.923</v>
      </c>
      <c r="H37">
        <v>394.73099999999999</v>
      </c>
      <c r="I37">
        <v>355.577</v>
      </c>
      <c r="J37">
        <v>540.846</v>
      </c>
      <c r="K37">
        <v>438.173</v>
      </c>
      <c r="L37">
        <v>437.923</v>
      </c>
      <c r="M37">
        <v>337.327</v>
      </c>
      <c r="N37">
        <v>373.76900000000001</v>
      </c>
      <c r="O37">
        <v>366.173</v>
      </c>
      <c r="P37">
        <v>362.86500000000001</v>
      </c>
      <c r="Q37">
        <v>357.5</v>
      </c>
      <c r="R37">
        <v>413.577</v>
      </c>
      <c r="S37">
        <v>339.98099999999999</v>
      </c>
    </row>
    <row r="38" spans="1:19" x14ac:dyDescent="0.2">
      <c r="A38" t="s">
        <v>4</v>
      </c>
      <c r="C38">
        <f>C37-B37</f>
        <v>102.31899999999999</v>
      </c>
      <c r="D38">
        <f>D37-B37</f>
        <v>71.914999999999992</v>
      </c>
      <c r="E38">
        <f>E37-B37</f>
        <v>199.06899999999999</v>
      </c>
      <c r="F38">
        <f>F37-B37</f>
        <v>102.31899999999999</v>
      </c>
      <c r="G38">
        <f>G37-B37</f>
        <v>143.53</v>
      </c>
      <c r="H38">
        <f>H37-B37</f>
        <v>153.33799999999999</v>
      </c>
      <c r="I38">
        <f>I37-B37</f>
        <v>114.184</v>
      </c>
      <c r="J38">
        <f>J37-B37</f>
        <v>299.45299999999997</v>
      </c>
      <c r="K38">
        <f>K37-B37</f>
        <v>196.78</v>
      </c>
      <c r="L38">
        <f>L37-B37</f>
        <v>196.53</v>
      </c>
      <c r="M38">
        <f>M37-B37</f>
        <v>95.933999999999997</v>
      </c>
      <c r="N38">
        <f>N37-B37</f>
        <v>132.376</v>
      </c>
      <c r="O38">
        <f>O37-B37</f>
        <v>124.78</v>
      </c>
      <c r="P38">
        <f>P37-B37</f>
        <v>121.47200000000001</v>
      </c>
      <c r="Q38">
        <f>Q37-B37</f>
        <v>116.107</v>
      </c>
      <c r="R38">
        <f>R37-B37</f>
        <v>172.184</v>
      </c>
      <c r="S38">
        <f>S37-B37</f>
        <v>98.587999999999994</v>
      </c>
    </row>
    <row r="39" spans="1:19" x14ac:dyDescent="0.2">
      <c r="A39" t="s">
        <v>31</v>
      </c>
      <c r="C39">
        <v>4.9880000000000004</v>
      </c>
      <c r="D39">
        <v>6.3380000000000001</v>
      </c>
      <c r="E39">
        <v>7.032</v>
      </c>
      <c r="F39">
        <v>8.6479999999999997</v>
      </c>
      <c r="G39">
        <v>8.1300000000000008</v>
      </c>
      <c r="H39">
        <v>7.6420000000000003</v>
      </c>
      <c r="I39">
        <v>2.4900000000000002</v>
      </c>
      <c r="J39">
        <v>2.33</v>
      </c>
      <c r="K39">
        <v>2.0750000000000002</v>
      </c>
      <c r="L39">
        <v>3.2759999999999998</v>
      </c>
      <c r="M39">
        <v>3.9860000000000002</v>
      </c>
      <c r="N39">
        <v>4.5359999999999996</v>
      </c>
      <c r="O39">
        <v>4.8360000000000003</v>
      </c>
      <c r="P39">
        <v>5.351</v>
      </c>
      <c r="Q39">
        <v>5.5609999999999999</v>
      </c>
      <c r="R39">
        <v>5.3109999999999999</v>
      </c>
      <c r="S39">
        <v>6.0049999999999999</v>
      </c>
    </row>
    <row r="40" spans="1:19" x14ac:dyDescent="0.2">
      <c r="A40" t="s">
        <v>6</v>
      </c>
      <c r="C40">
        <f t="shared" ref="C40:S40" si="5">SQRT(1+C39^2)</f>
        <v>5.0872530898314867</v>
      </c>
      <c r="D40">
        <f t="shared" si="5"/>
        <v>6.4164042890079802</v>
      </c>
      <c r="E40">
        <f t="shared" si="5"/>
        <v>7.1027476373583767</v>
      </c>
      <c r="F40">
        <f t="shared" si="5"/>
        <v>8.7056248483379992</v>
      </c>
      <c r="G40">
        <f t="shared" si="5"/>
        <v>8.1912697428420724</v>
      </c>
      <c r="H40">
        <f t="shared" si="5"/>
        <v>7.7071501866773042</v>
      </c>
      <c r="I40">
        <f t="shared" si="5"/>
        <v>2.6833002068348595</v>
      </c>
      <c r="J40">
        <f t="shared" si="5"/>
        <v>2.5355275585171619</v>
      </c>
      <c r="K40">
        <f t="shared" si="5"/>
        <v>2.303394234602492</v>
      </c>
      <c r="L40">
        <f t="shared" si="5"/>
        <v>3.4252264158738468</v>
      </c>
      <c r="M40">
        <f t="shared" si="5"/>
        <v>4.1095250333828117</v>
      </c>
      <c r="N40">
        <f t="shared" si="5"/>
        <v>4.6449215278624454</v>
      </c>
      <c r="O40">
        <f t="shared" si="5"/>
        <v>4.9383090223273802</v>
      </c>
      <c r="P40">
        <f t="shared" si="5"/>
        <v>5.4436385809493268</v>
      </c>
      <c r="Q40">
        <f t="shared" si="5"/>
        <v>5.6501965452539791</v>
      </c>
      <c r="R40">
        <f t="shared" si="5"/>
        <v>5.4043242870871468</v>
      </c>
      <c r="S40">
        <f t="shared" si="5"/>
        <v>6.0876945554125825</v>
      </c>
    </row>
    <row r="41" spans="1:19" x14ac:dyDescent="0.2">
      <c r="A41" t="s">
        <v>10</v>
      </c>
      <c r="E41">
        <f t="shared" ref="E41:S41" si="6">E38/83.709</f>
        <v>2.3781074914286395</v>
      </c>
      <c r="F41">
        <f t="shared" si="6"/>
        <v>1.222317791396385</v>
      </c>
      <c r="G41">
        <f t="shared" si="6"/>
        <v>1.7146304459496589</v>
      </c>
      <c r="H41">
        <f t="shared" si="6"/>
        <v>1.8317982534733421</v>
      </c>
      <c r="I41">
        <f t="shared" si="6"/>
        <v>1.3640588228266972</v>
      </c>
      <c r="J41">
        <f t="shared" si="6"/>
        <v>3.5773094888243793</v>
      </c>
      <c r="K41">
        <f t="shared" si="6"/>
        <v>2.3507627614712874</v>
      </c>
      <c r="L41">
        <f t="shared" si="6"/>
        <v>2.3477762247786975</v>
      </c>
      <c r="M41">
        <f t="shared" si="6"/>
        <v>1.1460416442676413</v>
      </c>
      <c r="N41">
        <f t="shared" si="6"/>
        <v>1.5813831248730721</v>
      </c>
      <c r="O41">
        <f t="shared" si="6"/>
        <v>1.4906401940054235</v>
      </c>
      <c r="P41">
        <f t="shared" si="6"/>
        <v>1.4511223404890754</v>
      </c>
      <c r="Q41">
        <f t="shared" si="6"/>
        <v>1.3870312630660979</v>
      </c>
      <c r="R41">
        <f t="shared" si="6"/>
        <v>2.0569353355075322</v>
      </c>
      <c r="S41">
        <f t="shared" si="6"/>
        <v>1.1777467177961747</v>
      </c>
    </row>
    <row r="43" spans="1:19" s="1" customFormat="1" x14ac:dyDescent="0.2">
      <c r="A43" s="1" t="s">
        <v>45</v>
      </c>
      <c r="B43" s="1" t="s">
        <v>2</v>
      </c>
      <c r="C43" s="1" t="s">
        <v>23</v>
      </c>
      <c r="E43" s="1" t="s">
        <v>25</v>
      </c>
    </row>
    <row r="44" spans="1:19" x14ac:dyDescent="0.2">
      <c r="A44" t="s">
        <v>9</v>
      </c>
      <c r="B44">
        <v>241.393</v>
      </c>
      <c r="C44">
        <v>310</v>
      </c>
      <c r="D44">
        <v>323.26900000000001</v>
      </c>
      <c r="E44">
        <v>355.19200000000001</v>
      </c>
      <c r="F44">
        <v>348.44200000000001</v>
      </c>
      <c r="G44">
        <v>345.28800000000001</v>
      </c>
      <c r="H44">
        <v>357.11500000000001</v>
      </c>
      <c r="I44">
        <v>326.596</v>
      </c>
      <c r="J44">
        <v>322.55799999999999</v>
      </c>
      <c r="K44">
        <v>332.846</v>
      </c>
      <c r="L44">
        <v>344.077</v>
      </c>
      <c r="M44">
        <v>566.80799999999999</v>
      </c>
      <c r="N44">
        <v>541.19200000000001</v>
      </c>
      <c r="O44">
        <v>447.36500000000001</v>
      </c>
      <c r="P44">
        <v>469.63499999999999</v>
      </c>
      <c r="Q44">
        <v>375.76900000000001</v>
      </c>
    </row>
    <row r="45" spans="1:19" x14ac:dyDescent="0.2">
      <c r="A45" t="s">
        <v>4</v>
      </c>
      <c r="C45">
        <f>C44-B44</f>
        <v>68.606999999999999</v>
      </c>
      <c r="D45">
        <f>D44-B44</f>
        <v>81.876000000000005</v>
      </c>
      <c r="E45">
        <f>E44-B44</f>
        <v>113.79900000000001</v>
      </c>
      <c r="F45">
        <f>F44-B44</f>
        <v>107.04900000000001</v>
      </c>
      <c r="G45">
        <f>G44-B44</f>
        <v>103.89500000000001</v>
      </c>
      <c r="H45">
        <f>H44-B44</f>
        <v>115.72200000000001</v>
      </c>
      <c r="I45">
        <f>I44-B44</f>
        <v>85.203000000000003</v>
      </c>
      <c r="J45">
        <f>J44-B44</f>
        <v>81.164999999999992</v>
      </c>
      <c r="K45">
        <f>K44-B44</f>
        <v>91.453000000000003</v>
      </c>
      <c r="L45">
        <f>L44-B44</f>
        <v>102.684</v>
      </c>
      <c r="M45">
        <f>M44-B44</f>
        <v>325.41499999999996</v>
      </c>
      <c r="N45">
        <f>N44-B44</f>
        <v>299.79899999999998</v>
      </c>
      <c r="O45">
        <f>O44-B44</f>
        <v>205.97200000000001</v>
      </c>
      <c r="P45">
        <f>P44-B44</f>
        <v>228.24199999999999</v>
      </c>
      <c r="Q45">
        <f>Q44-B44</f>
        <v>134.376</v>
      </c>
    </row>
    <row r="46" spans="1:19" x14ac:dyDescent="0.2">
      <c r="A46" t="s">
        <v>31</v>
      </c>
      <c r="C46">
        <v>12.670999999999999</v>
      </c>
      <c r="D46">
        <v>6.3419999999999996</v>
      </c>
      <c r="E46">
        <v>5.9820000000000002</v>
      </c>
      <c r="F46">
        <v>5.3360000000000003</v>
      </c>
      <c r="G46">
        <v>4.7960000000000003</v>
      </c>
      <c r="H46">
        <v>4.1950000000000003</v>
      </c>
      <c r="I46">
        <v>5.2320000000000002</v>
      </c>
      <c r="J46">
        <v>4.9020000000000001</v>
      </c>
      <c r="K46">
        <v>3.4929999999999999</v>
      </c>
      <c r="L46">
        <v>4.2460000000000004</v>
      </c>
      <c r="M46">
        <v>2.1230000000000002</v>
      </c>
      <c r="N46">
        <v>2.3410000000000002</v>
      </c>
      <c r="O46">
        <v>7.577</v>
      </c>
      <c r="P46">
        <v>8.016</v>
      </c>
      <c r="Q46">
        <v>8.6029999999999998</v>
      </c>
    </row>
    <row r="47" spans="1:19" x14ac:dyDescent="0.2">
      <c r="A47" t="s">
        <v>17</v>
      </c>
      <c r="C47">
        <f t="shared" ref="C47:Q47" si="7">SQRT(4+C46^2)</f>
        <v>12.827869698433952</v>
      </c>
      <c r="D47">
        <f t="shared" si="7"/>
        <v>6.6498845102753474</v>
      </c>
      <c r="E47">
        <f t="shared" si="7"/>
        <v>6.3074815893508562</v>
      </c>
      <c r="F47">
        <f t="shared" si="7"/>
        <v>5.6984994516100471</v>
      </c>
      <c r="G47">
        <f t="shared" si="7"/>
        <v>5.196307920052468</v>
      </c>
      <c r="H47">
        <f t="shared" si="7"/>
        <v>4.6473675344220418</v>
      </c>
      <c r="I47">
        <f t="shared" si="7"/>
        <v>5.601234149720935</v>
      </c>
      <c r="J47">
        <f t="shared" si="7"/>
        <v>5.2942991981942242</v>
      </c>
      <c r="K47">
        <f t="shared" si="7"/>
        <v>4.0250526704628351</v>
      </c>
      <c r="L47">
        <f t="shared" si="7"/>
        <v>4.693454591236609</v>
      </c>
      <c r="M47">
        <f t="shared" si="7"/>
        <v>2.9166983045903119</v>
      </c>
      <c r="N47">
        <f t="shared" si="7"/>
        <v>3.0790064956086081</v>
      </c>
      <c r="O47">
        <f t="shared" si="7"/>
        <v>7.8365125534257905</v>
      </c>
      <c r="P47">
        <f t="shared" si="7"/>
        <v>8.2617344425973887</v>
      </c>
      <c r="Q47">
        <f t="shared" si="7"/>
        <v>8.8324180720796956</v>
      </c>
    </row>
    <row r="48" spans="1:19" x14ac:dyDescent="0.2">
      <c r="A48" t="s">
        <v>10</v>
      </c>
      <c r="E48">
        <f t="shared" ref="E48:Q48" si="8">E45/83.709</f>
        <v>1.3594595563201091</v>
      </c>
      <c r="F48">
        <f t="shared" si="8"/>
        <v>1.2788230656201842</v>
      </c>
      <c r="G48">
        <f t="shared" si="8"/>
        <v>1.2411449187064714</v>
      </c>
      <c r="H48">
        <f t="shared" si="8"/>
        <v>1.3824319965595098</v>
      </c>
      <c r="I48">
        <f t="shared" si="8"/>
        <v>1.0178475432749168</v>
      </c>
      <c r="J48">
        <f t="shared" si="8"/>
        <v>0.96960900261620597</v>
      </c>
      <c r="K48">
        <f t="shared" si="8"/>
        <v>1.0925109605896619</v>
      </c>
      <c r="L48">
        <f t="shared" si="8"/>
        <v>1.2266781349675662</v>
      </c>
      <c r="M48">
        <f t="shared" si="8"/>
        <v>3.8874553512764454</v>
      </c>
      <c r="N48">
        <f t="shared" si="8"/>
        <v>3.5814428556069235</v>
      </c>
      <c r="O48">
        <f t="shared" si="8"/>
        <v>2.4605717425844293</v>
      </c>
      <c r="P48">
        <f t="shared" si="8"/>
        <v>2.726612431160329</v>
      </c>
      <c r="Q48">
        <f t="shared" si="8"/>
        <v>1.6052754184137907</v>
      </c>
    </row>
    <row r="50" spans="1:10" s="1" customFormat="1" x14ac:dyDescent="0.2">
      <c r="A50" s="1" t="s">
        <v>58</v>
      </c>
      <c r="B50" s="1" t="s">
        <v>2</v>
      </c>
      <c r="C50" s="1" t="s">
        <v>25</v>
      </c>
    </row>
    <row r="51" spans="1:10" x14ac:dyDescent="0.2">
      <c r="A51" t="s">
        <v>9</v>
      </c>
      <c r="B51">
        <v>241.393</v>
      </c>
      <c r="C51">
        <v>501.25</v>
      </c>
      <c r="D51">
        <v>521.28800000000001</v>
      </c>
      <c r="E51">
        <v>430.01900000000001</v>
      </c>
      <c r="F51">
        <v>363.423</v>
      </c>
      <c r="G51">
        <v>385.44200000000001</v>
      </c>
      <c r="H51">
        <v>320.096</v>
      </c>
      <c r="I51">
        <v>319.21199999999999</v>
      </c>
      <c r="J51">
        <v>320.75</v>
      </c>
    </row>
    <row r="52" spans="1:10" x14ac:dyDescent="0.2">
      <c r="A52" t="s">
        <v>4</v>
      </c>
      <c r="C52">
        <f>C51-B51</f>
        <v>259.85699999999997</v>
      </c>
      <c r="D52">
        <f>D51-B51</f>
        <v>279.89499999999998</v>
      </c>
      <c r="E52">
        <f>E51-B51</f>
        <v>188.626</v>
      </c>
      <c r="F52">
        <f>F51-B51</f>
        <v>122.03</v>
      </c>
      <c r="G52">
        <f>G51-B51</f>
        <v>144.04900000000001</v>
      </c>
      <c r="H52">
        <f>H51-B51</f>
        <v>78.703000000000003</v>
      </c>
      <c r="I52">
        <f>I51-B51</f>
        <v>77.818999999999988</v>
      </c>
      <c r="J52">
        <f>J51-B51</f>
        <v>79.356999999999999</v>
      </c>
    </row>
    <row r="53" spans="1:10" x14ac:dyDescent="0.2">
      <c r="A53" t="s">
        <v>5</v>
      </c>
      <c r="C53">
        <v>2.5</v>
      </c>
      <c r="D53">
        <v>2.4900000000000002</v>
      </c>
      <c r="E53">
        <v>2.0209999999999999</v>
      </c>
      <c r="F53">
        <v>8.7460000000000004</v>
      </c>
      <c r="G53">
        <v>8.2010000000000005</v>
      </c>
      <c r="H53">
        <v>5.5179999999999998</v>
      </c>
      <c r="I53">
        <v>5.1989999999999998</v>
      </c>
      <c r="J53">
        <v>4.3159999999999998</v>
      </c>
    </row>
    <row r="54" spans="1:10" x14ac:dyDescent="0.2">
      <c r="A54" t="s">
        <v>17</v>
      </c>
      <c r="C54">
        <f t="shared" ref="C54:J54" si="9">SQRT(9+C53^2)</f>
        <v>3.905124837953327</v>
      </c>
      <c r="D54">
        <f t="shared" si="9"/>
        <v>3.8987305626318935</v>
      </c>
      <c r="E54">
        <f t="shared" si="9"/>
        <v>3.6172421815521281</v>
      </c>
      <c r="F54">
        <f t="shared" si="9"/>
        <v>9.2462163072253514</v>
      </c>
      <c r="G54">
        <f t="shared" si="9"/>
        <v>8.7324911107884908</v>
      </c>
      <c r="H54">
        <f t="shared" si="9"/>
        <v>6.2807900776892707</v>
      </c>
      <c r="I54">
        <f t="shared" si="9"/>
        <v>6.0024662431370661</v>
      </c>
      <c r="J54">
        <f t="shared" si="9"/>
        <v>5.2562206955187865</v>
      </c>
    </row>
    <row r="55" spans="1:10" x14ac:dyDescent="0.2">
      <c r="A55" t="s">
        <v>10</v>
      </c>
      <c r="C55">
        <f t="shared" ref="C55:J55" si="10">C52/83.709</f>
        <v>3.1042898613052357</v>
      </c>
      <c r="D55">
        <f t="shared" si="10"/>
        <v>3.3436667502896937</v>
      </c>
      <c r="E55">
        <f t="shared" si="10"/>
        <v>2.2533538807057782</v>
      </c>
      <c r="F55">
        <f t="shared" si="10"/>
        <v>1.4577882903869357</v>
      </c>
      <c r="G55">
        <f t="shared" si="10"/>
        <v>1.7208304961234755</v>
      </c>
      <c r="H55">
        <f t="shared" si="10"/>
        <v>0.94019758926758179</v>
      </c>
      <c r="I55">
        <f t="shared" si="10"/>
        <v>0.92963719552258406</v>
      </c>
      <c r="J55">
        <f t="shared" si="10"/>
        <v>0.94801036925539661</v>
      </c>
    </row>
    <row r="58" spans="1:10" x14ac:dyDescent="0.2">
      <c r="A58" t="s">
        <v>33</v>
      </c>
      <c r="B58">
        <f>AVERAGE(C25,D25,C32,C38:D38,C45:D45)</f>
        <v>83.708714285714265</v>
      </c>
    </row>
    <row r="59" spans="1:10" x14ac:dyDescent="0.2">
      <c r="A59" t="s">
        <v>27</v>
      </c>
      <c r="B59">
        <v>47.512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761E-8FA4-A746-943D-E2390CF7CD1D}">
  <dimension ref="A12:Q69"/>
  <sheetViews>
    <sheetView topLeftCell="A12" workbookViewId="0">
      <selection activeCell="W57" sqref="W57"/>
    </sheetView>
  </sheetViews>
  <sheetFormatPr baseColWidth="10" defaultColWidth="8.83203125" defaultRowHeight="15" x14ac:dyDescent="0.2"/>
  <cols>
    <col min="1" max="1" width="17.5" customWidth="1"/>
    <col min="2" max="2" width="18.5" customWidth="1"/>
  </cols>
  <sheetData>
    <row r="12" spans="1:8" x14ac:dyDescent="0.2">
      <c r="A12" s="47" t="s">
        <v>619</v>
      </c>
    </row>
    <row r="13" spans="1:8" s="1" customFormat="1" x14ac:dyDescent="0.2">
      <c r="A13" s="1" t="s">
        <v>13</v>
      </c>
      <c r="B13" s="1" t="s">
        <v>256</v>
      </c>
      <c r="C13" s="1" t="s">
        <v>23</v>
      </c>
      <c r="D13" s="1" t="s">
        <v>25</v>
      </c>
    </row>
    <row r="14" spans="1:8" x14ac:dyDescent="0.2">
      <c r="A14" t="s">
        <v>9</v>
      </c>
      <c r="B14">
        <v>250.82900000000001</v>
      </c>
      <c r="C14">
        <v>308.827</v>
      </c>
      <c r="D14">
        <v>348.346</v>
      </c>
      <c r="E14">
        <v>339.53800000000001</v>
      </c>
      <c r="F14">
        <v>340.21199999999999</v>
      </c>
      <c r="G14">
        <v>336.846</v>
      </c>
      <c r="H14">
        <v>321.26900000000001</v>
      </c>
    </row>
    <row r="15" spans="1:8" x14ac:dyDescent="0.2">
      <c r="A15" t="s">
        <v>611</v>
      </c>
      <c r="C15">
        <f>C14-B14</f>
        <v>57.99799999999999</v>
      </c>
      <c r="D15">
        <f>D14-B14</f>
        <v>97.516999999999996</v>
      </c>
      <c r="E15">
        <f>E14-B14</f>
        <v>88.709000000000003</v>
      </c>
      <c r="F15">
        <f>F14-B14</f>
        <v>89.382999999999981</v>
      </c>
      <c r="G15">
        <f>G14-B14</f>
        <v>86.016999999999996</v>
      </c>
      <c r="H15">
        <f>H14-B14</f>
        <v>70.44</v>
      </c>
    </row>
    <row r="16" spans="1:8" x14ac:dyDescent="0.2">
      <c r="A16" t="s">
        <v>31</v>
      </c>
      <c r="C16">
        <v>3.62</v>
      </c>
      <c r="D16">
        <v>1.7010000000000001</v>
      </c>
      <c r="E16">
        <v>1.3819999999999999</v>
      </c>
      <c r="F16">
        <v>0.93899999999999995</v>
      </c>
      <c r="G16">
        <v>7.66</v>
      </c>
      <c r="H16">
        <v>7.78</v>
      </c>
    </row>
    <row r="17" spans="1:12" x14ac:dyDescent="0.2">
      <c r="A17" t="s">
        <v>17</v>
      </c>
      <c r="C17">
        <f t="shared" ref="C17:H17" si="0">SQRT(9+C16^2)</f>
        <v>4.7015316653192922</v>
      </c>
      <c r="D17">
        <f t="shared" si="0"/>
        <v>3.4486810522285185</v>
      </c>
      <c r="E17">
        <f t="shared" si="0"/>
        <v>3.303017408370716</v>
      </c>
      <c r="F17">
        <f t="shared" si="0"/>
        <v>3.1435204786990019</v>
      </c>
      <c r="G17">
        <f t="shared" si="0"/>
        <v>8.2265180969836802</v>
      </c>
      <c r="H17">
        <f t="shared" si="0"/>
        <v>8.3383691451026571</v>
      </c>
    </row>
    <row r="18" spans="1:12" x14ac:dyDescent="0.2">
      <c r="A18" t="s">
        <v>10</v>
      </c>
      <c r="D18">
        <f>D15/45.8716</f>
        <v>2.1258687292355183</v>
      </c>
      <c r="E18">
        <f>E15/45.8716</f>
        <v>1.9338544982080417</v>
      </c>
      <c r="F18">
        <f>F15/45.8716</f>
        <v>1.9485476852780366</v>
      </c>
      <c r="G18">
        <f>G15/45.8716</f>
        <v>1.875168949851324</v>
      </c>
      <c r="H18">
        <f>H15/45.8716</f>
        <v>1.5355906486802291</v>
      </c>
    </row>
    <row r="20" spans="1:12" s="1" customFormat="1" x14ac:dyDescent="0.2">
      <c r="A20" s="1" t="s">
        <v>14</v>
      </c>
      <c r="C20" s="1" t="s">
        <v>25</v>
      </c>
    </row>
    <row r="21" spans="1:12" x14ac:dyDescent="0.2">
      <c r="A21" t="s">
        <v>9</v>
      </c>
      <c r="B21">
        <v>250.82900000000001</v>
      </c>
      <c r="C21">
        <v>373.423</v>
      </c>
      <c r="D21">
        <v>368</v>
      </c>
      <c r="E21">
        <v>354.63499999999999</v>
      </c>
      <c r="F21">
        <v>416.28800000000001</v>
      </c>
      <c r="G21">
        <v>370.327</v>
      </c>
      <c r="H21">
        <v>395.25</v>
      </c>
      <c r="I21">
        <v>440.923</v>
      </c>
      <c r="J21">
        <v>378.154</v>
      </c>
    </row>
    <row r="22" spans="1:12" x14ac:dyDescent="0.2">
      <c r="A22" t="s">
        <v>611</v>
      </c>
      <c r="C22">
        <f>C21-B21</f>
        <v>122.59399999999999</v>
      </c>
      <c r="D22">
        <f>D21-B21</f>
        <v>117.17099999999999</v>
      </c>
      <c r="E22">
        <f>E21-B21</f>
        <v>103.80599999999998</v>
      </c>
      <c r="F22">
        <f>F21-B21</f>
        <v>165.459</v>
      </c>
      <c r="G22">
        <f>G21-B21</f>
        <v>119.49799999999999</v>
      </c>
      <c r="H22">
        <f>H21-B21</f>
        <v>144.42099999999999</v>
      </c>
      <c r="I22">
        <f>I21-B21</f>
        <v>190.09399999999999</v>
      </c>
      <c r="J22">
        <f>J21-B21</f>
        <v>127.32499999999999</v>
      </c>
    </row>
    <row r="23" spans="1:12" x14ac:dyDescent="0.2">
      <c r="A23" t="s">
        <v>31</v>
      </c>
      <c r="C23">
        <v>3.653</v>
      </c>
      <c r="D23">
        <v>2.6139999999999999</v>
      </c>
      <c r="E23">
        <v>2.3940000000000001</v>
      </c>
      <c r="F23">
        <v>1.712</v>
      </c>
      <c r="G23">
        <v>1.4610000000000001</v>
      </c>
      <c r="H23">
        <v>1.23</v>
      </c>
      <c r="I23">
        <v>7.3769999999999998</v>
      </c>
      <c r="J23">
        <v>7.6660000000000004</v>
      </c>
    </row>
    <row r="24" spans="1:12" x14ac:dyDescent="0.2">
      <c r="A24" t="s">
        <v>618</v>
      </c>
      <c r="C24">
        <f t="shared" ref="C24:J24" si="1">SQRT(4+C23^2)</f>
        <v>4.1646619310575499</v>
      </c>
      <c r="D24">
        <f t="shared" si="1"/>
        <v>3.2913516980110162</v>
      </c>
      <c r="E24">
        <f t="shared" si="1"/>
        <v>3.1194929075091675</v>
      </c>
      <c r="F24">
        <f t="shared" si="1"/>
        <v>2.6326686080857198</v>
      </c>
      <c r="G24">
        <f t="shared" si="1"/>
        <v>2.4767965197003972</v>
      </c>
      <c r="H24">
        <f t="shared" si="1"/>
        <v>2.3479565583715556</v>
      </c>
      <c r="I24">
        <f t="shared" si="1"/>
        <v>7.6433061563697677</v>
      </c>
      <c r="J24">
        <f t="shared" si="1"/>
        <v>7.9225978062754141</v>
      </c>
    </row>
    <row r="25" spans="1:12" x14ac:dyDescent="0.2">
      <c r="A25" t="s">
        <v>10</v>
      </c>
      <c r="C25">
        <f t="shared" ref="C25:J25" si="2">C22/45.8716</f>
        <v>2.6725468481587735</v>
      </c>
      <c r="D25">
        <f t="shared" si="2"/>
        <v>2.554325552193514</v>
      </c>
      <c r="E25">
        <f t="shared" si="2"/>
        <v>2.262968808587448</v>
      </c>
      <c r="F25">
        <f t="shared" si="2"/>
        <v>3.6070030258373373</v>
      </c>
      <c r="G25">
        <f t="shared" si="2"/>
        <v>2.6050541075523852</v>
      </c>
      <c r="H25">
        <f t="shared" si="2"/>
        <v>3.1483750294299737</v>
      </c>
      <c r="I25">
        <f t="shared" si="2"/>
        <v>4.1440455532399127</v>
      </c>
      <c r="J25">
        <f t="shared" si="2"/>
        <v>2.7756825573993491</v>
      </c>
    </row>
    <row r="27" spans="1:12" s="1" customFormat="1" x14ac:dyDescent="0.2">
      <c r="A27" s="1" t="s">
        <v>617</v>
      </c>
      <c r="C27" s="1" t="s">
        <v>25</v>
      </c>
    </row>
    <row r="28" spans="1:12" x14ac:dyDescent="0.2">
      <c r="A28" t="s">
        <v>3</v>
      </c>
      <c r="B28">
        <v>250.82900000000001</v>
      </c>
      <c r="C28">
        <v>452.38499999999999</v>
      </c>
      <c r="D28">
        <v>341.55799999999999</v>
      </c>
      <c r="E28">
        <v>350.30799999999999</v>
      </c>
      <c r="F28">
        <v>338.63499999999999</v>
      </c>
      <c r="G28">
        <v>373.05799999999999</v>
      </c>
      <c r="H28">
        <v>324.404</v>
      </c>
      <c r="I28">
        <v>529.48099999999999</v>
      </c>
      <c r="J28">
        <v>504.53800000000001</v>
      </c>
      <c r="K28">
        <v>367.13499999999999</v>
      </c>
      <c r="L28">
        <v>359.923</v>
      </c>
    </row>
    <row r="29" spans="1:12" x14ac:dyDescent="0.2">
      <c r="A29" t="s">
        <v>611</v>
      </c>
      <c r="C29">
        <f>C28-B28</f>
        <v>201.55599999999998</v>
      </c>
      <c r="D29">
        <f>D28-B28</f>
        <v>90.728999999999985</v>
      </c>
      <c r="E29">
        <f>E28-B28</f>
        <v>99.478999999999985</v>
      </c>
      <c r="F29">
        <f>F28-B28</f>
        <v>87.805999999999983</v>
      </c>
      <c r="G29">
        <f>G28-B28</f>
        <v>122.22899999999998</v>
      </c>
      <c r="H29">
        <f>H28-B28</f>
        <v>73.574999999999989</v>
      </c>
      <c r="I29">
        <f>I28-B28</f>
        <v>278.65199999999999</v>
      </c>
      <c r="J29">
        <f>J28-B28</f>
        <v>253.709</v>
      </c>
      <c r="K29">
        <f>K28-B28</f>
        <v>116.30599999999998</v>
      </c>
      <c r="L29">
        <f>L28-B28</f>
        <v>109.09399999999999</v>
      </c>
    </row>
    <row r="30" spans="1:12" x14ac:dyDescent="0.2">
      <c r="A30" t="s">
        <v>616</v>
      </c>
      <c r="C30">
        <v>7.37</v>
      </c>
      <c r="D30">
        <v>3.3460000000000001</v>
      </c>
      <c r="E30">
        <v>2.4220000000000002</v>
      </c>
      <c r="F30">
        <v>1.7070000000000001</v>
      </c>
      <c r="G30">
        <v>1.093</v>
      </c>
      <c r="H30">
        <v>3.6869999999999998</v>
      </c>
      <c r="I30">
        <v>2.5609999999999999</v>
      </c>
      <c r="J30">
        <v>2.5150000000000001</v>
      </c>
      <c r="K30">
        <v>2.4470000000000001</v>
      </c>
      <c r="L30">
        <v>1.778</v>
      </c>
    </row>
    <row r="31" spans="1:12" x14ac:dyDescent="0.2">
      <c r="A31" t="s">
        <v>17</v>
      </c>
      <c r="C31">
        <f t="shared" ref="C31:L31" si="3">SQRT(1+C30^2)</f>
        <v>7.4375331932032411</v>
      </c>
      <c r="D31">
        <f t="shared" si="3"/>
        <v>3.4922365326535374</v>
      </c>
      <c r="E31">
        <f t="shared" si="3"/>
        <v>2.6203213543380515</v>
      </c>
      <c r="F31">
        <f t="shared" si="3"/>
        <v>1.9783450154106084</v>
      </c>
      <c r="G31">
        <f t="shared" si="3"/>
        <v>1.4814347775045651</v>
      </c>
      <c r="H31">
        <f t="shared" si="3"/>
        <v>3.8202053609721034</v>
      </c>
      <c r="I31">
        <f t="shared" si="3"/>
        <v>2.7493128232341983</v>
      </c>
      <c r="J31">
        <f t="shared" si="3"/>
        <v>2.7065152872282101</v>
      </c>
      <c r="K31">
        <f t="shared" si="3"/>
        <v>2.6434464246509708</v>
      </c>
      <c r="L31">
        <f t="shared" si="3"/>
        <v>2.0399225475492937</v>
      </c>
    </row>
    <row r="32" spans="1:12" x14ac:dyDescent="0.2">
      <c r="A32" t="s">
        <v>10</v>
      </c>
      <c r="C32">
        <f t="shared" ref="C32:L32" si="4">C29/45.8716</f>
        <v>4.3939169333530979</v>
      </c>
      <c r="D32">
        <f t="shared" si="4"/>
        <v>1.9778904594563953</v>
      </c>
      <c r="E32">
        <f t="shared" si="4"/>
        <v>2.1686402915965428</v>
      </c>
      <c r="F32">
        <f t="shared" si="4"/>
        <v>1.914169115531178</v>
      </c>
      <c r="G32">
        <f t="shared" si="4"/>
        <v>2.6645898551609273</v>
      </c>
      <c r="H32">
        <f t="shared" si="4"/>
        <v>1.6039335885384418</v>
      </c>
      <c r="I32">
        <f t="shared" si="4"/>
        <v>6.0746082543447359</v>
      </c>
      <c r="J32">
        <f t="shared" si="4"/>
        <v>5.5308513328508271</v>
      </c>
      <c r="K32">
        <f t="shared" si="4"/>
        <v>2.535468568787659</v>
      </c>
      <c r="L32">
        <f t="shared" si="4"/>
        <v>2.3782471071425455</v>
      </c>
    </row>
    <row r="34" spans="1:17" s="1" customFormat="1" x14ac:dyDescent="0.2">
      <c r="A34" s="1" t="s">
        <v>615</v>
      </c>
      <c r="C34" s="1" t="s">
        <v>23</v>
      </c>
      <c r="D34" s="1" t="s">
        <v>25</v>
      </c>
    </row>
    <row r="35" spans="1:17" x14ac:dyDescent="0.2">
      <c r="A35" t="s">
        <v>9</v>
      </c>
      <c r="B35">
        <v>250.82900000000001</v>
      </c>
      <c r="C35">
        <v>308.077</v>
      </c>
      <c r="D35">
        <v>400.76900000000001</v>
      </c>
      <c r="E35">
        <v>393.30799999999999</v>
      </c>
      <c r="F35">
        <v>370</v>
      </c>
      <c r="G35">
        <v>339.673</v>
      </c>
      <c r="H35">
        <v>334.01799999999997</v>
      </c>
      <c r="I35">
        <v>318.904</v>
      </c>
      <c r="J35">
        <v>312.51900000000001</v>
      </c>
      <c r="K35">
        <v>576.44200000000001</v>
      </c>
      <c r="L35">
        <v>442.73099999999999</v>
      </c>
      <c r="M35">
        <v>357.36</v>
      </c>
    </row>
    <row r="36" spans="1:17" x14ac:dyDescent="0.2">
      <c r="A36" t="s">
        <v>611</v>
      </c>
      <c r="C36">
        <f>C35-B35</f>
        <v>57.24799999999999</v>
      </c>
      <c r="D36">
        <f>D35-B35</f>
        <v>149.94</v>
      </c>
      <c r="E36">
        <f>E35-B35</f>
        <v>142.47899999999998</v>
      </c>
      <c r="F36">
        <f>F35-B35</f>
        <v>119.17099999999999</v>
      </c>
      <c r="G36">
        <f>G35-B35</f>
        <v>88.843999999999994</v>
      </c>
      <c r="H36">
        <f>H35-B35</f>
        <v>83.188999999999965</v>
      </c>
      <c r="I36">
        <f>I35-B35</f>
        <v>68.074999999999989</v>
      </c>
      <c r="J36">
        <f>J35-B35</f>
        <v>61.69</v>
      </c>
      <c r="K36">
        <f>K35-B35</f>
        <v>325.613</v>
      </c>
      <c r="L36">
        <f>L35-B35</f>
        <v>191.90199999999999</v>
      </c>
      <c r="M36">
        <f>M35-B35</f>
        <v>106.53100000000001</v>
      </c>
    </row>
    <row r="37" spans="1:17" x14ac:dyDescent="0.2">
      <c r="A37" t="s">
        <v>31</v>
      </c>
      <c r="C37">
        <v>4.8120000000000003</v>
      </c>
      <c r="D37">
        <v>3.3460000000000001</v>
      </c>
      <c r="E37">
        <v>7.2359999999999998</v>
      </c>
      <c r="F37">
        <v>3.7069999999999999</v>
      </c>
      <c r="G37">
        <v>2.6440000000000001</v>
      </c>
      <c r="H37">
        <v>2.0950000000000002</v>
      </c>
      <c r="I37">
        <v>2.1379999999999999</v>
      </c>
      <c r="J37">
        <v>1.5860000000000001</v>
      </c>
      <c r="K37">
        <v>2.5099999999999998</v>
      </c>
      <c r="L37">
        <v>2.44</v>
      </c>
      <c r="M37">
        <v>1.488</v>
      </c>
    </row>
    <row r="38" spans="1:17" x14ac:dyDescent="0.2">
      <c r="A38" t="s">
        <v>10</v>
      </c>
      <c r="D38">
        <f t="shared" ref="D38:M38" si="5">D36/45.8716</f>
        <v>3.2686891235535711</v>
      </c>
      <c r="E38">
        <f t="shared" si="5"/>
        <v>3.1060394666852691</v>
      </c>
      <c r="F38">
        <f t="shared" si="5"/>
        <v>2.5979255138255475</v>
      </c>
      <c r="G38">
        <f t="shared" si="5"/>
        <v>1.9367974956182037</v>
      </c>
      <c r="H38">
        <f t="shared" si="5"/>
        <v>1.8135186041036275</v>
      </c>
      <c r="I38">
        <f t="shared" si="5"/>
        <v>1.4840336940503489</v>
      </c>
      <c r="J38">
        <f t="shared" si="5"/>
        <v>1.3448408165400814</v>
      </c>
      <c r="K38">
        <f t="shared" si="5"/>
        <v>7.0983571534457051</v>
      </c>
      <c r="L38">
        <f t="shared" si="5"/>
        <v>4.183459918555271</v>
      </c>
      <c r="M38">
        <f t="shared" si="5"/>
        <v>2.3223737563110944</v>
      </c>
    </row>
    <row r="40" spans="1:17" s="1" customFormat="1" x14ac:dyDescent="0.2">
      <c r="A40" s="1" t="s">
        <v>18</v>
      </c>
      <c r="C40" s="1" t="s">
        <v>23</v>
      </c>
      <c r="D40" s="1" t="s">
        <v>25</v>
      </c>
    </row>
    <row r="41" spans="1:17" x14ac:dyDescent="0.2">
      <c r="A41" t="s">
        <v>9</v>
      </c>
      <c r="B41">
        <v>250.82900000000001</v>
      </c>
      <c r="C41">
        <v>310.96199999999999</v>
      </c>
      <c r="D41">
        <v>312.88499999999999</v>
      </c>
      <c r="E41">
        <v>457.96199999999999</v>
      </c>
      <c r="F41">
        <v>488.48099999999999</v>
      </c>
      <c r="G41">
        <v>490.596</v>
      </c>
      <c r="H41">
        <v>396.38499999999999</v>
      </c>
      <c r="I41">
        <v>318.25</v>
      </c>
      <c r="J41">
        <v>317.23099999999999</v>
      </c>
      <c r="K41">
        <v>326.30799999999999</v>
      </c>
      <c r="L41">
        <v>319.654</v>
      </c>
      <c r="M41">
        <v>661.86500000000001</v>
      </c>
      <c r="N41">
        <v>350.404</v>
      </c>
      <c r="O41">
        <v>406.98099999999999</v>
      </c>
      <c r="P41">
        <v>358.46199999999999</v>
      </c>
      <c r="Q41">
        <v>355.673</v>
      </c>
    </row>
    <row r="42" spans="1:17" x14ac:dyDescent="0.2">
      <c r="A42" t="s">
        <v>611</v>
      </c>
      <c r="C42">
        <f>C41-B41</f>
        <v>60.132999999999981</v>
      </c>
      <c r="D42">
        <f>D41-B41</f>
        <v>62.055999999999983</v>
      </c>
      <c r="E42">
        <f>E41-B41</f>
        <v>207.13299999999998</v>
      </c>
      <c r="F42">
        <f>F41-B41</f>
        <v>237.65199999999999</v>
      </c>
      <c r="G42">
        <f>G41-B41</f>
        <v>239.767</v>
      </c>
      <c r="H42">
        <f>H41-B41</f>
        <v>145.55599999999998</v>
      </c>
      <c r="I42">
        <f>I41-B41</f>
        <v>67.420999999999992</v>
      </c>
      <c r="J42">
        <f>J41-B41</f>
        <v>66.401999999999987</v>
      </c>
      <c r="K42">
        <f>K41-B41</f>
        <v>75.478999999999985</v>
      </c>
      <c r="L42">
        <f>L41-B41</f>
        <v>68.824999999999989</v>
      </c>
      <c r="M42">
        <f>M41-B41</f>
        <v>411.036</v>
      </c>
      <c r="N42">
        <f>N41-B41</f>
        <v>99.574999999999989</v>
      </c>
      <c r="O42">
        <f>O41-B41</f>
        <v>156.15199999999999</v>
      </c>
      <c r="P42">
        <f>P41-B41</f>
        <v>107.63299999999998</v>
      </c>
      <c r="Q42">
        <f>Q41-B41</f>
        <v>104.84399999999999</v>
      </c>
    </row>
    <row r="43" spans="1:17" x14ac:dyDescent="0.2">
      <c r="A43" t="s">
        <v>31</v>
      </c>
      <c r="C43">
        <v>5.3470000000000004</v>
      </c>
      <c r="D43">
        <v>3.371</v>
      </c>
      <c r="E43">
        <v>2.5790000000000002</v>
      </c>
      <c r="F43">
        <v>2.7010000000000001</v>
      </c>
      <c r="G43">
        <v>2.0579999999999998</v>
      </c>
      <c r="H43">
        <v>3.5659999999999998</v>
      </c>
      <c r="I43">
        <v>3.03</v>
      </c>
      <c r="J43">
        <v>2.89</v>
      </c>
      <c r="K43">
        <v>2.8250000000000002</v>
      </c>
      <c r="L43">
        <v>3.2149999999999999</v>
      </c>
      <c r="M43">
        <v>1.488</v>
      </c>
      <c r="N43">
        <v>1.728</v>
      </c>
      <c r="O43">
        <v>2.153</v>
      </c>
      <c r="P43">
        <v>2.5489999999999999</v>
      </c>
      <c r="Q43">
        <v>2.859</v>
      </c>
    </row>
    <row r="44" spans="1:17" x14ac:dyDescent="0.2">
      <c r="A44" t="s">
        <v>17</v>
      </c>
      <c r="C44">
        <f t="shared" ref="C44:Q44" si="6">SQRT(1+C43^2)</f>
        <v>5.4397067016522138</v>
      </c>
      <c r="D44">
        <f t="shared" si="6"/>
        <v>3.5161969512528732</v>
      </c>
      <c r="E44">
        <f t="shared" si="6"/>
        <v>2.7660876703387407</v>
      </c>
      <c r="F44">
        <f t="shared" si="6"/>
        <v>2.880173779479287</v>
      </c>
      <c r="G44">
        <f t="shared" si="6"/>
        <v>2.2880917813759134</v>
      </c>
      <c r="H44">
        <f t="shared" si="6"/>
        <v>3.7035599090604703</v>
      </c>
      <c r="I44">
        <f t="shared" si="6"/>
        <v>3.1907522623983202</v>
      </c>
      <c r="J44">
        <f t="shared" si="6"/>
        <v>3.0581203377238118</v>
      </c>
      <c r="K44">
        <f t="shared" si="6"/>
        <v>2.9967690935405749</v>
      </c>
      <c r="L44">
        <f t="shared" si="6"/>
        <v>3.3669310952260365</v>
      </c>
      <c r="M44">
        <f t="shared" si="6"/>
        <v>1.7928033913399428</v>
      </c>
      <c r="N44">
        <f t="shared" si="6"/>
        <v>1.9964929251064227</v>
      </c>
      <c r="O44">
        <f t="shared" si="6"/>
        <v>2.3739016407593638</v>
      </c>
      <c r="P44">
        <f t="shared" si="6"/>
        <v>2.7381382361013111</v>
      </c>
      <c r="Q44">
        <f t="shared" si="6"/>
        <v>3.0288415277131948</v>
      </c>
    </row>
    <row r="45" spans="1:17" x14ac:dyDescent="0.2">
      <c r="A45" t="s">
        <v>10</v>
      </c>
      <c r="D45">
        <f t="shared" ref="D45:Q45" si="7">D42/45.8716</f>
        <v>1.3528196095187432</v>
      </c>
      <c r="E45">
        <f t="shared" si="7"/>
        <v>4.5154954263640246</v>
      </c>
      <c r="F45">
        <f t="shared" si="7"/>
        <v>5.1808090408880441</v>
      </c>
      <c r="G45">
        <f t="shared" si="7"/>
        <v>5.2269160003139197</v>
      </c>
      <c r="H45">
        <f t="shared" si="7"/>
        <v>3.1731180076561527</v>
      </c>
      <c r="I45">
        <f t="shared" si="7"/>
        <v>1.4697765065966739</v>
      </c>
      <c r="J45">
        <f t="shared" si="7"/>
        <v>1.4475623261451527</v>
      </c>
      <c r="K45">
        <f t="shared" si="7"/>
        <v>1.6454407520121379</v>
      </c>
      <c r="L45">
        <f t="shared" si="7"/>
        <v>1.5003836796623615</v>
      </c>
      <c r="M45">
        <f t="shared" si="7"/>
        <v>8.9605769146923144</v>
      </c>
      <c r="N45">
        <f t="shared" si="7"/>
        <v>2.1707330897548807</v>
      </c>
      <c r="O45">
        <f t="shared" si="7"/>
        <v>3.4041106043826677</v>
      </c>
      <c r="P45">
        <f t="shared" si="7"/>
        <v>2.3463973351703444</v>
      </c>
      <c r="Q45">
        <f t="shared" si="7"/>
        <v>2.2855971886744739</v>
      </c>
    </row>
    <row r="47" spans="1:17" s="1" customFormat="1" x14ac:dyDescent="0.2">
      <c r="A47" s="1" t="s">
        <v>19</v>
      </c>
      <c r="C47" s="1" t="s">
        <v>23</v>
      </c>
      <c r="D47" s="1" t="s">
        <v>25</v>
      </c>
    </row>
    <row r="48" spans="1:17" x14ac:dyDescent="0.2">
      <c r="A48" t="s">
        <v>9</v>
      </c>
      <c r="B48">
        <v>250.82900000000001</v>
      </c>
      <c r="C48">
        <v>304.80799999999999</v>
      </c>
      <c r="D48">
        <v>363.096</v>
      </c>
      <c r="E48">
        <v>916.44200000000001</v>
      </c>
      <c r="F48">
        <v>322.51900000000001</v>
      </c>
      <c r="G48">
        <v>287.673</v>
      </c>
      <c r="H48">
        <v>334.19200000000001</v>
      </c>
      <c r="I48">
        <v>357.846</v>
      </c>
      <c r="J48">
        <v>369.5</v>
      </c>
      <c r="K48">
        <v>373.673</v>
      </c>
      <c r="L48">
        <v>370.44200000000001</v>
      </c>
      <c r="M48">
        <v>353.25</v>
      </c>
      <c r="N48">
        <v>624.5</v>
      </c>
      <c r="O48">
        <v>811.077</v>
      </c>
      <c r="P48">
        <v>325.173</v>
      </c>
      <c r="Q48">
        <v>343.80799999999999</v>
      </c>
    </row>
    <row r="49" spans="1:17" x14ac:dyDescent="0.2">
      <c r="A49" t="s">
        <v>611</v>
      </c>
      <c r="C49">
        <f>C48-B48</f>
        <v>53.978999999999985</v>
      </c>
      <c r="D49">
        <f>D48-B48</f>
        <v>112.267</v>
      </c>
      <c r="E49">
        <f>E48-B48</f>
        <v>665.61300000000006</v>
      </c>
      <c r="F49">
        <f>F48-B48</f>
        <v>71.69</v>
      </c>
      <c r="G49">
        <f>G48-B48</f>
        <v>36.843999999999994</v>
      </c>
      <c r="H49">
        <f>H48-B48</f>
        <v>83.363</v>
      </c>
      <c r="I49">
        <f>I48-B48</f>
        <v>107.017</v>
      </c>
      <c r="J49">
        <f>J48-B48</f>
        <v>118.67099999999999</v>
      </c>
      <c r="K49">
        <f>K48-B48</f>
        <v>122.84399999999999</v>
      </c>
      <c r="L49">
        <f>L48-B48</f>
        <v>119.613</v>
      </c>
      <c r="M49">
        <f>M48-B48</f>
        <v>102.42099999999999</v>
      </c>
      <c r="N49">
        <f>N48-B48</f>
        <v>373.67099999999999</v>
      </c>
      <c r="O49">
        <f>O48-B48</f>
        <v>560.24800000000005</v>
      </c>
      <c r="P49">
        <f>P48-B48</f>
        <v>74.343999999999994</v>
      </c>
      <c r="Q49">
        <f>Q48-B48</f>
        <v>92.978999999999985</v>
      </c>
    </row>
    <row r="50" spans="1:17" x14ac:dyDescent="0.2">
      <c r="A50" t="s">
        <v>31</v>
      </c>
      <c r="C50">
        <v>4.2309999999999999</v>
      </c>
      <c r="D50">
        <v>3.66</v>
      </c>
      <c r="E50">
        <v>2.4910000000000001</v>
      </c>
      <c r="F50">
        <v>1.6459999999999999</v>
      </c>
      <c r="G50">
        <v>2.1739999999999999</v>
      </c>
      <c r="H50">
        <v>3.206</v>
      </c>
      <c r="I50">
        <v>2.93</v>
      </c>
      <c r="J50">
        <v>2.96</v>
      </c>
      <c r="K50">
        <v>2.964</v>
      </c>
      <c r="L50">
        <v>3.1579999999999999</v>
      </c>
      <c r="M50">
        <v>3.5739999999999998</v>
      </c>
      <c r="N50">
        <v>1.583</v>
      </c>
      <c r="O50">
        <v>1.393</v>
      </c>
      <c r="P50">
        <v>1.8280000000000001</v>
      </c>
      <c r="Q50">
        <v>2.3340000000000001</v>
      </c>
    </row>
    <row r="51" spans="1:17" x14ac:dyDescent="0.2">
      <c r="A51" t="s">
        <v>17</v>
      </c>
      <c r="C51">
        <f t="shared" ref="C51:Q51" si="8">SQRT(4+C50^2)</f>
        <v>4.6798889944100166</v>
      </c>
      <c r="D51">
        <f t="shared" si="8"/>
        <v>4.1708032799450034</v>
      </c>
      <c r="E51">
        <f t="shared" si="8"/>
        <v>3.1945392469024387</v>
      </c>
      <c r="F51">
        <f t="shared" si="8"/>
        <v>2.590234738397275</v>
      </c>
      <c r="G51">
        <f t="shared" si="8"/>
        <v>2.9540270817986753</v>
      </c>
      <c r="H51">
        <f t="shared" si="8"/>
        <v>3.7786817807272417</v>
      </c>
      <c r="I51">
        <f t="shared" si="8"/>
        <v>3.5475202606891481</v>
      </c>
      <c r="J51">
        <f t="shared" si="8"/>
        <v>3.5723381698825771</v>
      </c>
      <c r="K51">
        <f t="shared" si="8"/>
        <v>3.5756532270341879</v>
      </c>
      <c r="L51">
        <f t="shared" si="8"/>
        <v>3.7380428033932409</v>
      </c>
      <c r="M51">
        <f t="shared" si="8"/>
        <v>4.0955434315851171</v>
      </c>
      <c r="N51">
        <f t="shared" si="8"/>
        <v>2.550664423243481</v>
      </c>
      <c r="O51">
        <f t="shared" si="8"/>
        <v>2.4373036331159073</v>
      </c>
      <c r="P51">
        <f t="shared" si="8"/>
        <v>2.7095357535932241</v>
      </c>
      <c r="Q51">
        <f t="shared" si="8"/>
        <v>3.0736876874529724</v>
      </c>
    </row>
    <row r="52" spans="1:17" x14ac:dyDescent="0.2">
      <c r="A52" t="s">
        <v>10</v>
      </c>
      <c r="D52">
        <f t="shared" ref="D52:Q52" si="9">D49/45.8716</f>
        <v>2.447418446271767</v>
      </c>
      <c r="E52">
        <f t="shared" si="9"/>
        <v>14.510350630891446</v>
      </c>
      <c r="F52">
        <f t="shared" si="9"/>
        <v>1.5628406247002502</v>
      </c>
      <c r="G52">
        <f t="shared" si="9"/>
        <v>0.80319849318532588</v>
      </c>
      <c r="H52">
        <f t="shared" si="9"/>
        <v>1.8173118007656153</v>
      </c>
      <c r="I52">
        <f t="shared" si="9"/>
        <v>2.3329685469876784</v>
      </c>
      <c r="J52">
        <f t="shared" si="9"/>
        <v>2.5870255234175392</v>
      </c>
      <c r="K52">
        <f t="shared" si="9"/>
        <v>2.6779968433627777</v>
      </c>
      <c r="L52">
        <f t="shared" si="9"/>
        <v>2.6075611053462273</v>
      </c>
      <c r="M52">
        <f t="shared" si="9"/>
        <v>2.2327758351572649</v>
      </c>
      <c r="N52">
        <f t="shared" si="9"/>
        <v>8.1460206315018446</v>
      </c>
      <c r="O52">
        <f t="shared" si="9"/>
        <v>12.213395652211826</v>
      </c>
      <c r="P52">
        <f t="shared" si="9"/>
        <v>1.6206977737859589</v>
      </c>
      <c r="Q52">
        <f t="shared" si="9"/>
        <v>2.0269404162924332</v>
      </c>
    </row>
    <row r="54" spans="1:17" s="1" customFormat="1" x14ac:dyDescent="0.2">
      <c r="A54" s="1" t="s">
        <v>37</v>
      </c>
      <c r="C54" s="1" t="s">
        <v>23</v>
      </c>
      <c r="D54" s="1" t="s">
        <v>25</v>
      </c>
    </row>
    <row r="55" spans="1:17" x14ac:dyDescent="0.2">
      <c r="A55" t="s">
        <v>9</v>
      </c>
      <c r="B55">
        <v>250.82900000000001</v>
      </c>
      <c r="C55">
        <v>311.53800000000001</v>
      </c>
      <c r="D55">
        <v>565.904</v>
      </c>
      <c r="E55">
        <v>504.73099999999999</v>
      </c>
      <c r="F55">
        <v>400.596</v>
      </c>
      <c r="G55">
        <v>377.077</v>
      </c>
      <c r="H55">
        <v>403.077</v>
      </c>
      <c r="I55">
        <v>438.404</v>
      </c>
      <c r="J55">
        <v>342.30799999999999</v>
      </c>
      <c r="K55">
        <v>464.11500000000001</v>
      </c>
      <c r="L55">
        <v>459.53800000000001</v>
      </c>
      <c r="M55">
        <v>319.53800000000001</v>
      </c>
    </row>
    <row r="56" spans="1:17" x14ac:dyDescent="0.2">
      <c r="A56" t="s">
        <v>611</v>
      </c>
      <c r="C56">
        <f>C55-B55</f>
        <v>60.709000000000003</v>
      </c>
      <c r="D56">
        <f>D55-B55</f>
        <v>315.07499999999999</v>
      </c>
      <c r="E56">
        <f>E55-B55</f>
        <v>253.90199999999999</v>
      </c>
      <c r="F56">
        <f>F55-B55</f>
        <v>149.767</v>
      </c>
      <c r="G56">
        <f>G55-B55</f>
        <v>126.24799999999999</v>
      </c>
      <c r="H56">
        <f>H55-B55</f>
        <v>152.24799999999999</v>
      </c>
      <c r="I56">
        <f>I55-B55</f>
        <v>187.57499999999999</v>
      </c>
      <c r="J56">
        <f>J55-B55</f>
        <v>91.478999999999985</v>
      </c>
      <c r="K56">
        <f>K55-B55</f>
        <v>213.286</v>
      </c>
      <c r="L56">
        <f>L55-B55</f>
        <v>208.709</v>
      </c>
      <c r="M56">
        <f>M55-B55</f>
        <v>68.709000000000003</v>
      </c>
    </row>
    <row r="57" spans="1:17" x14ac:dyDescent="0.2">
      <c r="A57" t="s">
        <v>614</v>
      </c>
      <c r="C57">
        <v>1.8380000000000001</v>
      </c>
      <c r="D57">
        <v>2.2170000000000001</v>
      </c>
      <c r="E57">
        <v>1.93</v>
      </c>
      <c r="F57">
        <v>3.4260000000000002</v>
      </c>
      <c r="G57">
        <v>3.5960000000000001</v>
      </c>
      <c r="H57">
        <v>2.7330000000000001</v>
      </c>
      <c r="I57">
        <v>2.3849999999999998</v>
      </c>
      <c r="J57">
        <v>3.2639999999999998</v>
      </c>
      <c r="K57">
        <v>1.452</v>
      </c>
      <c r="L57">
        <v>1.8580000000000001</v>
      </c>
      <c r="M57">
        <v>2.1019999999999999</v>
      </c>
    </row>
    <row r="58" spans="1:17" x14ac:dyDescent="0.2">
      <c r="A58" t="s">
        <v>17</v>
      </c>
      <c r="C58">
        <f t="shared" ref="C58:M58" si="10">SQRT(9+C57^2)</f>
        <v>3.5182728717369267</v>
      </c>
      <c r="D58">
        <f t="shared" si="10"/>
        <v>3.7302934200944571</v>
      </c>
      <c r="E58">
        <f t="shared" si="10"/>
        <v>3.5671977797705581</v>
      </c>
      <c r="F58">
        <f t="shared" si="10"/>
        <v>4.5538418944886523</v>
      </c>
      <c r="G58">
        <f t="shared" si="10"/>
        <v>4.6830776205397235</v>
      </c>
      <c r="H58">
        <f t="shared" si="10"/>
        <v>4.0582371788745908</v>
      </c>
      <c r="I58">
        <f t="shared" si="10"/>
        <v>3.8325220155923434</v>
      </c>
      <c r="J58">
        <f t="shared" si="10"/>
        <v>4.4332489215021527</v>
      </c>
      <c r="K58">
        <f t="shared" si="10"/>
        <v>3.3329122400687363</v>
      </c>
      <c r="L58">
        <f t="shared" si="10"/>
        <v>3.5287623892804119</v>
      </c>
      <c r="M58">
        <f t="shared" si="10"/>
        <v>3.6631139758407736</v>
      </c>
    </row>
    <row r="59" spans="1:17" x14ac:dyDescent="0.2">
      <c r="A59" t="s">
        <v>10</v>
      </c>
      <c r="D59">
        <f t="shared" ref="D59:M59" si="11">D56/45.8716</f>
        <v>6.8686289556065185</v>
      </c>
      <c r="E59">
        <f t="shared" si="11"/>
        <v>5.535058729148318</v>
      </c>
      <c r="F59">
        <f t="shared" si="11"/>
        <v>3.2649177268724001</v>
      </c>
      <c r="G59">
        <f t="shared" si="11"/>
        <v>2.752203978060499</v>
      </c>
      <c r="H59">
        <f t="shared" si="11"/>
        <v>3.3190034792769381</v>
      </c>
      <c r="I59">
        <f t="shared" si="11"/>
        <v>4.0891314015643667</v>
      </c>
      <c r="J59">
        <f t="shared" si="11"/>
        <v>1.9942404450684079</v>
      </c>
      <c r="K59">
        <f t="shared" si="11"/>
        <v>4.6496307083249766</v>
      </c>
      <c r="L59">
        <f t="shared" si="11"/>
        <v>4.5498521961300673</v>
      </c>
      <c r="M59">
        <f t="shared" si="11"/>
        <v>1.497854881887704</v>
      </c>
    </row>
    <row r="61" spans="1:17" s="1" customFormat="1" x14ac:dyDescent="0.2">
      <c r="A61" s="1" t="s">
        <v>22</v>
      </c>
      <c r="C61" s="1" t="s">
        <v>25</v>
      </c>
    </row>
    <row r="62" spans="1:17" x14ac:dyDescent="0.2">
      <c r="A62" t="s">
        <v>9</v>
      </c>
      <c r="B62">
        <v>250.82900000000001</v>
      </c>
      <c r="C62">
        <v>337.46199999999999</v>
      </c>
      <c r="D62">
        <v>333.61500000000001</v>
      </c>
      <c r="E62">
        <v>371.55799999999999</v>
      </c>
      <c r="F62">
        <v>326.76900000000001</v>
      </c>
      <c r="G62">
        <v>325.11500000000001</v>
      </c>
      <c r="H62">
        <v>317.51900000000001</v>
      </c>
      <c r="I62">
        <v>363.5</v>
      </c>
      <c r="J62">
        <v>400.19200000000001</v>
      </c>
      <c r="K62">
        <v>348</v>
      </c>
      <c r="L62">
        <v>369.51900000000001</v>
      </c>
    </row>
    <row r="63" spans="1:17" x14ac:dyDescent="0.2">
      <c r="A63" t="s">
        <v>611</v>
      </c>
      <c r="C63">
        <f>C62-B62</f>
        <v>86.632999999999981</v>
      </c>
      <c r="D63">
        <f>D62-B62</f>
        <v>82.786000000000001</v>
      </c>
      <c r="E63">
        <f>E62-B62</f>
        <v>120.72899999999998</v>
      </c>
      <c r="F63">
        <f>F62-B62</f>
        <v>75.94</v>
      </c>
      <c r="G63">
        <f>G62-B62</f>
        <v>74.286000000000001</v>
      </c>
      <c r="H63">
        <f>H62-B62</f>
        <v>66.69</v>
      </c>
      <c r="I63">
        <f>I62-B62</f>
        <v>112.67099999999999</v>
      </c>
      <c r="J63">
        <f>J62-B62</f>
        <v>149.363</v>
      </c>
      <c r="K63">
        <f>K62-B62</f>
        <v>97.170999999999992</v>
      </c>
      <c r="L63">
        <f>L62-B62</f>
        <v>118.69</v>
      </c>
    </row>
    <row r="64" spans="1:17" x14ac:dyDescent="0.2">
      <c r="A64" t="s">
        <v>31</v>
      </c>
      <c r="C64">
        <v>2.7490000000000001</v>
      </c>
      <c r="D64">
        <v>2.9020000000000001</v>
      </c>
      <c r="E64">
        <v>2.0579999999999998</v>
      </c>
      <c r="F64">
        <v>1.986</v>
      </c>
      <c r="G64">
        <v>1.446</v>
      </c>
      <c r="H64">
        <v>2.1</v>
      </c>
      <c r="I64">
        <v>3.4060000000000001</v>
      </c>
      <c r="J64">
        <v>2.6549999999999998</v>
      </c>
      <c r="K64">
        <v>2.0329999999999999</v>
      </c>
      <c r="L64">
        <v>1.5860000000000001</v>
      </c>
    </row>
    <row r="65" spans="1:12" x14ac:dyDescent="0.2">
      <c r="A65" t="s">
        <v>17</v>
      </c>
      <c r="C65">
        <f t="shared" ref="C65:L65" si="12">SQRT(16+C64^2)</f>
        <v>4.8535555008673796</v>
      </c>
      <c r="D65">
        <f t="shared" si="12"/>
        <v>4.941821931231436</v>
      </c>
      <c r="E65">
        <f t="shared" si="12"/>
        <v>4.4983734838272378</v>
      </c>
      <c r="F65">
        <f t="shared" si="12"/>
        <v>4.4658925199785093</v>
      </c>
      <c r="G65">
        <f t="shared" si="12"/>
        <v>4.2533417450282549</v>
      </c>
      <c r="H65">
        <f t="shared" si="12"/>
        <v>4.5177427992306072</v>
      </c>
      <c r="I65">
        <f t="shared" si="12"/>
        <v>5.2536497789631929</v>
      </c>
      <c r="J65">
        <f t="shared" si="12"/>
        <v>4.8009400121226262</v>
      </c>
      <c r="K65">
        <f t="shared" si="12"/>
        <v>4.4869910853488442</v>
      </c>
      <c r="L65">
        <f t="shared" si="12"/>
        <v>4.3029520099578145</v>
      </c>
    </row>
    <row r="66" spans="1:12" x14ac:dyDescent="0.2">
      <c r="A66" t="s">
        <v>10</v>
      </c>
      <c r="C66">
        <f t="shared" ref="C66:L66" si="13">C63/45.8716</f>
        <v>1.88859773803399</v>
      </c>
      <c r="D66">
        <f t="shared" si="13"/>
        <v>1.8047332118347736</v>
      </c>
      <c r="E66">
        <f t="shared" si="13"/>
        <v>2.6318898839369016</v>
      </c>
      <c r="F66">
        <f t="shared" si="13"/>
        <v>1.655490543168322</v>
      </c>
      <c r="G66">
        <f t="shared" si="13"/>
        <v>1.61943337489863</v>
      </c>
      <c r="H66">
        <f t="shared" si="13"/>
        <v>1.4538407206201658</v>
      </c>
      <c r="I66">
        <f t="shared" si="13"/>
        <v>2.4562256385214378</v>
      </c>
      <c r="J66">
        <f t="shared" si="13"/>
        <v>3.2561105346227293</v>
      </c>
      <c r="K66">
        <f t="shared" si="13"/>
        <v>2.1183259358731763</v>
      </c>
      <c r="L66">
        <f t="shared" si="13"/>
        <v>2.5874397230530435</v>
      </c>
    </row>
    <row r="68" spans="1:12" x14ac:dyDescent="0.2">
      <c r="A68" t="s">
        <v>33</v>
      </c>
      <c r="C68">
        <f>AVERAGE(C15,C36,C42,C49,)</f>
        <v>45.871599999999987</v>
      </c>
    </row>
    <row r="69" spans="1:12" x14ac:dyDescent="0.2">
      <c r="A69" t="s">
        <v>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5AB6-FC37-514B-ABDA-64A400D99DEB}">
  <dimension ref="A3:O80"/>
  <sheetViews>
    <sheetView topLeftCell="A37" workbookViewId="0">
      <selection activeCell="N80" sqref="N80"/>
    </sheetView>
  </sheetViews>
  <sheetFormatPr baseColWidth="10" defaultColWidth="11.1640625" defaultRowHeight="16" x14ac:dyDescent="0.2"/>
  <cols>
    <col min="1" max="1" width="22" style="30" bestFit="1" customWidth="1"/>
    <col min="2" max="2" width="17.5" style="30" bestFit="1" customWidth="1"/>
    <col min="3" max="16384" width="11.1640625" style="30"/>
  </cols>
  <sheetData>
    <row r="3" spans="1:12" x14ac:dyDescent="0.2">
      <c r="A3" s="30" t="s">
        <v>27</v>
      </c>
      <c r="B3" s="30">
        <v>58.988999999999997</v>
      </c>
      <c r="E3" s="30" t="s">
        <v>597</v>
      </c>
      <c r="F3" s="30">
        <f>AVERAGE(C7,D7,C14,C21:J21,C28:H28,C35:I35,C42:F42,C63,C70:D70)</f>
        <v>373.96664516129033</v>
      </c>
    </row>
    <row r="4" spans="1:12" ht="17" thickBot="1" x14ac:dyDescent="0.25"/>
    <row r="5" spans="1:12" ht="17" thickBot="1" x14ac:dyDescent="0.25">
      <c r="A5" s="41" t="s">
        <v>596</v>
      </c>
      <c r="B5" s="40" t="s">
        <v>70</v>
      </c>
      <c r="C5" s="45">
        <v>1</v>
      </c>
      <c r="D5" s="45">
        <v>1</v>
      </c>
      <c r="E5" s="45"/>
      <c r="F5" s="45"/>
      <c r="G5" s="45"/>
      <c r="H5" s="45"/>
      <c r="I5" s="45"/>
      <c r="J5" s="45"/>
    </row>
    <row r="6" spans="1:12" x14ac:dyDescent="0.2">
      <c r="A6" s="39" t="s">
        <v>63</v>
      </c>
      <c r="B6" s="30">
        <v>322.92899999999997</v>
      </c>
      <c r="C6" s="30">
        <v>1021.308</v>
      </c>
      <c r="D6" s="30">
        <v>1040.692</v>
      </c>
      <c r="E6" s="30">
        <v>1107.596</v>
      </c>
      <c r="F6" s="30">
        <v>1550.404</v>
      </c>
      <c r="G6" s="30">
        <v>1751.538</v>
      </c>
      <c r="H6" s="30">
        <v>1169.288</v>
      </c>
      <c r="I6" s="30">
        <v>1093.058</v>
      </c>
      <c r="J6" s="30">
        <v>1471.192</v>
      </c>
    </row>
    <row r="7" spans="1:12" x14ac:dyDescent="0.2">
      <c r="A7" s="39" t="s">
        <v>62</v>
      </c>
      <c r="C7" s="30">
        <f t="shared" ref="C7:J7" si="0">C6-$B$6</f>
        <v>698.37900000000002</v>
      </c>
      <c r="D7" s="30">
        <f t="shared" si="0"/>
        <v>717.76300000000003</v>
      </c>
      <c r="E7" s="30">
        <f t="shared" si="0"/>
        <v>784.66700000000003</v>
      </c>
      <c r="F7" s="30">
        <f t="shared" si="0"/>
        <v>1227.4749999999999</v>
      </c>
      <c r="G7" s="30">
        <f t="shared" si="0"/>
        <v>1428.6089999999999</v>
      </c>
      <c r="H7" s="30">
        <f t="shared" si="0"/>
        <v>846.35900000000004</v>
      </c>
      <c r="I7" s="30">
        <f t="shared" si="0"/>
        <v>770.12900000000002</v>
      </c>
      <c r="J7" s="30">
        <f t="shared" si="0"/>
        <v>1148.2629999999999</v>
      </c>
    </row>
    <row r="8" spans="1:12" x14ac:dyDescent="0.2">
      <c r="A8" s="39" t="s">
        <v>61</v>
      </c>
      <c r="C8" s="30">
        <v>1.83</v>
      </c>
      <c r="D8" s="30">
        <v>1.532</v>
      </c>
      <c r="E8" s="30">
        <v>2.0590000000000002</v>
      </c>
      <c r="F8" s="30">
        <v>1.6339999999999999</v>
      </c>
      <c r="G8" s="30">
        <v>1.861</v>
      </c>
      <c r="H8" s="30">
        <v>1.1140000000000001</v>
      </c>
      <c r="I8" s="30">
        <v>2.7989999999999999</v>
      </c>
      <c r="J8" s="30">
        <v>1.7330000000000001</v>
      </c>
    </row>
    <row r="9" spans="1:12" x14ac:dyDescent="0.2">
      <c r="A9" s="39" t="s">
        <v>60</v>
      </c>
    </row>
    <row r="10" spans="1:12" x14ac:dyDescent="0.2">
      <c r="A10" s="39" t="s">
        <v>59</v>
      </c>
      <c r="E10" s="30">
        <f t="shared" ref="E10:J10" si="1">E7/$F$3</f>
        <v>2.0982272353770384</v>
      </c>
      <c r="F10" s="30">
        <f t="shared" si="1"/>
        <v>3.2823114464408847</v>
      </c>
      <c r="G10" s="30">
        <f t="shared" si="1"/>
        <v>3.8201508569938007</v>
      </c>
      <c r="H10" s="30">
        <f t="shared" si="1"/>
        <v>2.2631938194246408</v>
      </c>
      <c r="I10" s="30">
        <f t="shared" si="1"/>
        <v>2.0593521105815373</v>
      </c>
      <c r="J10" s="30">
        <f t="shared" si="1"/>
        <v>3.0704957644143867</v>
      </c>
    </row>
    <row r="12" spans="1:12" x14ac:dyDescent="0.2">
      <c r="A12" s="41" t="s">
        <v>595</v>
      </c>
      <c r="B12" s="45"/>
      <c r="C12" s="45">
        <v>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x14ac:dyDescent="0.2">
      <c r="A13" s="39" t="s">
        <v>63</v>
      </c>
      <c r="C13" s="30">
        <v>711.404</v>
      </c>
      <c r="D13" s="30">
        <v>1249.731</v>
      </c>
      <c r="E13" s="30">
        <v>1433.538</v>
      </c>
      <c r="F13" s="30">
        <v>1425.442</v>
      </c>
      <c r="G13" s="30">
        <v>947.05799999999999</v>
      </c>
      <c r="H13" s="30">
        <v>1263</v>
      </c>
      <c r="I13" s="30">
        <v>1342.288</v>
      </c>
      <c r="J13" s="30">
        <v>1577.115</v>
      </c>
      <c r="K13" s="30">
        <v>1485.808</v>
      </c>
      <c r="L13" s="30">
        <v>755.25</v>
      </c>
    </row>
    <row r="14" spans="1:12" x14ac:dyDescent="0.2">
      <c r="A14" s="39" t="s">
        <v>62</v>
      </c>
      <c r="C14" s="30">
        <f t="shared" ref="C14:L14" si="2">C13-$B$6</f>
        <v>388.47500000000002</v>
      </c>
      <c r="D14" s="30">
        <f t="shared" si="2"/>
        <v>926.80200000000002</v>
      </c>
      <c r="E14" s="30">
        <f t="shared" si="2"/>
        <v>1110.6089999999999</v>
      </c>
      <c r="F14" s="30">
        <f t="shared" si="2"/>
        <v>1102.5129999999999</v>
      </c>
      <c r="G14" s="30">
        <f t="shared" si="2"/>
        <v>624.12900000000002</v>
      </c>
      <c r="H14" s="30">
        <f t="shared" si="2"/>
        <v>940.07100000000003</v>
      </c>
      <c r="I14" s="30">
        <f t="shared" si="2"/>
        <v>1019.359</v>
      </c>
      <c r="J14" s="30">
        <f t="shared" si="2"/>
        <v>1254.1860000000001</v>
      </c>
      <c r="K14" s="30">
        <f t="shared" si="2"/>
        <v>1162.8789999999999</v>
      </c>
      <c r="L14" s="30">
        <f t="shared" si="2"/>
        <v>432.32100000000003</v>
      </c>
    </row>
    <row r="15" spans="1:12" x14ac:dyDescent="0.2">
      <c r="A15" s="39" t="s">
        <v>61</v>
      </c>
      <c r="C15" s="30">
        <v>2.2559999999999998</v>
      </c>
      <c r="D15" s="30">
        <v>1.8140000000000001</v>
      </c>
      <c r="E15" s="30">
        <v>1.8169999999999999</v>
      </c>
      <c r="F15" s="30">
        <v>1.7509999999999999</v>
      </c>
      <c r="G15" s="30">
        <v>2.7080000000000002</v>
      </c>
      <c r="H15" s="30">
        <v>2.6869999999999998</v>
      </c>
      <c r="I15" s="30">
        <v>2.5270000000000001</v>
      </c>
      <c r="J15" s="30">
        <v>1.595</v>
      </c>
      <c r="K15" s="30">
        <v>2.238</v>
      </c>
      <c r="L15" s="30">
        <v>3.5409999999999999</v>
      </c>
    </row>
    <row r="16" spans="1:12" x14ac:dyDescent="0.2">
      <c r="A16" s="39" t="s">
        <v>60</v>
      </c>
      <c r="C16" s="30">
        <f t="shared" ref="C16:L16" si="3">SQRT((C15^2)+1)</f>
        <v>2.4676985229156334</v>
      </c>
      <c r="D16" s="30">
        <f t="shared" si="3"/>
        <v>2.0713753884798383</v>
      </c>
      <c r="E16" s="30">
        <f t="shared" si="3"/>
        <v>2.0740031340381337</v>
      </c>
      <c r="F16" s="30">
        <f t="shared" si="3"/>
        <v>2.016432741253722</v>
      </c>
      <c r="G16" s="30">
        <f t="shared" si="3"/>
        <v>2.8867393370375511</v>
      </c>
      <c r="H16" s="30">
        <f t="shared" si="3"/>
        <v>2.8670488311153681</v>
      </c>
      <c r="I16" s="30">
        <f t="shared" si="3"/>
        <v>2.7176697739055791</v>
      </c>
      <c r="J16" s="30">
        <f t="shared" si="3"/>
        <v>1.8825581000330376</v>
      </c>
      <c r="K16" s="30">
        <f t="shared" si="3"/>
        <v>2.4512535568561651</v>
      </c>
      <c r="L16" s="30">
        <f t="shared" si="3"/>
        <v>3.6794946663910246</v>
      </c>
    </row>
    <row r="17" spans="1:15" x14ac:dyDescent="0.2">
      <c r="A17" s="39" t="s">
        <v>59</v>
      </c>
      <c r="D17" s="30">
        <f t="shared" ref="D17:L17" si="4">D14/$F$3</f>
        <v>2.4783012388719161</v>
      </c>
      <c r="E17" s="30">
        <f t="shared" si="4"/>
        <v>2.9698076402535811</v>
      </c>
      <c r="F17" s="30">
        <f t="shared" si="4"/>
        <v>2.9481586506852513</v>
      </c>
      <c r="G17" s="30">
        <f t="shared" si="4"/>
        <v>1.6689429607574111</v>
      </c>
      <c r="H17" s="30">
        <f t="shared" si="4"/>
        <v>2.5137830129062744</v>
      </c>
      <c r="I17" s="30">
        <f t="shared" si="4"/>
        <v>2.7258019216135025</v>
      </c>
      <c r="J17" s="30">
        <f t="shared" si="4"/>
        <v>3.3537376026117909</v>
      </c>
      <c r="K17" s="30">
        <f t="shared" si="4"/>
        <v>3.1095794639611638</v>
      </c>
      <c r="L17" s="30">
        <f t="shared" si="4"/>
        <v>1.1560416031583289</v>
      </c>
    </row>
    <row r="19" spans="1:15" x14ac:dyDescent="0.2">
      <c r="A19" s="41" t="s">
        <v>594</v>
      </c>
      <c r="B19" s="45"/>
      <c r="C19" s="45">
        <v>1</v>
      </c>
      <c r="D19" s="45">
        <v>1</v>
      </c>
      <c r="E19" s="45">
        <v>1</v>
      </c>
      <c r="F19" s="45">
        <v>1</v>
      </c>
      <c r="G19" s="45">
        <v>1</v>
      </c>
      <c r="H19" s="45">
        <v>1</v>
      </c>
      <c r="I19" s="45">
        <v>1</v>
      </c>
      <c r="J19" s="45">
        <v>1</v>
      </c>
      <c r="K19" s="45"/>
      <c r="L19" s="45"/>
      <c r="M19" s="45"/>
    </row>
    <row r="20" spans="1:15" x14ac:dyDescent="0.2">
      <c r="A20" s="39" t="s">
        <v>63</v>
      </c>
      <c r="C20" s="30">
        <v>473.26900000000001</v>
      </c>
      <c r="D20" s="30">
        <v>882.61500000000001</v>
      </c>
      <c r="E20" s="30">
        <v>882.55799999999999</v>
      </c>
      <c r="F20" s="30">
        <v>961.46199999999999</v>
      </c>
      <c r="G20" s="30">
        <v>826.923</v>
      </c>
      <c r="H20" s="30">
        <v>949.26900000000001</v>
      </c>
      <c r="I20" s="30">
        <v>505.19200000000001</v>
      </c>
      <c r="J20" s="30">
        <v>412.86500000000001</v>
      </c>
      <c r="K20" s="30">
        <v>1679.885</v>
      </c>
      <c r="L20" s="30">
        <v>1646.692</v>
      </c>
      <c r="M20" s="30">
        <v>1271.462</v>
      </c>
    </row>
    <row r="21" spans="1:15" x14ac:dyDescent="0.2">
      <c r="A21" s="39" t="s">
        <v>62</v>
      </c>
      <c r="C21" s="30">
        <f t="shared" ref="C21:M21" si="5">C20-$B$6</f>
        <v>150.34000000000003</v>
      </c>
      <c r="D21" s="30">
        <f t="shared" si="5"/>
        <v>559.68600000000004</v>
      </c>
      <c r="E21" s="30">
        <f t="shared" si="5"/>
        <v>559.62900000000002</v>
      </c>
      <c r="F21" s="30">
        <f t="shared" si="5"/>
        <v>638.53300000000002</v>
      </c>
      <c r="G21" s="30">
        <f t="shared" si="5"/>
        <v>503.99400000000003</v>
      </c>
      <c r="H21" s="30">
        <f t="shared" si="5"/>
        <v>626.34</v>
      </c>
      <c r="I21" s="30">
        <f t="shared" si="5"/>
        <v>182.26300000000003</v>
      </c>
      <c r="J21" s="30">
        <f t="shared" si="5"/>
        <v>89.936000000000035</v>
      </c>
      <c r="K21" s="30">
        <f t="shared" si="5"/>
        <v>1356.9560000000001</v>
      </c>
      <c r="L21" s="30">
        <f t="shared" si="5"/>
        <v>1323.7629999999999</v>
      </c>
      <c r="M21" s="30">
        <f t="shared" si="5"/>
        <v>948.53300000000002</v>
      </c>
    </row>
    <row r="22" spans="1:15" x14ac:dyDescent="0.2">
      <c r="A22" s="39" t="s">
        <v>61</v>
      </c>
      <c r="C22" s="30">
        <v>7.0030000000000001</v>
      </c>
      <c r="D22" s="30">
        <v>1.83</v>
      </c>
      <c r="E22" s="30">
        <v>0.63100000000000001</v>
      </c>
      <c r="F22" s="30">
        <v>1.256</v>
      </c>
      <c r="G22" s="30">
        <v>0.53700000000000003</v>
      </c>
      <c r="H22" s="30">
        <v>1.3939999999999999</v>
      </c>
      <c r="I22" s="30">
        <v>4.2009999999999996</v>
      </c>
      <c r="J22" s="30">
        <v>4.5199999999999996</v>
      </c>
      <c r="K22" s="30">
        <v>1.8480000000000001</v>
      </c>
      <c r="L22" s="30">
        <v>2.5219999999999998</v>
      </c>
      <c r="M22" s="30">
        <v>2.7919999999999998</v>
      </c>
    </row>
    <row r="23" spans="1:15" x14ac:dyDescent="0.2">
      <c r="A23" s="39" t="s">
        <v>60</v>
      </c>
      <c r="C23" s="30">
        <f t="shared" ref="C23:M23" si="6">SQRT((C22^2)+4)</f>
        <v>7.2829945077557214</v>
      </c>
      <c r="D23" s="30">
        <f t="shared" si="6"/>
        <v>2.7108854641979989</v>
      </c>
      <c r="E23" s="30">
        <f t="shared" si="6"/>
        <v>2.0971792961022668</v>
      </c>
      <c r="F23" s="30">
        <f t="shared" si="6"/>
        <v>2.3616807574267948</v>
      </c>
      <c r="G23" s="30">
        <f t="shared" si="6"/>
        <v>2.0708377531810647</v>
      </c>
      <c r="H23" s="30">
        <f t="shared" si="6"/>
        <v>2.4378753044403236</v>
      </c>
      <c r="I23" s="30">
        <f t="shared" si="6"/>
        <v>4.6527842202277121</v>
      </c>
      <c r="J23" s="30">
        <f t="shared" si="6"/>
        <v>4.9427118062860993</v>
      </c>
      <c r="K23" s="30">
        <f t="shared" si="6"/>
        <v>2.7230688570067412</v>
      </c>
      <c r="L23" s="30">
        <f t="shared" si="6"/>
        <v>3.2187705727497882</v>
      </c>
      <c r="M23" s="30">
        <f t="shared" si="6"/>
        <v>3.4344233868292942</v>
      </c>
    </row>
    <row r="24" spans="1:15" x14ac:dyDescent="0.2">
      <c r="A24" s="39" t="s">
        <v>59</v>
      </c>
      <c r="K24" s="30">
        <f>K21/$F$3</f>
        <v>3.6285482075941569</v>
      </c>
      <c r="L24" s="30">
        <f>L21/$F$3</f>
        <v>3.5397889547851684</v>
      </c>
      <c r="M24" s="30">
        <f>M21/$F$3</f>
        <v>2.5364106993844371</v>
      </c>
    </row>
    <row r="26" spans="1:15" x14ac:dyDescent="0.2">
      <c r="A26" s="41" t="s">
        <v>593</v>
      </c>
      <c r="B26" s="45"/>
      <c r="C26" s="45">
        <v>1</v>
      </c>
      <c r="D26" s="45">
        <v>1</v>
      </c>
      <c r="E26" s="45">
        <v>1</v>
      </c>
      <c r="F26" s="45">
        <v>1</v>
      </c>
      <c r="G26" s="45">
        <v>1</v>
      </c>
      <c r="H26" s="45">
        <v>1</v>
      </c>
      <c r="I26" s="45"/>
      <c r="J26" s="45"/>
      <c r="K26" s="45"/>
      <c r="L26" s="45"/>
      <c r="M26" s="45"/>
      <c r="N26" s="45"/>
      <c r="O26" s="45"/>
    </row>
    <row r="27" spans="1:15" x14ac:dyDescent="0.2">
      <c r="A27" s="39" t="s">
        <v>63</v>
      </c>
      <c r="C27" s="30">
        <v>440.09300000000002</v>
      </c>
      <c r="D27" s="30">
        <v>936.25</v>
      </c>
      <c r="E27" s="30">
        <v>807.80799999999999</v>
      </c>
      <c r="F27" s="30">
        <v>695.173</v>
      </c>
      <c r="G27" s="30">
        <v>629.904</v>
      </c>
      <c r="H27" s="30">
        <v>499.21199999999999</v>
      </c>
      <c r="I27" s="30">
        <v>445.923</v>
      </c>
      <c r="J27" s="30">
        <v>393.096</v>
      </c>
      <c r="K27" s="30">
        <v>1204.442</v>
      </c>
      <c r="L27" s="30">
        <v>1671.885</v>
      </c>
      <c r="M27" s="30">
        <v>1465.173</v>
      </c>
      <c r="N27" s="30">
        <v>891.577</v>
      </c>
      <c r="O27" s="30">
        <v>820.23099999999999</v>
      </c>
    </row>
    <row r="28" spans="1:15" x14ac:dyDescent="0.2">
      <c r="A28" s="39" t="s">
        <v>62</v>
      </c>
      <c r="C28" s="30">
        <f t="shared" ref="C28:O28" si="7">C27-$B$6</f>
        <v>117.16400000000004</v>
      </c>
      <c r="D28" s="30">
        <f t="shared" si="7"/>
        <v>613.32100000000003</v>
      </c>
      <c r="E28" s="30">
        <f t="shared" si="7"/>
        <v>484.87900000000002</v>
      </c>
      <c r="F28" s="30">
        <f t="shared" si="7"/>
        <v>372.24400000000003</v>
      </c>
      <c r="G28" s="30">
        <f t="shared" si="7"/>
        <v>306.97500000000002</v>
      </c>
      <c r="H28" s="30">
        <f t="shared" si="7"/>
        <v>176.28300000000002</v>
      </c>
      <c r="I28" s="30">
        <f t="shared" si="7"/>
        <v>122.99400000000003</v>
      </c>
      <c r="J28" s="30">
        <f t="shared" si="7"/>
        <v>70.16700000000003</v>
      </c>
      <c r="K28" s="30">
        <f t="shared" si="7"/>
        <v>881.51300000000003</v>
      </c>
      <c r="L28" s="30">
        <f t="shared" si="7"/>
        <v>1348.9560000000001</v>
      </c>
      <c r="M28" s="30">
        <f t="shared" si="7"/>
        <v>1142.2440000000001</v>
      </c>
      <c r="N28" s="30">
        <f t="shared" si="7"/>
        <v>568.64800000000002</v>
      </c>
      <c r="O28" s="30">
        <f t="shared" si="7"/>
        <v>497.30200000000002</v>
      </c>
    </row>
    <row r="29" spans="1:15" x14ac:dyDescent="0.2">
      <c r="A29" s="39" t="s">
        <v>61</v>
      </c>
      <c r="C29" s="30">
        <v>6.79</v>
      </c>
      <c r="D29" s="30">
        <v>0.68500000000000005</v>
      </c>
      <c r="E29" s="30">
        <v>2.0550000000000002</v>
      </c>
      <c r="F29" s="30">
        <v>2.8740000000000001</v>
      </c>
      <c r="G29" s="30">
        <v>4.6390000000000002</v>
      </c>
      <c r="H29" s="30">
        <v>4.5869999999999997</v>
      </c>
      <c r="I29" s="30">
        <v>10.225</v>
      </c>
      <c r="J29" s="30">
        <v>6.2830000000000004</v>
      </c>
      <c r="K29" s="30">
        <v>0.92</v>
      </c>
      <c r="L29" s="30">
        <v>1.599</v>
      </c>
      <c r="M29" s="30">
        <v>2.3559999999999999</v>
      </c>
      <c r="N29" s="30">
        <v>3.1869999999999998</v>
      </c>
      <c r="O29" s="30">
        <v>2.859</v>
      </c>
    </row>
    <row r="30" spans="1:15" x14ac:dyDescent="0.2">
      <c r="A30" s="39" t="s">
        <v>60</v>
      </c>
      <c r="C30" s="30">
        <f t="shared" ref="C30:O30" si="8">SQRT((C29^2)+9)</f>
        <v>7.4232135898140506</v>
      </c>
      <c r="D30" s="30">
        <f t="shared" si="8"/>
        <v>3.0772105875289069</v>
      </c>
      <c r="E30" s="30">
        <f t="shared" si="8"/>
        <v>3.6363477556471411</v>
      </c>
      <c r="F30" s="30">
        <f t="shared" si="8"/>
        <v>4.1545006920206422</v>
      </c>
      <c r="G30" s="30">
        <f t="shared" si="8"/>
        <v>5.5245199791475095</v>
      </c>
      <c r="H30" s="30">
        <f t="shared" si="8"/>
        <v>5.4809277499343114</v>
      </c>
      <c r="I30" s="30">
        <f t="shared" si="8"/>
        <v>10.656013560426807</v>
      </c>
      <c r="J30" s="30">
        <f t="shared" si="8"/>
        <v>6.9624772171979137</v>
      </c>
      <c r="K30" s="30">
        <f t="shared" si="8"/>
        <v>3.1378973851928298</v>
      </c>
      <c r="L30" s="30">
        <f t="shared" si="8"/>
        <v>3.3995295262727163</v>
      </c>
      <c r="M30" s="30">
        <f t="shared" si="8"/>
        <v>3.8145426986730664</v>
      </c>
      <c r="N30" s="30">
        <f t="shared" si="8"/>
        <v>4.3768674871419169</v>
      </c>
      <c r="O30" s="30">
        <f t="shared" si="8"/>
        <v>4.1441381492416491</v>
      </c>
    </row>
    <row r="31" spans="1:15" x14ac:dyDescent="0.2">
      <c r="A31" s="39" t="s">
        <v>59</v>
      </c>
      <c r="I31" s="30">
        <f t="shared" ref="I31:O31" si="9">I28/$F$3</f>
        <v>0.32889029433882588</v>
      </c>
      <c r="J31" s="30">
        <f t="shared" si="9"/>
        <v>0.18762903298431144</v>
      </c>
      <c r="K31" s="30">
        <f t="shared" si="9"/>
        <v>2.3571968554035267</v>
      </c>
      <c r="L31" s="30">
        <f t="shared" si="9"/>
        <v>3.6071559254120129</v>
      </c>
      <c r="M31" s="30">
        <f t="shared" si="9"/>
        <v>3.0544007461075968</v>
      </c>
      <c r="N31" s="30">
        <f t="shared" si="9"/>
        <v>1.5205848097889703</v>
      </c>
      <c r="O31" s="30">
        <f t="shared" si="9"/>
        <v>1.3298030892180654</v>
      </c>
    </row>
    <row r="33" spans="1:14" x14ac:dyDescent="0.2">
      <c r="A33" s="41" t="s">
        <v>592</v>
      </c>
      <c r="B33" s="45"/>
      <c r="C33" s="45">
        <v>1</v>
      </c>
      <c r="D33" s="45">
        <v>1</v>
      </c>
      <c r="E33" s="45">
        <v>1</v>
      </c>
      <c r="F33" s="45">
        <v>1</v>
      </c>
      <c r="G33" s="45">
        <v>1</v>
      </c>
      <c r="H33" s="45">
        <v>1</v>
      </c>
      <c r="I33" s="45">
        <v>1</v>
      </c>
      <c r="J33" s="45"/>
      <c r="K33" s="45"/>
      <c r="L33" s="45"/>
      <c r="M33" s="45"/>
      <c r="N33" s="45"/>
    </row>
    <row r="34" spans="1:14" x14ac:dyDescent="0.2">
      <c r="A34" s="39" t="s">
        <v>63</v>
      </c>
      <c r="C34" s="30">
        <v>454.28800000000001</v>
      </c>
      <c r="D34" s="30">
        <v>458.61500000000001</v>
      </c>
      <c r="E34" s="30">
        <v>610.53800000000001</v>
      </c>
      <c r="F34" s="30">
        <v>906.75</v>
      </c>
      <c r="G34" s="30">
        <v>400.71199999999999</v>
      </c>
      <c r="H34" s="30">
        <v>760.173</v>
      </c>
      <c r="I34" s="30">
        <v>774.26900000000001</v>
      </c>
      <c r="J34" s="30">
        <v>839.71199999999999</v>
      </c>
      <c r="K34" s="30">
        <v>1325.538</v>
      </c>
      <c r="L34" s="30">
        <v>1612.423</v>
      </c>
      <c r="M34" s="30">
        <v>1151.481</v>
      </c>
      <c r="N34" s="30">
        <v>622.327</v>
      </c>
    </row>
    <row r="35" spans="1:14" x14ac:dyDescent="0.2">
      <c r="A35" s="39" t="s">
        <v>62</v>
      </c>
      <c r="C35" s="30">
        <f t="shared" ref="C35:N35" si="10">C34-$B$6</f>
        <v>131.35900000000004</v>
      </c>
      <c r="D35" s="30">
        <f t="shared" si="10"/>
        <v>135.68600000000004</v>
      </c>
      <c r="E35" s="30">
        <f t="shared" si="10"/>
        <v>287.60900000000004</v>
      </c>
      <c r="F35" s="30">
        <f t="shared" si="10"/>
        <v>583.82100000000003</v>
      </c>
      <c r="G35" s="30">
        <f t="shared" si="10"/>
        <v>77.783000000000015</v>
      </c>
      <c r="H35" s="30">
        <f t="shared" si="10"/>
        <v>437.24400000000003</v>
      </c>
      <c r="I35" s="30">
        <f t="shared" si="10"/>
        <v>451.34000000000003</v>
      </c>
      <c r="J35" s="30">
        <f t="shared" si="10"/>
        <v>516.78300000000002</v>
      </c>
      <c r="K35" s="30">
        <f t="shared" si="10"/>
        <v>1002.609</v>
      </c>
      <c r="L35" s="30">
        <f t="shared" si="10"/>
        <v>1289.4940000000001</v>
      </c>
      <c r="M35" s="30">
        <f t="shared" si="10"/>
        <v>828.55200000000002</v>
      </c>
      <c r="N35" s="30">
        <f t="shared" si="10"/>
        <v>299.39800000000002</v>
      </c>
    </row>
    <row r="36" spans="1:14" x14ac:dyDescent="0.2">
      <c r="A36" s="39" t="s">
        <v>61</v>
      </c>
      <c r="C36" s="30">
        <v>11.523999999999999</v>
      </c>
      <c r="D36" s="30">
        <v>11.28</v>
      </c>
      <c r="E36" s="30">
        <v>10.243</v>
      </c>
      <c r="F36" s="30">
        <v>2.0329999999999999</v>
      </c>
      <c r="G36" s="30">
        <v>13.396000000000001</v>
      </c>
      <c r="H36" s="30">
        <v>2.9369999999999998</v>
      </c>
      <c r="I36" s="30">
        <v>2.7490000000000001</v>
      </c>
      <c r="J36" s="30">
        <v>0.76500000000000001</v>
      </c>
      <c r="K36" s="30">
        <v>1.5369999999999999</v>
      </c>
      <c r="L36" s="30">
        <v>2.2519999999999998</v>
      </c>
      <c r="M36" s="30">
        <v>3.1930000000000001</v>
      </c>
      <c r="N36" s="30">
        <v>1.1419999999999999</v>
      </c>
    </row>
    <row r="37" spans="1:14" x14ac:dyDescent="0.2">
      <c r="A37" s="39" t="s">
        <v>60</v>
      </c>
      <c r="C37" s="30">
        <f t="shared" ref="C37:N37" si="11">SQRT((C36^2)+16)</f>
        <v>12.198466133084109</v>
      </c>
      <c r="D37" s="30">
        <f t="shared" si="11"/>
        <v>11.968224596823038</v>
      </c>
      <c r="E37" s="30">
        <f t="shared" si="11"/>
        <v>10.996319793458174</v>
      </c>
      <c r="F37" s="30">
        <f t="shared" si="11"/>
        <v>4.4869910853488442</v>
      </c>
      <c r="G37" s="30">
        <f t="shared" si="11"/>
        <v>13.980444055894649</v>
      </c>
      <c r="H37" s="30">
        <f t="shared" si="11"/>
        <v>4.9624559443888261</v>
      </c>
      <c r="I37" s="30">
        <f t="shared" si="11"/>
        <v>4.8535555008673796</v>
      </c>
      <c r="J37" s="30">
        <f t="shared" si="11"/>
        <v>4.0724961632885552</v>
      </c>
      <c r="K37" s="30">
        <f t="shared" si="11"/>
        <v>4.2851334868356199</v>
      </c>
      <c r="L37" s="30">
        <f t="shared" si="11"/>
        <v>4.5903707911235232</v>
      </c>
      <c r="M37" s="30">
        <f t="shared" si="11"/>
        <v>5.1181294434588116</v>
      </c>
      <c r="N37" s="30">
        <f t="shared" si="11"/>
        <v>4.1598274002655451</v>
      </c>
    </row>
    <row r="38" spans="1:14" x14ac:dyDescent="0.2">
      <c r="A38" s="39" t="s">
        <v>59</v>
      </c>
      <c r="J38" s="30">
        <f>J35/$F$3</f>
        <v>1.3818959703668587</v>
      </c>
      <c r="K38" s="30">
        <f>K35/$F$3</f>
        <v>2.6810118307946387</v>
      </c>
      <c r="L38" s="30">
        <f>L35/$F$3</f>
        <v>3.4481524400226831</v>
      </c>
      <c r="M38" s="30">
        <f>M35/$F$3</f>
        <v>2.2155772733224612</v>
      </c>
      <c r="N38" s="30">
        <f>N35/$F$3</f>
        <v>0.80060081259618987</v>
      </c>
    </row>
    <row r="40" spans="1:14" x14ac:dyDescent="0.2">
      <c r="A40" s="41" t="s">
        <v>591</v>
      </c>
      <c r="B40" s="45"/>
      <c r="C40" s="45">
        <v>1</v>
      </c>
      <c r="D40" s="45">
        <v>1</v>
      </c>
      <c r="E40" s="45">
        <v>1</v>
      </c>
      <c r="F40" s="45">
        <v>1</v>
      </c>
      <c r="G40" s="45"/>
      <c r="H40" s="45"/>
      <c r="I40" s="45"/>
      <c r="J40" s="45"/>
    </row>
    <row r="41" spans="1:14" x14ac:dyDescent="0.2">
      <c r="A41" s="39" t="s">
        <v>63</v>
      </c>
      <c r="C41" s="30">
        <v>568.48099999999999</v>
      </c>
      <c r="D41" s="30">
        <v>580.75</v>
      </c>
      <c r="E41" s="30">
        <v>853.25</v>
      </c>
      <c r="F41" s="30">
        <v>647.26900000000001</v>
      </c>
      <c r="G41" s="30">
        <v>490.904</v>
      </c>
      <c r="H41" s="30">
        <v>1073.346</v>
      </c>
      <c r="I41" s="30">
        <v>842.61500000000001</v>
      </c>
      <c r="J41" s="30">
        <v>546.80799999999999</v>
      </c>
    </row>
    <row r="42" spans="1:14" x14ac:dyDescent="0.2">
      <c r="A42" s="39" t="s">
        <v>62</v>
      </c>
      <c r="C42" s="30">
        <f t="shared" ref="C42:J42" si="12">C41-$B$6</f>
        <v>245.55200000000002</v>
      </c>
      <c r="D42" s="30">
        <f t="shared" si="12"/>
        <v>257.82100000000003</v>
      </c>
      <c r="E42" s="30">
        <f t="shared" si="12"/>
        <v>530.32100000000003</v>
      </c>
      <c r="F42" s="30">
        <f t="shared" si="12"/>
        <v>324.34000000000003</v>
      </c>
      <c r="G42" s="30">
        <f t="shared" si="12"/>
        <v>167.97500000000002</v>
      </c>
      <c r="H42" s="30">
        <f t="shared" si="12"/>
        <v>750.41700000000003</v>
      </c>
      <c r="I42" s="30">
        <f t="shared" si="12"/>
        <v>519.68600000000004</v>
      </c>
      <c r="J42" s="30">
        <f t="shared" si="12"/>
        <v>223.87900000000002</v>
      </c>
    </row>
    <row r="43" spans="1:14" x14ac:dyDescent="0.2">
      <c r="A43" s="39" t="s">
        <v>61</v>
      </c>
      <c r="C43" s="30">
        <v>11.503</v>
      </c>
      <c r="D43" s="30">
        <v>1.556</v>
      </c>
      <c r="E43" s="30">
        <v>1.0389999999999999</v>
      </c>
      <c r="F43" s="30">
        <v>2.89</v>
      </c>
      <c r="G43" s="30">
        <v>10.272</v>
      </c>
      <c r="H43" s="30">
        <v>2.2309999999999999</v>
      </c>
      <c r="I43" s="30">
        <v>3.3</v>
      </c>
      <c r="J43" s="30">
        <v>4.09</v>
      </c>
    </row>
    <row r="44" spans="1:14" x14ac:dyDescent="0.2">
      <c r="A44" s="39" t="s">
        <v>60</v>
      </c>
      <c r="C44" s="30">
        <f t="shared" ref="C44:J44" si="13">SQRT((C43^2)+25)</f>
        <v>12.542687471192128</v>
      </c>
      <c r="D44" s="30">
        <f t="shared" si="13"/>
        <v>5.2365194547523641</v>
      </c>
      <c r="E44" s="30">
        <f t="shared" si="13"/>
        <v>5.1068112359866991</v>
      </c>
      <c r="F44" s="30">
        <f t="shared" si="13"/>
        <v>5.7751277042157261</v>
      </c>
      <c r="G44" s="30">
        <f t="shared" si="13"/>
        <v>11.424271705452387</v>
      </c>
      <c r="H44" s="30">
        <f t="shared" si="13"/>
        <v>5.4751585365174584</v>
      </c>
      <c r="I44" s="30">
        <f t="shared" si="13"/>
        <v>5.990826320300064</v>
      </c>
      <c r="J44" s="30">
        <f t="shared" si="13"/>
        <v>6.4597290964869414</v>
      </c>
    </row>
    <row r="45" spans="1:14" x14ac:dyDescent="0.2">
      <c r="A45" s="39" t="s">
        <v>59</v>
      </c>
      <c r="G45" s="30">
        <f>G42/$F$3</f>
        <v>0.44917107494320269</v>
      </c>
      <c r="H45" s="30">
        <f>H42/$F$3</f>
        <v>2.0066415272847347</v>
      </c>
      <c r="I45" s="30">
        <f>I42/$F$3</f>
        <v>1.3896586947637042</v>
      </c>
      <c r="J45" s="30">
        <f>J42/$F$3</f>
        <v>0.59866034283202418</v>
      </c>
    </row>
    <row r="47" spans="1:14" x14ac:dyDescent="0.2">
      <c r="A47" s="41" t="s">
        <v>590</v>
      </c>
      <c r="B47" s="45"/>
      <c r="C47" s="45"/>
      <c r="D47" s="45"/>
      <c r="E47" s="45"/>
    </row>
    <row r="48" spans="1:14" x14ac:dyDescent="0.2">
      <c r="A48" s="39" t="s">
        <v>63</v>
      </c>
      <c r="C48" s="30">
        <v>591.827</v>
      </c>
      <c r="D48" s="30">
        <v>671.69200000000001</v>
      </c>
      <c r="E48" s="30">
        <v>751.846</v>
      </c>
    </row>
    <row r="49" spans="1:5" x14ac:dyDescent="0.2">
      <c r="A49" s="39" t="s">
        <v>62</v>
      </c>
      <c r="C49" s="30">
        <f>C48-$B$6</f>
        <v>268.89800000000002</v>
      </c>
      <c r="D49" s="30">
        <f>D48-$B$6</f>
        <v>348.76300000000003</v>
      </c>
      <c r="E49" s="30">
        <f>E48-$B$6</f>
        <v>428.91700000000003</v>
      </c>
    </row>
    <row r="50" spans="1:5" x14ac:dyDescent="0.2">
      <c r="A50" s="39" t="s">
        <v>61</v>
      </c>
      <c r="C50" s="30">
        <v>1.579</v>
      </c>
      <c r="D50" s="30">
        <v>1.196</v>
      </c>
      <c r="E50" s="30">
        <v>2.2090000000000001</v>
      </c>
    </row>
    <row r="51" spans="1:5" x14ac:dyDescent="0.2">
      <c r="A51" s="39" t="s">
        <v>60</v>
      </c>
      <c r="C51" s="30">
        <f>SQRT((C50^2)+36)</f>
        <v>6.2042921433472165</v>
      </c>
      <c r="D51" s="30">
        <f>SQRT((D50^2)+36)</f>
        <v>6.1180402090865664</v>
      </c>
      <c r="E51" s="30">
        <f>SQRT((E50^2)+36)</f>
        <v>6.3937219989611682</v>
      </c>
    </row>
    <row r="52" spans="1:5" x14ac:dyDescent="0.2">
      <c r="A52" s="39" t="s">
        <v>59</v>
      </c>
      <c r="C52" s="30">
        <f>C49/$F$3</f>
        <v>0.71904273677676622</v>
      </c>
      <c r="D52" s="30">
        <f>D49/$F$3</f>
        <v>0.93260456383638157</v>
      </c>
      <c r="E52" s="30">
        <f>E49/$F$3</f>
        <v>1.1469391870898267</v>
      </c>
    </row>
    <row r="54" spans="1:5" x14ac:dyDescent="0.2">
      <c r="A54" s="41" t="s">
        <v>589</v>
      </c>
      <c r="B54" s="45"/>
      <c r="C54" s="45"/>
    </row>
    <row r="55" spans="1:5" x14ac:dyDescent="0.2">
      <c r="A55" s="39" t="s">
        <v>63</v>
      </c>
      <c r="C55" s="30">
        <v>436.846</v>
      </c>
    </row>
    <row r="56" spans="1:5" x14ac:dyDescent="0.2">
      <c r="A56" s="39" t="s">
        <v>62</v>
      </c>
      <c r="C56" s="30">
        <f>C55-B6</f>
        <v>113.91700000000003</v>
      </c>
    </row>
    <row r="57" spans="1:5" x14ac:dyDescent="0.2">
      <c r="A57" s="39" t="s">
        <v>61</v>
      </c>
      <c r="C57" s="30">
        <v>9.1270000000000007</v>
      </c>
    </row>
    <row r="58" spans="1:5" x14ac:dyDescent="0.2">
      <c r="A58" s="39" t="s">
        <v>60</v>
      </c>
      <c r="C58" s="30">
        <f>SQRT((C57^2)+49)</f>
        <v>11.502266254960368</v>
      </c>
    </row>
    <row r="59" spans="1:5" x14ac:dyDescent="0.2">
      <c r="A59" s="39" t="s">
        <v>59</v>
      </c>
      <c r="C59" s="30">
        <f>C56/F3</f>
        <v>0.30461807616791087</v>
      </c>
    </row>
    <row r="61" spans="1:5" x14ac:dyDescent="0.2">
      <c r="A61" s="41" t="s">
        <v>588</v>
      </c>
      <c r="B61" s="45"/>
      <c r="C61" s="45">
        <v>1</v>
      </c>
    </row>
    <row r="62" spans="1:5" x14ac:dyDescent="0.2">
      <c r="A62" s="39" t="s">
        <v>63</v>
      </c>
      <c r="C62" s="30">
        <v>538.55799999999999</v>
      </c>
    </row>
    <row r="63" spans="1:5" x14ac:dyDescent="0.2">
      <c r="A63" s="39" t="s">
        <v>62</v>
      </c>
      <c r="C63" s="30">
        <f>C62-B6</f>
        <v>215.62900000000002</v>
      </c>
    </row>
    <row r="64" spans="1:5" x14ac:dyDescent="0.2">
      <c r="A64" s="39" t="s">
        <v>61</v>
      </c>
      <c r="C64" s="30">
        <v>9.1270000000000007</v>
      </c>
    </row>
    <row r="65" spans="1:9" x14ac:dyDescent="0.2">
      <c r="A65" s="39" t="s">
        <v>60</v>
      </c>
      <c r="C65" s="30">
        <f>SQRT((C64^2)+64)</f>
        <v>12.136808847468926</v>
      </c>
    </row>
    <row r="66" spans="1:9" x14ac:dyDescent="0.2">
      <c r="A66" s="39" t="s">
        <v>59</v>
      </c>
    </row>
    <row r="68" spans="1:9" x14ac:dyDescent="0.2">
      <c r="A68" s="41" t="s">
        <v>587</v>
      </c>
      <c r="B68" s="45"/>
      <c r="C68" s="45">
        <v>1</v>
      </c>
      <c r="D68" s="45">
        <v>1</v>
      </c>
      <c r="E68" s="45"/>
      <c r="F68" s="45"/>
      <c r="G68" s="45"/>
      <c r="H68" s="45"/>
      <c r="I68" s="45"/>
    </row>
    <row r="69" spans="1:9" x14ac:dyDescent="0.2">
      <c r="A69" s="39" t="s">
        <v>63</v>
      </c>
      <c r="C69" s="30">
        <v>683.26900000000001</v>
      </c>
      <c r="D69" s="30">
        <v>690.846</v>
      </c>
      <c r="E69" s="30">
        <v>653.154</v>
      </c>
      <c r="F69" s="30">
        <v>1107.058</v>
      </c>
      <c r="G69" s="30">
        <v>606.94200000000001</v>
      </c>
      <c r="H69" s="30">
        <v>645.11500000000001</v>
      </c>
      <c r="I69" s="30">
        <v>734.53800000000001</v>
      </c>
    </row>
    <row r="70" spans="1:9" x14ac:dyDescent="0.2">
      <c r="A70" s="39" t="s">
        <v>62</v>
      </c>
      <c r="C70" s="30">
        <f t="shared" ref="C70:I70" si="14">C69-$B$6</f>
        <v>360.34000000000003</v>
      </c>
      <c r="D70" s="30">
        <f t="shared" si="14"/>
        <v>367.91700000000003</v>
      </c>
      <c r="E70" s="30">
        <f t="shared" si="14"/>
        <v>330.22500000000002</v>
      </c>
      <c r="F70" s="30">
        <f t="shared" si="14"/>
        <v>784.12900000000002</v>
      </c>
      <c r="G70" s="30">
        <f t="shared" si="14"/>
        <v>284.01300000000003</v>
      </c>
      <c r="H70" s="30">
        <f t="shared" si="14"/>
        <v>322.18600000000004</v>
      </c>
      <c r="I70" s="30">
        <f t="shared" si="14"/>
        <v>411.60900000000004</v>
      </c>
    </row>
    <row r="71" spans="1:9" x14ac:dyDescent="0.2">
      <c r="A71" s="39" t="s">
        <v>61</v>
      </c>
      <c r="C71" s="30">
        <v>8.8889999999999993</v>
      </c>
      <c r="D71" s="30">
        <v>1.4570000000000001</v>
      </c>
      <c r="E71" s="30">
        <v>1.8169999999999999</v>
      </c>
      <c r="F71" s="30">
        <v>1.6359999999999999</v>
      </c>
      <c r="G71" s="30">
        <v>2.0990000000000002</v>
      </c>
      <c r="H71" s="30">
        <v>2.8340000000000001</v>
      </c>
      <c r="I71" s="30">
        <v>1.9139999999999999</v>
      </c>
    </row>
    <row r="72" spans="1:9" x14ac:dyDescent="0.2">
      <c r="A72" s="39" t="s">
        <v>60</v>
      </c>
      <c r="C72" s="30">
        <f t="shared" ref="C72:I72" si="15">SQRT((C71^2)+1)</f>
        <v>8.9450724424120782</v>
      </c>
      <c r="D72" s="30">
        <f t="shared" si="15"/>
        <v>1.7671584535632339</v>
      </c>
      <c r="E72" s="30">
        <f t="shared" si="15"/>
        <v>2.0740031340381337</v>
      </c>
      <c r="F72" s="30">
        <f t="shared" si="15"/>
        <v>1.917419098684479</v>
      </c>
      <c r="G72" s="30">
        <f t="shared" si="15"/>
        <v>2.3250378491542887</v>
      </c>
      <c r="H72" s="30">
        <f t="shared" si="15"/>
        <v>3.0052547312998277</v>
      </c>
      <c r="I72" s="30">
        <f t="shared" si="15"/>
        <v>2.1594897545485137</v>
      </c>
    </row>
    <row r="73" spans="1:9" x14ac:dyDescent="0.2">
      <c r="A73" s="39" t="s">
        <v>59</v>
      </c>
      <c r="E73" s="30">
        <f>E70/$F$3</f>
        <v>0.88303329794980856</v>
      </c>
      <c r="F73" s="30">
        <f>F70/$F$3</f>
        <v>2.096788604400289</v>
      </c>
      <c r="G73" s="30">
        <f>G70/$F$3</f>
        <v>0.75946077992465444</v>
      </c>
      <c r="H73" s="30">
        <f>H70/$F$3</f>
        <v>0.86153672839202677</v>
      </c>
      <c r="I73" s="30">
        <f>I70/$F$3</f>
        <v>1.1006569845887584</v>
      </c>
    </row>
    <row r="75" spans="1:9" x14ac:dyDescent="0.2">
      <c r="A75" s="41" t="s">
        <v>586</v>
      </c>
      <c r="B75" s="45"/>
      <c r="C75" s="45"/>
    </row>
    <row r="76" spans="1:9" x14ac:dyDescent="0.2">
      <c r="A76" s="39" t="s">
        <v>63</v>
      </c>
      <c r="C76" s="30">
        <v>531.26900000000001</v>
      </c>
    </row>
    <row r="77" spans="1:9" x14ac:dyDescent="0.2">
      <c r="A77" s="39" t="s">
        <v>62</v>
      </c>
      <c r="C77" s="30">
        <f>C76-B6</f>
        <v>208.34000000000003</v>
      </c>
    </row>
    <row r="78" spans="1:9" x14ac:dyDescent="0.2">
      <c r="A78" s="39" t="s">
        <v>61</v>
      </c>
      <c r="C78" s="30">
        <v>8.7469999999999999</v>
      </c>
    </row>
    <row r="79" spans="1:9" x14ac:dyDescent="0.2">
      <c r="A79" s="39" t="s">
        <v>60</v>
      </c>
      <c r="C79" s="30">
        <f>SQRT((C78^2)+4)</f>
        <v>8.9727369848892824</v>
      </c>
    </row>
    <row r="80" spans="1:9" x14ac:dyDescent="0.2">
      <c r="A80" s="39" t="s">
        <v>59</v>
      </c>
      <c r="C80" s="30">
        <f>C77/F3</f>
        <v>0.5571085087284825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93F3-81D9-C94F-9A40-FA00E76644FD}">
  <dimension ref="A1:T101"/>
  <sheetViews>
    <sheetView workbookViewId="0">
      <selection activeCell="I46" sqref="I46"/>
    </sheetView>
  </sheetViews>
  <sheetFormatPr baseColWidth="10" defaultColWidth="11.1640625" defaultRowHeight="16" x14ac:dyDescent="0.2"/>
  <cols>
    <col min="1" max="1" width="27" style="30" bestFit="1" customWidth="1"/>
    <col min="2" max="2" width="17.5" style="30" bestFit="1" customWidth="1"/>
    <col min="3" max="3" width="11.6640625" style="30" bestFit="1" customWidth="1"/>
    <col min="4" max="4" width="19.6640625" style="30" bestFit="1" customWidth="1"/>
    <col min="5" max="5" width="20.83203125" style="30" bestFit="1" customWidth="1"/>
    <col min="6" max="6" width="21.1640625" style="30" bestFit="1" customWidth="1"/>
    <col min="7" max="7" width="31.83203125" style="30" bestFit="1" customWidth="1"/>
    <col min="8" max="16384" width="11.1640625" style="30"/>
  </cols>
  <sheetData>
    <row r="1" spans="1:20" x14ac:dyDescent="0.2">
      <c r="A1" s="30" t="s">
        <v>585</v>
      </c>
    </row>
    <row r="3" spans="1:20" x14ac:dyDescent="0.2">
      <c r="A3" s="30" t="s">
        <v>584</v>
      </c>
      <c r="B3" s="30" t="s">
        <v>583</v>
      </c>
      <c r="C3" s="30" t="s">
        <v>582</v>
      </c>
      <c r="D3" s="30" t="s">
        <v>581</v>
      </c>
      <c r="E3" s="30" t="s">
        <v>580</v>
      </c>
      <c r="F3" s="30" t="s">
        <v>579</v>
      </c>
      <c r="G3" s="30" t="s">
        <v>578</v>
      </c>
    </row>
    <row r="5" spans="1:20" x14ac:dyDescent="0.2">
      <c r="A5" s="42">
        <v>43672</v>
      </c>
      <c r="C5" s="30" t="s">
        <v>27</v>
      </c>
      <c r="D5" s="30">
        <v>62.393999999999998</v>
      </c>
      <c r="H5" s="30" t="s">
        <v>577</v>
      </c>
      <c r="I5" s="30" t="s">
        <v>495</v>
      </c>
      <c r="K5" s="30" t="s">
        <v>73</v>
      </c>
      <c r="L5" s="30">
        <f>AVERAGE(C9:H9,C17:H17,C25:I25,C33:F33,C41:E41,C49:E49,C65:G65,C73:F73)</f>
        <v>384.44078947368422</v>
      </c>
    </row>
    <row r="6" spans="1:20" ht="17" thickBot="1" x14ac:dyDescent="0.25"/>
    <row r="7" spans="1:20" ht="17" thickBot="1" x14ac:dyDescent="0.25">
      <c r="A7" s="41" t="s">
        <v>576</v>
      </c>
      <c r="B7" s="40" t="s">
        <v>70</v>
      </c>
      <c r="C7" s="45">
        <v>1</v>
      </c>
      <c r="D7" s="45">
        <v>1</v>
      </c>
      <c r="E7" s="45">
        <v>1</v>
      </c>
      <c r="F7" s="45">
        <v>1</v>
      </c>
      <c r="G7" s="45">
        <v>1</v>
      </c>
      <c r="H7" s="45">
        <v>1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x14ac:dyDescent="0.2">
      <c r="A8" s="39" t="s">
        <v>63</v>
      </c>
      <c r="B8" s="30">
        <v>264.44499999999999</v>
      </c>
      <c r="C8" s="30">
        <v>665.84100000000001</v>
      </c>
      <c r="D8" s="30">
        <v>942.11599999999999</v>
      </c>
      <c r="E8" s="30">
        <v>462.34800000000001</v>
      </c>
      <c r="F8" s="30">
        <v>582.49300000000005</v>
      </c>
      <c r="G8" s="30">
        <v>646.27499999999998</v>
      </c>
      <c r="H8" s="30">
        <v>856.101</v>
      </c>
      <c r="I8" s="30">
        <v>441.71</v>
      </c>
      <c r="J8" s="30">
        <v>466.18799999999999</v>
      </c>
      <c r="K8" s="30">
        <v>392.27600000000001</v>
      </c>
      <c r="L8" s="30">
        <v>1215.2170000000001</v>
      </c>
      <c r="M8" s="30">
        <v>1105.58</v>
      </c>
      <c r="N8" s="30">
        <v>706.69600000000003</v>
      </c>
    </row>
    <row r="9" spans="1:20" x14ac:dyDescent="0.2">
      <c r="A9" s="39" t="s">
        <v>62</v>
      </c>
      <c r="C9" s="30">
        <f t="shared" ref="C9:N9" si="0">C8-$B$8</f>
        <v>401.39600000000002</v>
      </c>
      <c r="D9" s="30">
        <f t="shared" si="0"/>
        <v>677.67100000000005</v>
      </c>
      <c r="E9" s="30">
        <f t="shared" si="0"/>
        <v>197.90300000000002</v>
      </c>
      <c r="F9" s="30">
        <f t="shared" si="0"/>
        <v>318.04800000000006</v>
      </c>
      <c r="G9" s="30">
        <f t="shared" si="0"/>
        <v>381.83</v>
      </c>
      <c r="H9" s="30">
        <f t="shared" si="0"/>
        <v>591.65599999999995</v>
      </c>
      <c r="I9" s="30">
        <f t="shared" si="0"/>
        <v>177.26499999999999</v>
      </c>
      <c r="J9" s="30">
        <f t="shared" si="0"/>
        <v>201.74299999999999</v>
      </c>
      <c r="K9" s="30">
        <f t="shared" si="0"/>
        <v>127.83100000000002</v>
      </c>
      <c r="L9" s="30">
        <f t="shared" si="0"/>
        <v>950.77200000000016</v>
      </c>
      <c r="M9" s="30">
        <f t="shared" si="0"/>
        <v>841.13499999999999</v>
      </c>
      <c r="N9" s="30">
        <f t="shared" si="0"/>
        <v>442.25100000000003</v>
      </c>
    </row>
    <row r="10" spans="1:20" x14ac:dyDescent="0.2">
      <c r="A10" s="39" t="s">
        <v>61</v>
      </c>
      <c r="C10" s="30">
        <v>6.3419999999999996</v>
      </c>
      <c r="D10" s="30">
        <v>3</v>
      </c>
      <c r="E10" s="30">
        <v>2.5059999999999998</v>
      </c>
      <c r="F10" s="30">
        <v>3.3279999999999998</v>
      </c>
      <c r="G10" s="30">
        <v>3.069</v>
      </c>
      <c r="H10" s="30">
        <v>4.6609999999999996</v>
      </c>
      <c r="I10" s="30">
        <v>3.851</v>
      </c>
      <c r="J10" s="30">
        <v>2.0110000000000001</v>
      </c>
      <c r="K10" s="30">
        <v>1.583</v>
      </c>
      <c r="L10" s="30">
        <v>3.827</v>
      </c>
      <c r="M10" s="30">
        <v>4.9219999999999997</v>
      </c>
      <c r="N10" s="30">
        <v>4.4459999999999997</v>
      </c>
    </row>
    <row r="11" spans="1:20" x14ac:dyDescent="0.2">
      <c r="A11" s="39" t="s">
        <v>60</v>
      </c>
    </row>
    <row r="12" spans="1:20" x14ac:dyDescent="0.2">
      <c r="A12" s="39" t="s">
        <v>376</v>
      </c>
    </row>
    <row r="13" spans="1:20" x14ac:dyDescent="0.2">
      <c r="A13" s="39" t="s">
        <v>59</v>
      </c>
      <c r="I13" s="30">
        <f t="shared" ref="I13:N13" si="1">I9/$L$5</f>
        <v>0.46109831436638998</v>
      </c>
      <c r="J13" s="30">
        <f t="shared" si="1"/>
        <v>0.52477001796868317</v>
      </c>
      <c r="K13" s="30">
        <f t="shared" si="1"/>
        <v>0.33251154273979638</v>
      </c>
      <c r="L13" s="30">
        <f t="shared" si="1"/>
        <v>2.4731298707966118</v>
      </c>
      <c r="M13" s="30">
        <f t="shared" si="1"/>
        <v>2.18794421151707</v>
      </c>
      <c r="N13" s="30">
        <f t="shared" si="1"/>
        <v>1.1503748096175237</v>
      </c>
    </row>
    <row r="15" spans="1:20" x14ac:dyDescent="0.2">
      <c r="A15" s="46" t="s">
        <v>575</v>
      </c>
      <c r="B15" s="45"/>
      <c r="C15" s="45">
        <v>1</v>
      </c>
      <c r="D15" s="45">
        <v>1</v>
      </c>
      <c r="E15" s="45">
        <v>1</v>
      </c>
      <c r="F15" s="45">
        <v>1</v>
      </c>
      <c r="G15" s="45">
        <v>1</v>
      </c>
      <c r="H15" s="45">
        <v>1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0" x14ac:dyDescent="0.2">
      <c r="A16" s="39" t="s">
        <v>63</v>
      </c>
      <c r="C16" s="30">
        <v>449.91500000000002</v>
      </c>
      <c r="D16" s="30">
        <v>1440.4639999999999</v>
      </c>
      <c r="E16" s="30">
        <v>770.82600000000002</v>
      </c>
      <c r="F16" s="30">
        <v>722.24599999999998</v>
      </c>
      <c r="G16" s="30">
        <v>514.40599999999995</v>
      </c>
      <c r="H16" s="30">
        <v>621.08699999999999</v>
      </c>
      <c r="I16" s="30">
        <v>675.79700000000003</v>
      </c>
    </row>
    <row r="17" spans="1:20" x14ac:dyDescent="0.2">
      <c r="A17" s="39" t="s">
        <v>62</v>
      </c>
      <c r="C17" s="30">
        <f t="shared" ref="C17:I17" si="2">C16-$B$8</f>
        <v>185.47000000000003</v>
      </c>
      <c r="D17" s="30">
        <f t="shared" si="2"/>
        <v>1176.019</v>
      </c>
      <c r="E17" s="30">
        <f t="shared" si="2"/>
        <v>506.38100000000003</v>
      </c>
      <c r="F17" s="30">
        <f t="shared" si="2"/>
        <v>457.80099999999999</v>
      </c>
      <c r="G17" s="30">
        <f t="shared" si="2"/>
        <v>249.96099999999996</v>
      </c>
      <c r="H17" s="30">
        <f t="shared" si="2"/>
        <v>356.642</v>
      </c>
      <c r="I17" s="30">
        <f t="shared" si="2"/>
        <v>411.35200000000003</v>
      </c>
    </row>
    <row r="18" spans="1:20" x14ac:dyDescent="0.2">
      <c r="A18" s="39" t="s">
        <v>61</v>
      </c>
      <c r="C18" s="30">
        <v>3.9319999999999999</v>
      </c>
      <c r="D18" s="30">
        <v>2.996</v>
      </c>
      <c r="E18" s="30">
        <v>2.133</v>
      </c>
      <c r="F18" s="30">
        <v>1.7450000000000001</v>
      </c>
      <c r="G18" s="30">
        <v>2.528</v>
      </c>
      <c r="H18" s="30">
        <v>4.6760000000000002</v>
      </c>
      <c r="I18" s="30">
        <v>3.9740000000000002</v>
      </c>
    </row>
    <row r="19" spans="1:20" x14ac:dyDescent="0.2">
      <c r="A19" s="39" t="s">
        <v>60</v>
      </c>
      <c r="C19" s="30">
        <f t="shared" ref="C19:I19" si="3">SQRT((C18^2)+1)</f>
        <v>4.0571694566532468</v>
      </c>
      <c r="D19" s="30">
        <f t="shared" si="3"/>
        <v>3.1584831802623232</v>
      </c>
      <c r="E19" s="30">
        <f t="shared" si="3"/>
        <v>2.3557777908792672</v>
      </c>
      <c r="F19" s="30">
        <f t="shared" si="3"/>
        <v>2.0112247512399009</v>
      </c>
      <c r="G19" s="30">
        <f t="shared" si="3"/>
        <v>2.7185996395203174</v>
      </c>
      <c r="H19" s="30">
        <f t="shared" si="3"/>
        <v>4.7817335768526466</v>
      </c>
      <c r="I19" s="30">
        <f t="shared" si="3"/>
        <v>4.0978867724718802</v>
      </c>
    </row>
    <row r="20" spans="1:20" x14ac:dyDescent="0.2">
      <c r="A20" s="39" t="s">
        <v>376</v>
      </c>
    </row>
    <row r="21" spans="1:20" x14ac:dyDescent="0.2">
      <c r="A21" s="39" t="s">
        <v>59</v>
      </c>
      <c r="I21" s="30">
        <f>I19/L5</f>
        <v>1.0659344389761714E-2</v>
      </c>
    </row>
    <row r="23" spans="1:20" x14ac:dyDescent="0.2">
      <c r="A23" s="46" t="s">
        <v>574</v>
      </c>
      <c r="B23" s="45"/>
      <c r="C23" s="45">
        <v>1</v>
      </c>
      <c r="D23" s="45">
        <v>1</v>
      </c>
      <c r="E23" s="45">
        <v>1</v>
      </c>
      <c r="F23" s="45">
        <v>1</v>
      </c>
      <c r="G23" s="45">
        <v>1</v>
      </c>
      <c r="H23" s="45">
        <v>1</v>
      </c>
      <c r="I23" s="45">
        <v>1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spans="1:20" x14ac:dyDescent="0.2">
      <c r="A24" s="39" t="s">
        <v>63</v>
      </c>
      <c r="C24" s="30">
        <v>360.88400000000001</v>
      </c>
      <c r="D24" s="30">
        <v>845.899</v>
      </c>
      <c r="E24" s="30">
        <v>637.34799999999996</v>
      </c>
      <c r="F24" s="30">
        <v>473.72500000000002</v>
      </c>
      <c r="G24" s="30">
        <v>845.24599999999998</v>
      </c>
      <c r="H24" s="30">
        <v>673.43499999999995</v>
      </c>
      <c r="I24" s="30">
        <v>657.971</v>
      </c>
      <c r="J24" s="30">
        <v>745.13</v>
      </c>
      <c r="K24" s="30">
        <v>606.60900000000004</v>
      </c>
      <c r="L24" s="30">
        <v>847.68100000000004</v>
      </c>
      <c r="M24" s="30">
        <v>922.899</v>
      </c>
    </row>
    <row r="25" spans="1:20" x14ac:dyDescent="0.2">
      <c r="A25" s="39" t="s">
        <v>62</v>
      </c>
      <c r="C25" s="30">
        <f t="shared" ref="C25:M25" si="4">C24-$B$8</f>
        <v>96.439000000000021</v>
      </c>
      <c r="D25" s="30">
        <f t="shared" si="4"/>
        <v>581.45399999999995</v>
      </c>
      <c r="E25" s="30">
        <f t="shared" si="4"/>
        <v>372.90299999999996</v>
      </c>
      <c r="F25" s="30">
        <f t="shared" si="4"/>
        <v>209.28000000000003</v>
      </c>
      <c r="G25" s="30">
        <f t="shared" si="4"/>
        <v>580.80099999999993</v>
      </c>
      <c r="H25" s="30">
        <f t="shared" si="4"/>
        <v>408.98999999999995</v>
      </c>
      <c r="I25" s="30">
        <f t="shared" si="4"/>
        <v>393.52600000000001</v>
      </c>
      <c r="J25" s="30">
        <f t="shared" si="4"/>
        <v>480.685</v>
      </c>
      <c r="K25" s="30">
        <f t="shared" si="4"/>
        <v>342.16400000000004</v>
      </c>
      <c r="L25" s="30">
        <f t="shared" si="4"/>
        <v>583.2360000000001</v>
      </c>
      <c r="M25" s="30">
        <f t="shared" si="4"/>
        <v>658.45399999999995</v>
      </c>
    </row>
    <row r="26" spans="1:20" x14ac:dyDescent="0.2">
      <c r="A26" s="39" t="s">
        <v>61</v>
      </c>
      <c r="C26" s="30">
        <v>15.260999999999999</v>
      </c>
      <c r="D26" s="30">
        <v>3.9</v>
      </c>
      <c r="E26" s="30">
        <v>4.0490000000000004</v>
      </c>
      <c r="F26" s="30">
        <v>3.2360000000000002</v>
      </c>
      <c r="G26" s="30">
        <v>0.36799999999999999</v>
      </c>
      <c r="H26" s="30">
        <v>3.1789999999999998</v>
      </c>
      <c r="I26" s="30">
        <v>1.7969999999999999</v>
      </c>
      <c r="J26" s="30">
        <v>2.8879999999999999</v>
      </c>
      <c r="K26" s="30">
        <v>2.5409999999999999</v>
      </c>
      <c r="L26" s="30">
        <v>12.9</v>
      </c>
      <c r="M26" s="30">
        <v>13.791</v>
      </c>
    </row>
    <row r="27" spans="1:20" x14ac:dyDescent="0.2">
      <c r="A27" s="39" t="s">
        <v>60</v>
      </c>
      <c r="C27" s="30">
        <f t="shared" ref="C27:M27" si="5">SQRT((C26^2)+4)</f>
        <v>15.391495086572974</v>
      </c>
      <c r="D27" s="30">
        <f t="shared" si="5"/>
        <v>4.3829214001622256</v>
      </c>
      <c r="E27" s="30">
        <f t="shared" si="5"/>
        <v>4.5160160540015797</v>
      </c>
      <c r="F27" s="30">
        <f t="shared" si="5"/>
        <v>3.8041682402333366</v>
      </c>
      <c r="G27" s="30">
        <f t="shared" si="5"/>
        <v>2.0335741933846427</v>
      </c>
      <c r="H27" s="30">
        <f t="shared" si="5"/>
        <v>3.7558009798177538</v>
      </c>
      <c r="I27" s="30">
        <f t="shared" si="5"/>
        <v>2.6887188398938258</v>
      </c>
      <c r="J27" s="30">
        <f t="shared" si="5"/>
        <v>3.5129110435648667</v>
      </c>
      <c r="K27" s="30">
        <f t="shared" si="5"/>
        <v>3.2336791739441315</v>
      </c>
      <c r="L27" s="30">
        <f t="shared" si="5"/>
        <v>13.054118124178286</v>
      </c>
      <c r="M27" s="30">
        <f t="shared" si="5"/>
        <v>13.935267525239693</v>
      </c>
    </row>
    <row r="28" spans="1:20" x14ac:dyDescent="0.2">
      <c r="A28" s="39" t="s">
        <v>376</v>
      </c>
    </row>
    <row r="29" spans="1:20" x14ac:dyDescent="0.2">
      <c r="A29" s="39" t="s">
        <v>59</v>
      </c>
      <c r="J29" s="30">
        <f>J25/$L$5</f>
        <v>1.250348592453153</v>
      </c>
      <c r="K29" s="30">
        <f>K25/$L$5</f>
        <v>0.8900304269701379</v>
      </c>
      <c r="L29" s="30">
        <f>L25/$L$5</f>
        <v>1.5171022845897153</v>
      </c>
      <c r="M29" s="30">
        <f>M25/$L$5</f>
        <v>1.7127579019423289</v>
      </c>
    </row>
    <row r="31" spans="1:20" x14ac:dyDescent="0.2">
      <c r="A31" s="44" t="s">
        <v>573</v>
      </c>
      <c r="B31" s="43"/>
      <c r="C31" s="43">
        <v>1</v>
      </c>
      <c r="D31" s="43">
        <v>1</v>
      </c>
      <c r="E31" s="43">
        <v>1</v>
      </c>
      <c r="F31" s="43">
        <v>1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x14ac:dyDescent="0.2">
      <c r="A32" s="39" t="s">
        <v>63</v>
      </c>
      <c r="C32" s="30">
        <v>789.01400000000001</v>
      </c>
      <c r="D32" s="30">
        <v>1039.694</v>
      </c>
      <c r="E32" s="30">
        <v>601.971</v>
      </c>
      <c r="F32" s="30">
        <v>471.15</v>
      </c>
      <c r="G32" s="30">
        <v>533.27499999999998</v>
      </c>
      <c r="H32" s="30">
        <v>385.30399999999997</v>
      </c>
      <c r="I32" s="30">
        <v>400.65199999999999</v>
      </c>
      <c r="J32" s="30">
        <v>413.94200000000001</v>
      </c>
      <c r="K32" s="30">
        <v>1922.232</v>
      </c>
      <c r="L32" s="30">
        <v>1805.029</v>
      </c>
    </row>
    <row r="33" spans="1:20" x14ac:dyDescent="0.2">
      <c r="A33" s="39" t="s">
        <v>62</v>
      </c>
      <c r="C33" s="30">
        <f t="shared" ref="C33:L33" si="6">C32-$B$8</f>
        <v>524.56899999999996</v>
      </c>
      <c r="D33" s="30">
        <f t="shared" si="6"/>
        <v>775.24900000000002</v>
      </c>
      <c r="E33" s="30">
        <f t="shared" si="6"/>
        <v>337.52600000000001</v>
      </c>
      <c r="F33" s="30">
        <f t="shared" si="6"/>
        <v>206.70499999999998</v>
      </c>
      <c r="G33" s="30">
        <f t="shared" si="6"/>
        <v>268.83</v>
      </c>
      <c r="H33" s="30">
        <f t="shared" si="6"/>
        <v>120.85899999999998</v>
      </c>
      <c r="I33" s="30">
        <f t="shared" si="6"/>
        <v>136.20699999999999</v>
      </c>
      <c r="J33" s="30">
        <f t="shared" si="6"/>
        <v>149.49700000000001</v>
      </c>
      <c r="K33" s="30">
        <f t="shared" si="6"/>
        <v>1657.787</v>
      </c>
      <c r="L33" s="30">
        <f t="shared" si="6"/>
        <v>1540.5840000000001</v>
      </c>
    </row>
    <row r="34" spans="1:20" x14ac:dyDescent="0.2">
      <c r="A34" s="39" t="s">
        <v>61</v>
      </c>
      <c r="C34" s="30">
        <v>3.819</v>
      </c>
      <c r="D34" s="30">
        <v>0.18</v>
      </c>
      <c r="E34" s="30">
        <v>3.105</v>
      </c>
      <c r="F34" s="30">
        <v>5.3609999999999998</v>
      </c>
      <c r="G34" s="30">
        <v>3.04</v>
      </c>
      <c r="H34" s="30">
        <v>6.32</v>
      </c>
      <c r="I34" s="30">
        <v>8.9339999999999993</v>
      </c>
      <c r="J34" s="30">
        <v>3.2549999999999999</v>
      </c>
      <c r="K34" s="30">
        <v>13.144</v>
      </c>
      <c r="L34" s="30">
        <v>12.63</v>
      </c>
    </row>
    <row r="35" spans="1:20" x14ac:dyDescent="0.2">
      <c r="A35" s="39" t="s">
        <v>60</v>
      </c>
      <c r="C35" s="30">
        <f t="shared" ref="C35:L35" si="7">SQRT((C34^2)+9)</f>
        <v>4.8564144180660698</v>
      </c>
      <c r="D35" s="30">
        <f t="shared" si="7"/>
        <v>3.0053951487283666</v>
      </c>
      <c r="E35" s="30">
        <f t="shared" si="7"/>
        <v>4.3175253328729868</v>
      </c>
      <c r="F35" s="30">
        <f t="shared" si="7"/>
        <v>6.1433151473776757</v>
      </c>
      <c r="G35" s="30">
        <f t="shared" si="7"/>
        <v>4.271018613867188</v>
      </c>
      <c r="H35" s="30">
        <f t="shared" si="7"/>
        <v>6.9958845044783295</v>
      </c>
      <c r="I35" s="30">
        <f t="shared" si="7"/>
        <v>9.424242993471676</v>
      </c>
      <c r="J35" s="30">
        <f t="shared" si="7"/>
        <v>4.4266268195997727</v>
      </c>
      <c r="K35" s="30">
        <f t="shared" si="7"/>
        <v>13.482015279623443</v>
      </c>
      <c r="L35" s="30">
        <f t="shared" si="7"/>
        <v>12.981405933102932</v>
      </c>
    </row>
    <row r="36" spans="1:20" x14ac:dyDescent="0.2">
      <c r="A36" s="39" t="s">
        <v>376</v>
      </c>
    </row>
    <row r="37" spans="1:20" x14ac:dyDescent="0.2">
      <c r="A37" s="39" t="s">
        <v>59</v>
      </c>
      <c r="G37" s="30">
        <f t="shared" ref="G37:L37" si="8">G33/$L$5</f>
        <v>0.69927543424317617</v>
      </c>
      <c r="H37" s="30">
        <f t="shared" si="8"/>
        <v>0.31437611020792328</v>
      </c>
      <c r="I37" s="30">
        <f t="shared" si="8"/>
        <v>0.35429903311371608</v>
      </c>
      <c r="J37" s="30">
        <f t="shared" si="8"/>
        <v>0.38886872593479938</v>
      </c>
      <c r="K37" s="30">
        <f t="shared" si="8"/>
        <v>4.3122037135278513</v>
      </c>
      <c r="L37" s="30">
        <f t="shared" si="8"/>
        <v>4.007337520321725</v>
      </c>
    </row>
    <row r="39" spans="1:20" x14ac:dyDescent="0.2">
      <c r="A39" s="44" t="s">
        <v>572</v>
      </c>
      <c r="B39" s="43"/>
      <c r="C39" s="43">
        <v>1</v>
      </c>
      <c r="D39" s="43">
        <v>1</v>
      </c>
      <c r="E39" s="43">
        <v>1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</row>
    <row r="40" spans="1:20" x14ac:dyDescent="0.2">
      <c r="A40" s="39" t="s">
        <v>63</v>
      </c>
      <c r="C40" s="30">
        <v>453.464</v>
      </c>
      <c r="D40" s="30">
        <v>525.87</v>
      </c>
      <c r="E40" s="30">
        <v>553.05799999999999</v>
      </c>
      <c r="F40" s="30">
        <v>371.23200000000003</v>
      </c>
      <c r="G40" s="30">
        <v>448.68099999999998</v>
      </c>
      <c r="H40" s="30">
        <v>5256.3909999999996</v>
      </c>
    </row>
    <row r="41" spans="1:20" x14ac:dyDescent="0.2">
      <c r="A41" s="39" t="s">
        <v>62</v>
      </c>
      <c r="C41" s="30">
        <f t="shared" ref="C41:H41" si="9">C40-$B$8</f>
        <v>189.01900000000001</v>
      </c>
      <c r="D41" s="30">
        <f t="shared" si="9"/>
        <v>261.42500000000001</v>
      </c>
      <c r="E41" s="30">
        <f t="shared" si="9"/>
        <v>288.613</v>
      </c>
      <c r="F41" s="30">
        <f t="shared" si="9"/>
        <v>106.78700000000003</v>
      </c>
      <c r="G41" s="30">
        <f t="shared" si="9"/>
        <v>184.23599999999999</v>
      </c>
      <c r="H41" s="30">
        <f t="shared" si="9"/>
        <v>4991.9459999999999</v>
      </c>
    </row>
    <row r="42" spans="1:20" x14ac:dyDescent="0.2">
      <c r="A42" s="39" t="s">
        <v>61</v>
      </c>
      <c r="C42" s="30">
        <v>6.5570000000000004</v>
      </c>
      <c r="D42" s="30">
        <v>8.6349999999999998</v>
      </c>
      <c r="E42" s="30">
        <v>14.143000000000001</v>
      </c>
      <c r="F42" s="30">
        <v>7.4089999999999998</v>
      </c>
      <c r="G42" s="30">
        <v>5.4390000000000001</v>
      </c>
      <c r="H42" s="30">
        <v>13.05</v>
      </c>
    </row>
    <row r="43" spans="1:20" x14ac:dyDescent="0.2">
      <c r="A43" s="39" t="s">
        <v>60</v>
      </c>
      <c r="C43" s="30">
        <f t="shared" ref="C43:H43" si="10">SQRT((C42^2)+16)</f>
        <v>7.6807713805320361</v>
      </c>
      <c r="D43" s="30">
        <f t="shared" si="10"/>
        <v>9.5164712472638726</v>
      </c>
      <c r="E43" s="30">
        <f t="shared" si="10"/>
        <v>14.697770205034505</v>
      </c>
      <c r="F43" s="30">
        <f t="shared" si="10"/>
        <v>8.4198147841861708</v>
      </c>
      <c r="G43" s="30">
        <f t="shared" si="10"/>
        <v>6.7514976856990776</v>
      </c>
      <c r="H43" s="30">
        <f t="shared" si="10"/>
        <v>13.649267379606863</v>
      </c>
    </row>
    <row r="44" spans="1:20" x14ac:dyDescent="0.2">
      <c r="A44" s="39" t="s">
        <v>376</v>
      </c>
    </row>
    <row r="45" spans="1:20" x14ac:dyDescent="0.2">
      <c r="A45" s="39" t="s">
        <v>59</v>
      </c>
      <c r="F45" s="30">
        <f>F41/$L$5</f>
        <v>0.27777229400188252</v>
      </c>
      <c r="G45" s="30">
        <f>G41/$L$5</f>
        <v>0.47923114571746384</v>
      </c>
      <c r="H45" s="30">
        <f>H41/$L$5</f>
        <v>12.984954085736288</v>
      </c>
    </row>
    <row r="47" spans="1:20" x14ac:dyDescent="0.2">
      <c r="A47" s="44" t="s">
        <v>571</v>
      </c>
      <c r="B47" s="43"/>
      <c r="C47" s="43">
        <v>1</v>
      </c>
      <c r="D47" s="43">
        <v>1</v>
      </c>
      <c r="E47" s="43">
        <v>1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0" x14ac:dyDescent="0.2">
      <c r="A48" s="39" t="s">
        <v>63</v>
      </c>
      <c r="C48" s="30">
        <v>474.01400000000001</v>
      </c>
      <c r="D48" s="30">
        <v>517.928</v>
      </c>
      <c r="E48" s="30">
        <v>488.05799999999999</v>
      </c>
      <c r="F48" s="30">
        <v>4318.42</v>
      </c>
      <c r="G48" s="30">
        <v>4404.6090000000004</v>
      </c>
      <c r="H48" s="30">
        <v>329.84100000000001</v>
      </c>
    </row>
    <row r="49" spans="1:20" x14ac:dyDescent="0.2">
      <c r="A49" s="39" t="s">
        <v>62</v>
      </c>
      <c r="C49" s="30">
        <f t="shared" ref="C49:H49" si="11">C48-$B$8</f>
        <v>209.56900000000002</v>
      </c>
      <c r="D49" s="30">
        <f t="shared" si="11"/>
        <v>253.483</v>
      </c>
      <c r="E49" s="30">
        <f t="shared" si="11"/>
        <v>223.613</v>
      </c>
      <c r="F49" s="30">
        <f t="shared" si="11"/>
        <v>4053.9749999999999</v>
      </c>
      <c r="G49" s="30">
        <f t="shared" si="11"/>
        <v>4140.1640000000007</v>
      </c>
      <c r="H49" s="30">
        <f t="shared" si="11"/>
        <v>65.396000000000015</v>
      </c>
    </row>
    <row r="50" spans="1:20" x14ac:dyDescent="0.2">
      <c r="A50" s="39" t="s">
        <v>61</v>
      </c>
      <c r="C50" s="30">
        <v>7.65</v>
      </c>
      <c r="D50" s="30">
        <v>9.1140000000000008</v>
      </c>
      <c r="E50" s="30">
        <v>14.05</v>
      </c>
      <c r="F50" s="30">
        <v>13.355</v>
      </c>
      <c r="G50" s="30">
        <v>13.144</v>
      </c>
      <c r="H50" s="30">
        <v>15.929</v>
      </c>
    </row>
    <row r="51" spans="1:20" x14ac:dyDescent="0.2">
      <c r="A51" s="39" t="s">
        <v>60</v>
      </c>
      <c r="C51" s="30">
        <f t="shared" ref="C51:H51" si="12">SQRT((C50^2)+25)</f>
        <v>9.1390645035473952</v>
      </c>
      <c r="D51" s="30">
        <f t="shared" si="12"/>
        <v>10.395431496575792</v>
      </c>
      <c r="E51" s="30">
        <f t="shared" si="12"/>
        <v>14.913165324638497</v>
      </c>
      <c r="F51" s="30">
        <f t="shared" si="12"/>
        <v>14.260295403672394</v>
      </c>
      <c r="G51" s="30">
        <f t="shared" si="12"/>
        <v>14.062885052506118</v>
      </c>
      <c r="H51" s="30">
        <f t="shared" si="12"/>
        <v>16.695299967356082</v>
      </c>
    </row>
    <row r="52" spans="1:20" x14ac:dyDescent="0.2">
      <c r="A52" s="39" t="s">
        <v>376</v>
      </c>
    </row>
    <row r="53" spans="1:20" x14ac:dyDescent="0.2">
      <c r="A53" s="39" t="s">
        <v>59</v>
      </c>
      <c r="F53" s="30">
        <f>F49/$L$5</f>
        <v>10.545121930349961</v>
      </c>
      <c r="G53" s="30">
        <f>G49/$L$5</f>
        <v>10.769315102250365</v>
      </c>
      <c r="H53" s="30">
        <f>H49/$L$5</f>
        <v>0.1701068195430821</v>
      </c>
    </row>
    <row r="55" spans="1:20" x14ac:dyDescent="0.2">
      <c r="A55" s="44" t="s">
        <v>570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</row>
    <row r="56" spans="1:20" x14ac:dyDescent="0.2">
      <c r="A56" s="39" t="s">
        <v>63</v>
      </c>
      <c r="C56" s="30">
        <v>1822.3040000000001</v>
      </c>
      <c r="D56" s="30">
        <v>1909.9570000000001</v>
      </c>
      <c r="E56" s="30">
        <v>2113</v>
      </c>
    </row>
    <row r="57" spans="1:20" x14ac:dyDescent="0.2">
      <c r="A57" s="39" t="s">
        <v>62</v>
      </c>
      <c r="C57" s="30">
        <f>C56-$B$8</f>
        <v>1557.8590000000002</v>
      </c>
      <c r="D57" s="30">
        <f>D56-$B$8</f>
        <v>1645.5120000000002</v>
      </c>
      <c r="E57" s="30">
        <f>E56-$B$8</f>
        <v>1848.5550000000001</v>
      </c>
    </row>
    <row r="58" spans="1:20" x14ac:dyDescent="0.2">
      <c r="A58" s="39" t="s">
        <v>61</v>
      </c>
      <c r="C58" s="30">
        <v>13.573</v>
      </c>
      <c r="D58" s="30">
        <v>12.984</v>
      </c>
      <c r="E58" s="30">
        <v>13.119</v>
      </c>
    </row>
    <row r="59" spans="1:20" x14ac:dyDescent="0.2">
      <c r="A59" s="39" t="s">
        <v>60</v>
      </c>
      <c r="C59" s="30">
        <f>SQRT((C58^2)+36)</f>
        <v>14.840024561974284</v>
      </c>
      <c r="D59" s="30">
        <f>SQRT((D58^2)+36)</f>
        <v>14.303295284653814</v>
      </c>
      <c r="E59" s="30">
        <f>SQRT((E58^2)+36)</f>
        <v>14.425954422498361</v>
      </c>
    </row>
    <row r="60" spans="1:20" x14ac:dyDescent="0.2">
      <c r="A60" s="39" t="s">
        <v>376</v>
      </c>
    </row>
    <row r="61" spans="1:20" x14ac:dyDescent="0.2">
      <c r="A61" s="39" t="s">
        <v>59</v>
      </c>
      <c r="C61" s="30">
        <f>C57/$L$5</f>
        <v>4.0522729186275352</v>
      </c>
      <c r="D61" s="30">
        <f>D57/$L$5</f>
        <v>4.2802742192179348</v>
      </c>
      <c r="E61" s="30">
        <f>E57/$L$5</f>
        <v>4.8084257722255499</v>
      </c>
    </row>
    <row r="63" spans="1:20" x14ac:dyDescent="0.2">
      <c r="A63" s="44" t="s">
        <v>569</v>
      </c>
      <c r="B63" s="43"/>
      <c r="C63" s="43">
        <v>1</v>
      </c>
      <c r="D63" s="43">
        <v>1</v>
      </c>
      <c r="E63" s="43">
        <v>1</v>
      </c>
      <c r="F63" s="43">
        <v>1</v>
      </c>
      <c r="G63" s="43">
        <v>1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</row>
    <row r="64" spans="1:20" x14ac:dyDescent="0.2">
      <c r="A64" s="39" t="s">
        <v>63</v>
      </c>
      <c r="C64" s="30">
        <v>483.78300000000002</v>
      </c>
      <c r="D64" s="30">
        <v>479.34800000000001</v>
      </c>
      <c r="E64" s="30">
        <v>496.81200000000001</v>
      </c>
      <c r="F64" s="30">
        <v>579.49300000000005</v>
      </c>
      <c r="G64" s="30">
        <v>882.56500000000005</v>
      </c>
      <c r="H64" s="30">
        <v>1064.1010000000001</v>
      </c>
      <c r="I64" s="30">
        <v>1877.2170000000001</v>
      </c>
      <c r="J64" s="30">
        <v>1192.7249999999999</v>
      </c>
      <c r="K64" s="30">
        <v>1648.826</v>
      </c>
      <c r="L64" s="30">
        <v>1828.3620000000001</v>
      </c>
    </row>
    <row r="65" spans="1:20" x14ac:dyDescent="0.2">
      <c r="A65" s="39" t="s">
        <v>62</v>
      </c>
      <c r="C65" s="30">
        <f t="shared" ref="C65:L65" si="13">C64-$B$8</f>
        <v>219.33800000000002</v>
      </c>
      <c r="D65" s="30">
        <f t="shared" si="13"/>
        <v>214.90300000000002</v>
      </c>
      <c r="E65" s="30">
        <f t="shared" si="13"/>
        <v>232.36700000000002</v>
      </c>
      <c r="F65" s="30">
        <f t="shared" si="13"/>
        <v>315.04800000000006</v>
      </c>
      <c r="G65" s="30">
        <f t="shared" si="13"/>
        <v>618.12000000000012</v>
      </c>
      <c r="H65" s="30">
        <f t="shared" si="13"/>
        <v>799.65600000000018</v>
      </c>
      <c r="I65" s="30">
        <f t="shared" si="13"/>
        <v>1612.7720000000002</v>
      </c>
      <c r="J65" s="30">
        <f t="shared" si="13"/>
        <v>928.28</v>
      </c>
      <c r="K65" s="30">
        <f t="shared" si="13"/>
        <v>1384.3810000000001</v>
      </c>
      <c r="L65" s="30">
        <f t="shared" si="13"/>
        <v>1563.9170000000001</v>
      </c>
    </row>
    <row r="66" spans="1:20" x14ac:dyDescent="0.2">
      <c r="A66" s="39" t="s">
        <v>61</v>
      </c>
      <c r="C66" s="30">
        <v>6.3150000000000004</v>
      </c>
      <c r="D66" s="30">
        <v>3.5009999999999999</v>
      </c>
      <c r="E66" s="30">
        <v>3.173</v>
      </c>
      <c r="F66" s="30">
        <v>5.4790000000000001</v>
      </c>
      <c r="G66" s="30">
        <v>6.3070000000000004</v>
      </c>
      <c r="H66" s="30">
        <v>3.4359999999999999</v>
      </c>
      <c r="I66" s="30">
        <v>3.927</v>
      </c>
      <c r="J66" s="30">
        <v>4.742</v>
      </c>
      <c r="K66" s="30">
        <v>4.9569999999999999</v>
      </c>
      <c r="L66" s="30">
        <v>688.30399999999997</v>
      </c>
    </row>
    <row r="67" spans="1:20" x14ac:dyDescent="0.2">
      <c r="A67" s="39" t="s">
        <v>60</v>
      </c>
      <c r="C67" s="30">
        <f t="shared" ref="C67:L67" si="14">SQRT((C66^2)+1)</f>
        <v>6.3936863388815066</v>
      </c>
      <c r="D67" s="30">
        <f t="shared" si="14"/>
        <v>3.6410164789519972</v>
      </c>
      <c r="E67" s="30">
        <f t="shared" si="14"/>
        <v>3.3268497110630051</v>
      </c>
      <c r="F67" s="30">
        <f t="shared" si="14"/>
        <v>5.5695099425353396</v>
      </c>
      <c r="G67" s="30">
        <f t="shared" si="14"/>
        <v>6.3857849165157452</v>
      </c>
      <c r="H67" s="30">
        <f t="shared" si="14"/>
        <v>3.5785606044889056</v>
      </c>
      <c r="I67" s="30">
        <f t="shared" si="14"/>
        <v>4.0523239011707837</v>
      </c>
      <c r="J67" s="30">
        <f t="shared" si="14"/>
        <v>4.846293841689751</v>
      </c>
      <c r="K67" s="30">
        <f t="shared" si="14"/>
        <v>5.0568615761161588</v>
      </c>
      <c r="L67" s="30">
        <f t="shared" si="14"/>
        <v>688.30472642282496</v>
      </c>
    </row>
    <row r="68" spans="1:20" x14ac:dyDescent="0.2">
      <c r="A68" s="39" t="s">
        <v>376</v>
      </c>
    </row>
    <row r="69" spans="1:20" x14ac:dyDescent="0.2">
      <c r="A69" s="39" t="s">
        <v>59</v>
      </c>
      <c r="H69" s="30">
        <f>H65/$L$5</f>
        <v>2.0800498331479425</v>
      </c>
      <c r="I69" s="30">
        <f>I65/$L$5</f>
        <v>4.1951115598528279</v>
      </c>
      <c r="J69" s="30">
        <f>J65/$L$5</f>
        <v>2.4146241122614871</v>
      </c>
      <c r="K69" s="30">
        <f>K65/$L$5</f>
        <v>3.6010252759476344</v>
      </c>
      <c r="L69" s="30">
        <f>L65/$L$5</f>
        <v>4.0680308719089586</v>
      </c>
    </row>
    <row r="71" spans="1:20" x14ac:dyDescent="0.2">
      <c r="A71" s="44" t="s">
        <v>568</v>
      </c>
      <c r="B71" s="43"/>
      <c r="C71" s="43">
        <v>1</v>
      </c>
      <c r="D71" s="43">
        <v>1</v>
      </c>
      <c r="E71" s="43">
        <v>1</v>
      </c>
      <c r="F71" s="43">
        <v>1</v>
      </c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20" x14ac:dyDescent="0.2">
      <c r="A72" s="39" t="s">
        <v>63</v>
      </c>
      <c r="C72" s="30">
        <v>587.41999999999996</v>
      </c>
      <c r="D72" s="30">
        <v>736.26099999999997</v>
      </c>
      <c r="E72" s="30">
        <v>913.17399999999998</v>
      </c>
      <c r="F72" s="30">
        <v>415.95699999999999</v>
      </c>
      <c r="G72" s="30">
        <v>1015.246</v>
      </c>
      <c r="H72" s="30">
        <v>1416.2460000000001</v>
      </c>
      <c r="I72" s="30">
        <v>2563.6089999999999</v>
      </c>
      <c r="J72" s="30">
        <v>2249.942</v>
      </c>
    </row>
    <row r="73" spans="1:20" x14ac:dyDescent="0.2">
      <c r="A73" s="39" t="s">
        <v>62</v>
      </c>
      <c r="C73" s="30">
        <f t="shared" ref="C73:J73" si="15">C72-$B$8</f>
        <v>322.97499999999997</v>
      </c>
      <c r="D73" s="30">
        <f t="shared" si="15"/>
        <v>471.81599999999997</v>
      </c>
      <c r="E73" s="30">
        <f t="shared" si="15"/>
        <v>648.72900000000004</v>
      </c>
      <c r="F73" s="30">
        <f t="shared" si="15"/>
        <v>151.512</v>
      </c>
      <c r="G73" s="30">
        <f t="shared" si="15"/>
        <v>750.80099999999993</v>
      </c>
      <c r="H73" s="30">
        <f t="shared" si="15"/>
        <v>1151.8010000000002</v>
      </c>
      <c r="I73" s="30">
        <f t="shared" si="15"/>
        <v>2299.1639999999998</v>
      </c>
      <c r="J73" s="30">
        <f t="shared" si="15"/>
        <v>1985.4970000000001</v>
      </c>
    </row>
    <row r="74" spans="1:20" x14ac:dyDescent="0.2">
      <c r="A74" s="39" t="s">
        <v>61</v>
      </c>
      <c r="C74" s="30">
        <v>5.9450000000000003</v>
      </c>
      <c r="D74" s="30">
        <v>6.5460000000000003</v>
      </c>
      <c r="E74" s="30">
        <v>5.9930000000000003</v>
      </c>
      <c r="F74" s="30">
        <v>6.681</v>
      </c>
      <c r="G74" s="30">
        <v>3.8180000000000001</v>
      </c>
      <c r="H74" s="30">
        <v>4.2779999999999996</v>
      </c>
      <c r="I74" s="30">
        <v>5.0910000000000002</v>
      </c>
      <c r="J74" s="30">
        <v>5.8849999999999998</v>
      </c>
    </row>
    <row r="75" spans="1:20" x14ac:dyDescent="0.2">
      <c r="A75" s="39" t="s">
        <v>60</v>
      </c>
      <c r="C75" s="30">
        <f t="shared" ref="C75:J75" si="16">SQRT((C74^2)+4)</f>
        <v>6.2724018525601499</v>
      </c>
      <c r="D75" s="30">
        <f t="shared" si="16"/>
        <v>6.8447144571559742</v>
      </c>
      <c r="E75" s="30">
        <f t="shared" si="16"/>
        <v>6.3179149250365825</v>
      </c>
      <c r="F75" s="30">
        <f t="shared" si="16"/>
        <v>6.9739343988884785</v>
      </c>
      <c r="G75" s="30">
        <f t="shared" si="16"/>
        <v>4.3101187918664143</v>
      </c>
      <c r="H75" s="30">
        <f t="shared" si="16"/>
        <v>4.7224235303496442</v>
      </c>
      <c r="I75" s="30">
        <f t="shared" si="16"/>
        <v>5.4697605980518018</v>
      </c>
      <c r="J75" s="30">
        <f t="shared" si="16"/>
        <v>6.2155631281485668</v>
      </c>
    </row>
    <row r="76" spans="1:20" x14ac:dyDescent="0.2">
      <c r="A76" s="39" t="s">
        <v>376</v>
      </c>
    </row>
    <row r="77" spans="1:20" x14ac:dyDescent="0.2">
      <c r="A77" s="39" t="s">
        <v>59</v>
      </c>
      <c r="G77" s="30">
        <f>G73/$L$5</f>
        <v>1.9529691452040727</v>
      </c>
      <c r="H77" s="30">
        <f>H73/$L$5</f>
        <v>2.9960426456746818</v>
      </c>
      <c r="I77" s="30">
        <f>I73/$L$5</f>
        <v>5.9805412509626077</v>
      </c>
      <c r="J77" s="30">
        <f>J73/$L$5</f>
        <v>5.1646366732266618</v>
      </c>
    </row>
    <row r="79" spans="1:20" x14ac:dyDescent="0.2">
      <c r="A79" s="44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</row>
    <row r="80" spans="1:20" x14ac:dyDescent="0.2">
      <c r="A80" s="39"/>
    </row>
    <row r="81" spans="1:20" x14ac:dyDescent="0.2">
      <c r="A81" s="39"/>
    </row>
    <row r="82" spans="1:20" x14ac:dyDescent="0.2">
      <c r="A82" s="39"/>
    </row>
    <row r="83" spans="1:20" x14ac:dyDescent="0.2">
      <c r="A83" s="39"/>
    </row>
    <row r="84" spans="1:20" x14ac:dyDescent="0.2">
      <c r="A84" s="39"/>
    </row>
    <row r="85" spans="1:20" x14ac:dyDescent="0.2">
      <c r="A85" s="39"/>
    </row>
    <row r="87" spans="1:20" x14ac:dyDescent="0.2">
      <c r="A87" s="44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</row>
    <row r="88" spans="1:20" x14ac:dyDescent="0.2">
      <c r="A88" s="39"/>
    </row>
    <row r="89" spans="1:20" x14ac:dyDescent="0.2">
      <c r="A89" s="39"/>
    </row>
    <row r="90" spans="1:20" x14ac:dyDescent="0.2">
      <c r="A90" s="39"/>
    </row>
    <row r="91" spans="1:20" x14ac:dyDescent="0.2">
      <c r="A91" s="39"/>
    </row>
    <row r="92" spans="1:20" x14ac:dyDescent="0.2">
      <c r="A92" s="39"/>
    </row>
    <row r="93" spans="1:20" x14ac:dyDescent="0.2">
      <c r="A93" s="39"/>
    </row>
    <row r="95" spans="1:20" x14ac:dyDescent="0.2">
      <c r="A95" s="44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</row>
    <row r="96" spans="1:20" x14ac:dyDescent="0.2">
      <c r="A96" s="39"/>
    </row>
    <row r="97" spans="1:1" x14ac:dyDescent="0.2">
      <c r="A97" s="39"/>
    </row>
    <row r="98" spans="1:1" x14ac:dyDescent="0.2">
      <c r="A98" s="39"/>
    </row>
    <row r="99" spans="1:1" x14ac:dyDescent="0.2">
      <c r="A99" s="39"/>
    </row>
    <row r="100" spans="1:1" x14ac:dyDescent="0.2">
      <c r="A100" s="39"/>
    </row>
    <row r="101" spans="1:1" x14ac:dyDescent="0.2">
      <c r="A101" s="3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2F46-3A39-6844-8254-986A2805C82D}">
  <dimension ref="A1:O99"/>
  <sheetViews>
    <sheetView workbookViewId="0">
      <selection activeCell="Q43" sqref="Q43"/>
    </sheetView>
  </sheetViews>
  <sheetFormatPr baseColWidth="10" defaultColWidth="8.83203125" defaultRowHeight="16" x14ac:dyDescent="0.2"/>
  <cols>
    <col min="1" max="1" width="21.33203125" style="30" bestFit="1" customWidth="1"/>
    <col min="2" max="2" width="17.1640625" style="30" bestFit="1" customWidth="1"/>
    <col min="3" max="3" width="8.83203125" style="30"/>
    <col min="4" max="4" width="11.83203125" style="30" bestFit="1" customWidth="1"/>
    <col min="5" max="16384" width="8.83203125" style="30"/>
  </cols>
  <sheetData>
    <row r="1" spans="1:15" x14ac:dyDescent="0.2">
      <c r="A1" s="30" t="s">
        <v>74</v>
      </c>
    </row>
    <row r="2" spans="1:15" x14ac:dyDescent="0.2">
      <c r="A2" s="30" t="s">
        <v>27</v>
      </c>
      <c r="B2" s="30">
        <v>47.816000000000003</v>
      </c>
      <c r="D2" s="30" t="s">
        <v>73</v>
      </c>
      <c r="E2" s="30">
        <f>AVERAGE(C6,D6,E6,F6,G6,H6,C12,D12,C19,C26,D26,E26,F26,C33,D33,E33,F33,G33,H33,I33,J33,K33,C40,D40,E40,F40,C47,D47,C61,C75,D75,E75,F75,G75,H75,C82,D82,C89,D89,E89,F89,G89,H89,C96,D96,E96,F96,G96,H96,I96,J96,K96,L96)</f>
        <v>2119.2507735849053</v>
      </c>
    </row>
    <row r="3" spans="1:15" ht="17" thickBot="1" x14ac:dyDescent="0.25"/>
    <row r="4" spans="1:15" ht="17" thickBot="1" x14ac:dyDescent="0.25">
      <c r="A4" s="41" t="s">
        <v>567</v>
      </c>
      <c r="B4" s="40" t="s">
        <v>70</v>
      </c>
      <c r="C4" s="30">
        <v>1</v>
      </c>
      <c r="D4" s="30">
        <v>1</v>
      </c>
      <c r="E4" s="30">
        <v>1</v>
      </c>
      <c r="F4" s="30">
        <v>1</v>
      </c>
      <c r="G4" s="30">
        <v>1</v>
      </c>
      <c r="H4" s="30">
        <v>1</v>
      </c>
    </row>
    <row r="5" spans="1:15" x14ac:dyDescent="0.2">
      <c r="A5" s="39" t="s">
        <v>63</v>
      </c>
      <c r="B5" s="30">
        <v>471.62799999999999</v>
      </c>
      <c r="C5" s="30">
        <v>3159.2689999999998</v>
      </c>
      <c r="D5" s="30">
        <v>5359.6540000000005</v>
      </c>
      <c r="E5" s="30">
        <v>3234.096</v>
      </c>
      <c r="F5" s="30">
        <v>2418.558</v>
      </c>
      <c r="G5" s="30">
        <v>2043.442</v>
      </c>
      <c r="H5" s="30">
        <v>2789</v>
      </c>
      <c r="I5" s="30">
        <v>10670.962</v>
      </c>
      <c r="J5" s="30">
        <v>6762.9229999999998</v>
      </c>
      <c r="K5" s="30">
        <v>5601.558</v>
      </c>
      <c r="L5" s="30">
        <v>7352.6540000000005</v>
      </c>
      <c r="M5" s="30">
        <v>4806.5379999999996</v>
      </c>
      <c r="N5" s="30">
        <v>6486.6729999999998</v>
      </c>
      <c r="O5" s="30">
        <v>4616.0379999999996</v>
      </c>
    </row>
    <row r="6" spans="1:15" x14ac:dyDescent="0.2">
      <c r="A6" s="39" t="s">
        <v>62</v>
      </c>
      <c r="C6" s="30">
        <f t="shared" ref="C6:O6" si="0">C5-$B$5</f>
        <v>2687.6409999999996</v>
      </c>
      <c r="D6" s="30">
        <f t="shared" si="0"/>
        <v>4888.0260000000007</v>
      </c>
      <c r="E6" s="30">
        <f t="shared" si="0"/>
        <v>2762.4679999999998</v>
      </c>
      <c r="F6" s="30">
        <f t="shared" si="0"/>
        <v>1946.93</v>
      </c>
      <c r="G6" s="30">
        <f t="shared" si="0"/>
        <v>1571.8140000000001</v>
      </c>
      <c r="H6" s="30">
        <f t="shared" si="0"/>
        <v>2317.3719999999998</v>
      </c>
      <c r="I6" s="30">
        <f t="shared" si="0"/>
        <v>10199.333999999999</v>
      </c>
      <c r="J6" s="30">
        <f t="shared" si="0"/>
        <v>6291.2950000000001</v>
      </c>
      <c r="K6" s="30">
        <f t="shared" si="0"/>
        <v>5129.93</v>
      </c>
      <c r="L6" s="30">
        <f t="shared" si="0"/>
        <v>6881.0260000000007</v>
      </c>
      <c r="M6" s="30">
        <f t="shared" si="0"/>
        <v>4334.91</v>
      </c>
      <c r="N6" s="30">
        <f t="shared" si="0"/>
        <v>6015.0450000000001</v>
      </c>
      <c r="O6" s="30">
        <f t="shared" si="0"/>
        <v>4144.41</v>
      </c>
    </row>
    <row r="7" spans="1:15" x14ac:dyDescent="0.2">
      <c r="A7" s="39" t="s">
        <v>61</v>
      </c>
      <c r="C7" s="30">
        <v>7.29</v>
      </c>
      <c r="D7" s="30">
        <v>2.5840000000000001</v>
      </c>
      <c r="E7" s="30">
        <v>5.0880000000000001</v>
      </c>
      <c r="F7" s="30">
        <v>4.3840000000000003</v>
      </c>
      <c r="G7" s="30">
        <v>3.129</v>
      </c>
      <c r="H7" s="30">
        <v>2.4079999999999999</v>
      </c>
      <c r="I7" s="30">
        <v>4.42</v>
      </c>
      <c r="J7" s="30">
        <v>3.6840000000000002</v>
      </c>
      <c r="K7" s="30">
        <v>2.8170000000000002</v>
      </c>
      <c r="L7" s="30">
        <v>3.536</v>
      </c>
      <c r="M7" s="30">
        <v>3.0609999999999999</v>
      </c>
      <c r="N7" s="30">
        <v>3.1819999999999999</v>
      </c>
      <c r="O7" s="30">
        <v>3.6379999999999999</v>
      </c>
    </row>
    <row r="8" spans="1:15" x14ac:dyDescent="0.2">
      <c r="A8" s="39" t="s">
        <v>59</v>
      </c>
      <c r="I8" s="30">
        <f t="shared" ref="I8:O8" si="1">I6/$E$2</f>
        <v>4.8127074563936096</v>
      </c>
      <c r="J8" s="30">
        <f t="shared" si="1"/>
        <v>2.9686411246922435</v>
      </c>
      <c r="K8" s="30">
        <f t="shared" si="1"/>
        <v>2.4206337748893478</v>
      </c>
      <c r="L8" s="30">
        <f t="shared" si="1"/>
        <v>3.2469144689092739</v>
      </c>
      <c r="M8" s="30">
        <f t="shared" si="1"/>
        <v>2.0454917624812778</v>
      </c>
      <c r="N8" s="30">
        <f t="shared" si="1"/>
        <v>2.8382884531522454</v>
      </c>
      <c r="O8" s="30">
        <f t="shared" si="1"/>
        <v>1.955601503917044</v>
      </c>
    </row>
    <row r="10" spans="1:15" x14ac:dyDescent="0.2">
      <c r="A10" s="41" t="s">
        <v>566</v>
      </c>
      <c r="C10" s="30">
        <v>1</v>
      </c>
      <c r="D10" s="30">
        <v>1</v>
      </c>
    </row>
    <row r="11" spans="1:15" x14ac:dyDescent="0.2">
      <c r="A11" s="39" t="s">
        <v>63</v>
      </c>
      <c r="C11" s="30">
        <v>2238.038</v>
      </c>
      <c r="D11" s="30">
        <v>3167.596</v>
      </c>
      <c r="E11" s="30">
        <v>2301.346</v>
      </c>
      <c r="F11" s="30">
        <v>1607.404</v>
      </c>
      <c r="G11" s="30">
        <v>8177.3270000000002</v>
      </c>
      <c r="H11" s="30">
        <v>6173.2690000000002</v>
      </c>
      <c r="I11" s="30">
        <v>5466.1149999999998</v>
      </c>
    </row>
    <row r="12" spans="1:15" x14ac:dyDescent="0.2">
      <c r="A12" s="39" t="s">
        <v>62</v>
      </c>
      <c r="C12" s="30">
        <f t="shared" ref="C12:I12" si="2">C11-$B$5</f>
        <v>1766.41</v>
      </c>
      <c r="D12" s="30">
        <f t="shared" si="2"/>
        <v>2695.9679999999998</v>
      </c>
      <c r="E12" s="30">
        <f t="shared" si="2"/>
        <v>1829.7180000000001</v>
      </c>
      <c r="F12" s="30">
        <f t="shared" si="2"/>
        <v>1135.7760000000001</v>
      </c>
      <c r="G12" s="30">
        <f t="shared" si="2"/>
        <v>7705.6990000000005</v>
      </c>
      <c r="H12" s="30">
        <f t="shared" si="2"/>
        <v>5701.6410000000005</v>
      </c>
      <c r="I12" s="30">
        <f t="shared" si="2"/>
        <v>4994.4870000000001</v>
      </c>
    </row>
    <row r="13" spans="1:15" x14ac:dyDescent="0.2">
      <c r="A13" s="39" t="s">
        <v>61</v>
      </c>
      <c r="C13" s="30">
        <v>3.9049999999999998</v>
      </c>
      <c r="D13" s="30">
        <v>5.3179999999999996</v>
      </c>
      <c r="E13" s="30">
        <v>4.4950000000000001</v>
      </c>
      <c r="F13" s="30">
        <v>5.609</v>
      </c>
      <c r="G13" s="30">
        <v>3.5419999999999998</v>
      </c>
      <c r="H13" s="30">
        <v>3.3570000000000002</v>
      </c>
      <c r="I13" s="30">
        <v>3.04</v>
      </c>
    </row>
    <row r="14" spans="1:15" x14ac:dyDescent="0.2">
      <c r="A14" s="39" t="s">
        <v>60</v>
      </c>
      <c r="C14" s="30">
        <f t="shared" ref="C14:I14" si="3">SQRT((C13^2)+1)</f>
        <v>4.0310079384689876</v>
      </c>
      <c r="D14" s="30">
        <f t="shared" si="3"/>
        <v>5.4112035629793116</v>
      </c>
      <c r="E14" s="30">
        <f t="shared" si="3"/>
        <v>4.6048914210869301</v>
      </c>
      <c r="F14" s="30">
        <f t="shared" si="3"/>
        <v>5.697445129178516</v>
      </c>
      <c r="G14" s="30">
        <f t="shared" si="3"/>
        <v>3.6804570368365934</v>
      </c>
      <c r="H14" s="30">
        <f t="shared" si="3"/>
        <v>3.5027773266366791</v>
      </c>
      <c r="I14" s="30">
        <f t="shared" si="3"/>
        <v>3.2002499902351378</v>
      </c>
    </row>
    <row r="15" spans="1:15" x14ac:dyDescent="0.2">
      <c r="A15" s="39" t="s">
        <v>59</v>
      </c>
      <c r="E15" s="30">
        <f>E12/$E$2</f>
        <v>0.86337965417130214</v>
      </c>
      <c r="F15" s="30">
        <f>F12/$E$2</f>
        <v>0.53593279953307826</v>
      </c>
      <c r="G15" s="30">
        <f>G12/$E$2</f>
        <v>3.6360486904365312</v>
      </c>
      <c r="H15" s="30">
        <f>H12/$E$2</f>
        <v>2.6904041140705384</v>
      </c>
      <c r="I15" s="30">
        <f>I12/$E$2</f>
        <v>2.3567229807123633</v>
      </c>
    </row>
    <row r="17" spans="1:15" x14ac:dyDescent="0.2">
      <c r="A17" s="41" t="s">
        <v>565</v>
      </c>
      <c r="C17" s="30">
        <v>1</v>
      </c>
    </row>
    <row r="18" spans="1:15" x14ac:dyDescent="0.2">
      <c r="A18" s="39" t="s">
        <v>63</v>
      </c>
      <c r="C18" s="30">
        <v>4933.3850000000002</v>
      </c>
      <c r="D18" s="30">
        <v>7226.4809999999998</v>
      </c>
      <c r="E18" s="30">
        <v>9971.5380000000005</v>
      </c>
      <c r="F18" s="30">
        <v>7077.0959999999995</v>
      </c>
      <c r="G18" s="30">
        <v>4642.9620000000004</v>
      </c>
      <c r="H18" s="30">
        <v>2849.442</v>
      </c>
    </row>
    <row r="19" spans="1:15" x14ac:dyDescent="0.2">
      <c r="A19" s="39" t="s">
        <v>62</v>
      </c>
      <c r="C19" s="30">
        <f t="shared" ref="C19:H19" si="4">C18-$B$5</f>
        <v>4461.7570000000005</v>
      </c>
      <c r="D19" s="30">
        <f t="shared" si="4"/>
        <v>6754.8530000000001</v>
      </c>
      <c r="E19" s="30">
        <f t="shared" si="4"/>
        <v>9499.91</v>
      </c>
      <c r="F19" s="30">
        <f t="shared" si="4"/>
        <v>6605.4679999999998</v>
      </c>
      <c r="G19" s="30">
        <f t="shared" si="4"/>
        <v>4171.3340000000007</v>
      </c>
      <c r="H19" s="30">
        <f t="shared" si="4"/>
        <v>2377.8139999999999</v>
      </c>
    </row>
    <row r="20" spans="1:15" x14ac:dyDescent="0.2">
      <c r="A20" s="39" t="s">
        <v>61</v>
      </c>
      <c r="C20" s="30">
        <v>3.17</v>
      </c>
      <c r="D20" s="30">
        <v>3.601</v>
      </c>
      <c r="E20" s="30">
        <v>3.5529999999999999</v>
      </c>
      <c r="F20" s="30">
        <v>2.74</v>
      </c>
      <c r="G20" s="30">
        <v>3.8490000000000002</v>
      </c>
      <c r="H20" s="30">
        <v>2.2229999999999999</v>
      </c>
    </row>
    <row r="21" spans="1:15" x14ac:dyDescent="0.2">
      <c r="A21" s="39" t="s">
        <v>60</v>
      </c>
      <c r="C21" s="30">
        <f t="shared" ref="C21:H21" si="5">SQRT((C20^2)+4)</f>
        <v>3.7481862280308325</v>
      </c>
      <c r="D21" s="30">
        <f t="shared" si="5"/>
        <v>4.1191262422994512</v>
      </c>
      <c r="E21" s="30">
        <f t="shared" si="5"/>
        <v>4.077230555168545</v>
      </c>
      <c r="F21" s="30">
        <f t="shared" si="5"/>
        <v>3.3922853653547484</v>
      </c>
      <c r="G21" s="30">
        <f t="shared" si="5"/>
        <v>4.3376031399841093</v>
      </c>
      <c r="H21" s="30">
        <f t="shared" si="5"/>
        <v>2.9902723956188337</v>
      </c>
    </row>
    <row r="22" spans="1:15" x14ac:dyDescent="0.2">
      <c r="A22" s="39" t="s">
        <v>59</v>
      </c>
      <c r="D22" s="30">
        <f>D19/$E$2</f>
        <v>3.1873778621175406</v>
      </c>
      <c r="E22" s="30">
        <f>E19/$E$2</f>
        <v>4.4826738385141836</v>
      </c>
      <c r="F22" s="30">
        <f>F19/$E$2</f>
        <v>3.1168883278623274</v>
      </c>
      <c r="G22" s="30">
        <f>G19/$E$2</f>
        <v>1.9683059937941227</v>
      </c>
      <c r="H22" s="30">
        <f>H19/$E$2</f>
        <v>1.1220069043446479</v>
      </c>
    </row>
    <row r="24" spans="1:15" x14ac:dyDescent="0.2">
      <c r="A24" s="41" t="s">
        <v>564</v>
      </c>
      <c r="C24" s="30">
        <v>1</v>
      </c>
      <c r="D24" s="30">
        <v>1</v>
      </c>
      <c r="E24" s="30">
        <v>1</v>
      </c>
      <c r="F24" s="30">
        <v>1</v>
      </c>
    </row>
    <row r="25" spans="1:15" x14ac:dyDescent="0.2">
      <c r="A25" s="39" t="s">
        <v>63</v>
      </c>
      <c r="C25" s="30">
        <v>2042.231</v>
      </c>
      <c r="D25" s="30">
        <v>2181.6149999999998</v>
      </c>
      <c r="E25" s="30">
        <v>1983.596</v>
      </c>
      <c r="F25" s="30">
        <v>2580.1149999999998</v>
      </c>
      <c r="G25" s="30">
        <v>4946.442</v>
      </c>
      <c r="H25" s="30">
        <v>8150.4809999999998</v>
      </c>
      <c r="I25" s="30">
        <v>12676.308000000001</v>
      </c>
      <c r="J25" s="30">
        <v>3326.5189999999998</v>
      </c>
    </row>
    <row r="26" spans="1:15" x14ac:dyDescent="0.2">
      <c r="A26" s="39" t="s">
        <v>62</v>
      </c>
      <c r="C26" s="30">
        <f t="shared" ref="C26:J26" si="6">C25-$B$5</f>
        <v>1570.6030000000001</v>
      </c>
      <c r="D26" s="30">
        <f t="shared" si="6"/>
        <v>1709.9869999999999</v>
      </c>
      <c r="E26" s="30">
        <f t="shared" si="6"/>
        <v>1511.9680000000001</v>
      </c>
      <c r="F26" s="30">
        <f t="shared" si="6"/>
        <v>2108.4869999999996</v>
      </c>
      <c r="G26" s="30">
        <f t="shared" si="6"/>
        <v>4474.8140000000003</v>
      </c>
      <c r="H26" s="30">
        <f t="shared" si="6"/>
        <v>7678.8530000000001</v>
      </c>
      <c r="I26" s="30">
        <f t="shared" si="6"/>
        <v>12204.68</v>
      </c>
      <c r="J26" s="30">
        <f t="shared" si="6"/>
        <v>2854.8909999999996</v>
      </c>
    </row>
    <row r="27" spans="1:15" x14ac:dyDescent="0.2">
      <c r="A27" s="39" t="s">
        <v>61</v>
      </c>
      <c r="C27" s="30">
        <v>3.9780000000000002</v>
      </c>
      <c r="D27" s="30">
        <v>1.9990000000000001</v>
      </c>
      <c r="E27" s="30">
        <v>4.2309999999999999</v>
      </c>
      <c r="F27" s="30">
        <v>2.081</v>
      </c>
      <c r="G27" s="30">
        <v>3.9940000000000002</v>
      </c>
      <c r="H27" s="30">
        <v>3.7370000000000001</v>
      </c>
      <c r="I27" s="30">
        <v>2.778</v>
      </c>
      <c r="J27" s="30">
        <v>3.1419999999999999</v>
      </c>
    </row>
    <row r="28" spans="1:15" x14ac:dyDescent="0.2">
      <c r="A28" s="39" t="s">
        <v>60</v>
      </c>
      <c r="C28" s="30">
        <f t="shared" ref="C28:J28" si="7">SQRT((C27^2)+9)</f>
        <v>4.9824174855184511</v>
      </c>
      <c r="D28" s="30">
        <f t="shared" si="7"/>
        <v>3.6049966712883381</v>
      </c>
      <c r="E28" s="30">
        <f t="shared" si="7"/>
        <v>5.1866521957810123</v>
      </c>
      <c r="F28" s="30">
        <f t="shared" si="7"/>
        <v>3.6511040795901724</v>
      </c>
      <c r="G28" s="30">
        <f t="shared" si="7"/>
        <v>4.9952012972451874</v>
      </c>
      <c r="H28" s="30">
        <f t="shared" si="7"/>
        <v>4.7921987646590791</v>
      </c>
      <c r="I28" s="30">
        <f t="shared" si="7"/>
        <v>4.0886775368082038</v>
      </c>
      <c r="J28" s="30">
        <f t="shared" si="7"/>
        <v>4.3442104000612121</v>
      </c>
    </row>
    <row r="29" spans="1:15" x14ac:dyDescent="0.2">
      <c r="A29" s="39" t="s">
        <v>59</v>
      </c>
      <c r="G29" s="30">
        <f>G26/$E$2</f>
        <v>2.111507545862751</v>
      </c>
      <c r="H29" s="30">
        <f>H26/$E$2</f>
        <v>3.6233810060196521</v>
      </c>
      <c r="I29" s="30">
        <f>I26/$E$2</f>
        <v>5.7589597947177689</v>
      </c>
      <c r="J29" s="30">
        <f>J26/$E$2</f>
        <v>1.3471227830063226</v>
      </c>
    </row>
    <row r="31" spans="1:15" x14ac:dyDescent="0.2">
      <c r="A31" s="41" t="s">
        <v>563</v>
      </c>
      <c r="C31" s="30">
        <v>1</v>
      </c>
      <c r="D31" s="30">
        <v>1</v>
      </c>
      <c r="E31" s="30">
        <v>1</v>
      </c>
      <c r="F31" s="30">
        <v>1</v>
      </c>
      <c r="G31" s="30">
        <v>1</v>
      </c>
      <c r="H31" s="30">
        <v>1</v>
      </c>
      <c r="I31" s="30">
        <v>1</v>
      </c>
      <c r="J31" s="30">
        <v>1</v>
      </c>
      <c r="K31" s="30">
        <v>1</v>
      </c>
    </row>
    <row r="32" spans="1:15" x14ac:dyDescent="0.2">
      <c r="A32" s="39" t="s">
        <v>63</v>
      </c>
      <c r="C32" s="30">
        <v>3067.692</v>
      </c>
      <c r="D32" s="30">
        <v>4183.808</v>
      </c>
      <c r="E32" s="30">
        <v>1819</v>
      </c>
      <c r="F32" s="30">
        <v>2049.442</v>
      </c>
      <c r="G32" s="30">
        <v>2498.692</v>
      </c>
      <c r="H32" s="30">
        <v>1982.673</v>
      </c>
      <c r="I32" s="30">
        <v>1664.769</v>
      </c>
      <c r="J32" s="30">
        <v>1618.269</v>
      </c>
      <c r="K32" s="30">
        <v>1505.942</v>
      </c>
      <c r="L32" s="30">
        <v>3229.538</v>
      </c>
      <c r="M32" s="30">
        <v>5821.5190000000002</v>
      </c>
      <c r="N32" s="30">
        <v>4727.4040000000005</v>
      </c>
      <c r="O32" s="30">
        <v>4839.1149999999998</v>
      </c>
    </row>
    <row r="33" spans="1:15" x14ac:dyDescent="0.2">
      <c r="A33" s="39" t="s">
        <v>62</v>
      </c>
      <c r="C33" s="30">
        <f t="shared" ref="C33:O33" si="8">C32-$B$5</f>
        <v>2596.0639999999999</v>
      </c>
      <c r="D33" s="30">
        <f t="shared" si="8"/>
        <v>3712.18</v>
      </c>
      <c r="E33" s="30">
        <f t="shared" si="8"/>
        <v>1347.3720000000001</v>
      </c>
      <c r="F33" s="30">
        <f t="shared" si="8"/>
        <v>1577.8140000000001</v>
      </c>
      <c r="G33" s="30">
        <f t="shared" si="8"/>
        <v>2027.0640000000001</v>
      </c>
      <c r="H33" s="30">
        <f t="shared" si="8"/>
        <v>1511.0450000000001</v>
      </c>
      <c r="I33" s="30">
        <f t="shared" si="8"/>
        <v>1193.1410000000001</v>
      </c>
      <c r="J33" s="30">
        <f t="shared" si="8"/>
        <v>1146.6410000000001</v>
      </c>
      <c r="K33" s="30">
        <f t="shared" si="8"/>
        <v>1034.3140000000001</v>
      </c>
      <c r="L33" s="30">
        <f t="shared" si="8"/>
        <v>2757.91</v>
      </c>
      <c r="M33" s="30">
        <f t="shared" si="8"/>
        <v>5349.8910000000005</v>
      </c>
      <c r="N33" s="30">
        <f t="shared" si="8"/>
        <v>4255.7760000000007</v>
      </c>
      <c r="O33" s="30">
        <f t="shared" si="8"/>
        <v>4367.4870000000001</v>
      </c>
    </row>
    <row r="34" spans="1:15" x14ac:dyDescent="0.2">
      <c r="A34" s="39" t="s">
        <v>61</v>
      </c>
      <c r="C34" s="30">
        <v>4.96</v>
      </c>
      <c r="D34" s="30">
        <v>4.6529999999999996</v>
      </c>
      <c r="E34" s="30">
        <v>3.9740000000000002</v>
      </c>
      <c r="F34" s="30">
        <v>1.03</v>
      </c>
      <c r="G34" s="30">
        <v>1.9139999999999999</v>
      </c>
      <c r="H34" s="30">
        <v>4.1100000000000003</v>
      </c>
      <c r="I34" s="30">
        <v>6.952</v>
      </c>
      <c r="J34" s="30">
        <v>9.4039999999999999</v>
      </c>
      <c r="K34" s="30">
        <v>9.5779999999999994</v>
      </c>
      <c r="L34" s="30">
        <v>4.0170000000000003</v>
      </c>
      <c r="M34" s="30">
        <v>2.9529999999999998</v>
      </c>
      <c r="N34" s="30">
        <v>2.9460000000000002</v>
      </c>
      <c r="O34" s="30">
        <v>2.2789999999999999</v>
      </c>
    </row>
    <row r="35" spans="1:15" x14ac:dyDescent="0.2">
      <c r="A35" s="39" t="s">
        <v>60</v>
      </c>
      <c r="C35" s="30">
        <f t="shared" ref="C35:O35" si="9">SQRT((C34^2)+16)</f>
        <v>6.3719384805567607</v>
      </c>
      <c r="D35" s="30">
        <f t="shared" si="9"/>
        <v>6.135992910686908</v>
      </c>
      <c r="E35" s="30">
        <f t="shared" si="9"/>
        <v>5.6384994457745581</v>
      </c>
      <c r="F35" s="30">
        <f t="shared" si="9"/>
        <v>4.1304842331135943</v>
      </c>
      <c r="G35" s="30">
        <f t="shared" si="9"/>
        <v>4.4343427923425134</v>
      </c>
      <c r="H35" s="30">
        <f t="shared" si="9"/>
        <v>5.7351634675918346</v>
      </c>
      <c r="I35" s="30">
        <f t="shared" si="9"/>
        <v>8.0206174325920827</v>
      </c>
      <c r="J35" s="30">
        <f t="shared" si="9"/>
        <v>10.219354969859888</v>
      </c>
      <c r="K35" s="30">
        <f t="shared" si="9"/>
        <v>10.379695756620229</v>
      </c>
      <c r="L35" s="30">
        <f t="shared" si="9"/>
        <v>5.6688878097912649</v>
      </c>
      <c r="M35" s="30">
        <f t="shared" si="9"/>
        <v>4.9719421758503985</v>
      </c>
      <c r="N35" s="30">
        <f t="shared" si="9"/>
        <v>4.9677878376597366</v>
      </c>
      <c r="O35" s="30">
        <f t="shared" si="9"/>
        <v>4.6036769000441371</v>
      </c>
    </row>
    <row r="36" spans="1:15" x14ac:dyDescent="0.2">
      <c r="A36" s="39" t="s">
        <v>59</v>
      </c>
      <c r="L36" s="30">
        <f>L33/$E$2</f>
        <v>1.3013608556267007</v>
      </c>
      <c r="M36" s="30">
        <f>M33/$E$2</f>
        <v>2.524425644516894</v>
      </c>
      <c r="N36" s="30">
        <f>N33/$E$2</f>
        <v>2.0081512075142331</v>
      </c>
      <c r="O36" s="30">
        <f>O33/$E$2</f>
        <v>2.0608637044930735</v>
      </c>
    </row>
    <row r="38" spans="1:15" x14ac:dyDescent="0.2">
      <c r="A38" s="41" t="s">
        <v>562</v>
      </c>
      <c r="C38" s="30">
        <v>1</v>
      </c>
      <c r="D38" s="30">
        <v>1</v>
      </c>
      <c r="E38" s="30">
        <v>1</v>
      </c>
      <c r="F38" s="30">
        <v>1</v>
      </c>
    </row>
    <row r="39" spans="1:15" x14ac:dyDescent="0.2">
      <c r="A39" s="39" t="s">
        <v>63</v>
      </c>
      <c r="C39" s="30">
        <v>2667.038</v>
      </c>
      <c r="D39" s="30">
        <v>1892.154</v>
      </c>
      <c r="E39" s="30">
        <v>1762.346</v>
      </c>
      <c r="F39" s="30">
        <v>2069.558</v>
      </c>
      <c r="G39" s="30">
        <v>2521.8270000000002</v>
      </c>
      <c r="H39" s="30">
        <v>2235.808</v>
      </c>
    </row>
    <row r="40" spans="1:15" x14ac:dyDescent="0.2">
      <c r="A40" s="39" t="s">
        <v>62</v>
      </c>
      <c r="C40" s="30">
        <f t="shared" ref="C40:H40" si="10">C39-$B$5</f>
        <v>2195.41</v>
      </c>
      <c r="D40" s="30">
        <f t="shared" si="10"/>
        <v>1420.5260000000001</v>
      </c>
      <c r="E40" s="30">
        <f t="shared" si="10"/>
        <v>1290.7180000000001</v>
      </c>
      <c r="F40" s="30">
        <f t="shared" si="10"/>
        <v>1597.93</v>
      </c>
      <c r="G40" s="30">
        <f t="shared" si="10"/>
        <v>2050.1990000000001</v>
      </c>
      <c r="H40" s="30">
        <f t="shared" si="10"/>
        <v>1764.18</v>
      </c>
    </row>
    <row r="41" spans="1:15" x14ac:dyDescent="0.2">
      <c r="A41" s="39" t="s">
        <v>61</v>
      </c>
      <c r="C41" s="30">
        <v>5.6340000000000003</v>
      </c>
      <c r="D41" s="30">
        <v>3.831</v>
      </c>
      <c r="E41" s="30">
        <v>7.0739999999999998</v>
      </c>
      <c r="F41" s="30">
        <v>9.35</v>
      </c>
      <c r="G41" s="30">
        <v>0.36799999999999999</v>
      </c>
      <c r="H41" s="30">
        <v>3.335</v>
      </c>
    </row>
    <row r="42" spans="1:15" x14ac:dyDescent="0.2">
      <c r="A42" s="39" t="s">
        <v>60</v>
      </c>
      <c r="C42" s="30">
        <f t="shared" ref="C42:H42" si="11">SQRT((C41^2)+25)</f>
        <v>7.5327256687071777</v>
      </c>
      <c r="D42" s="30">
        <f t="shared" si="11"/>
        <v>6.2989333223967376</v>
      </c>
      <c r="E42" s="30">
        <f t="shared" si="11"/>
        <v>8.6626483248484689</v>
      </c>
      <c r="F42" s="30">
        <f t="shared" si="11"/>
        <v>10.602947703351177</v>
      </c>
      <c r="G42" s="30">
        <f t="shared" si="11"/>
        <v>5.0135241098452896</v>
      </c>
      <c r="H42" s="30">
        <f t="shared" si="11"/>
        <v>6.0101767860854141</v>
      </c>
    </row>
    <row r="43" spans="1:15" x14ac:dyDescent="0.2">
      <c r="A43" s="39" t="s">
        <v>59</v>
      </c>
      <c r="G43" s="30">
        <f>G40/$E$2</f>
        <v>0.96741689353351146</v>
      </c>
      <c r="H43" s="30">
        <f>H40/$E$2</f>
        <v>0.83245457403595946</v>
      </c>
    </row>
    <row r="45" spans="1:15" x14ac:dyDescent="0.2">
      <c r="A45" s="41" t="s">
        <v>561</v>
      </c>
      <c r="C45" s="30">
        <v>1</v>
      </c>
      <c r="D45" s="30">
        <v>1</v>
      </c>
    </row>
    <row r="46" spans="1:15" x14ac:dyDescent="0.2">
      <c r="A46" s="39" t="s">
        <v>63</v>
      </c>
      <c r="C46" s="30">
        <v>2429.1149999999998</v>
      </c>
      <c r="D46" s="30">
        <v>3512.1149999999998</v>
      </c>
      <c r="E46" s="30">
        <v>3294.2310000000002</v>
      </c>
      <c r="F46" s="30">
        <v>2832.192</v>
      </c>
      <c r="G46" s="30">
        <v>3132.712</v>
      </c>
    </row>
    <row r="47" spans="1:15" x14ac:dyDescent="0.2">
      <c r="A47" s="39" t="s">
        <v>62</v>
      </c>
      <c r="C47" s="30">
        <f>C46-$B$5</f>
        <v>1957.4869999999999</v>
      </c>
      <c r="D47" s="30">
        <f>D46-$B$5</f>
        <v>3040.4869999999996</v>
      </c>
      <c r="E47" s="30">
        <f>E46-$B$5</f>
        <v>2822.6030000000001</v>
      </c>
      <c r="F47" s="30">
        <f>F46-$B$5</f>
        <v>2360.5639999999999</v>
      </c>
      <c r="G47" s="30">
        <f>G46-$B$5</f>
        <v>2661.0839999999998</v>
      </c>
    </row>
    <row r="48" spans="1:15" x14ac:dyDescent="0.2">
      <c r="A48" s="39" t="s">
        <v>61</v>
      </c>
      <c r="C48" s="30">
        <v>3.8650000000000002</v>
      </c>
      <c r="D48" s="30">
        <v>3.964</v>
      </c>
      <c r="E48" s="30">
        <v>3.2989999999999999</v>
      </c>
      <c r="F48" s="30">
        <v>1.1259999999999999</v>
      </c>
      <c r="G48" s="30">
        <v>0.498</v>
      </c>
    </row>
    <row r="49" spans="1:7" x14ac:dyDescent="0.2">
      <c r="A49" s="39" t="s">
        <v>60</v>
      </c>
      <c r="C49" s="30">
        <f>SQRT((C48^2)+36)</f>
        <v>7.1371020029140677</v>
      </c>
      <c r="D49" s="30">
        <f>SQRT((D48^2)+36)</f>
        <v>7.191195728110868</v>
      </c>
      <c r="E49" s="30">
        <f>SQRT((E48^2)+36)</f>
        <v>6.8471454636220486</v>
      </c>
      <c r="F49" s="30">
        <f>SQRT((F48^2)+36)</f>
        <v>6.1047420911943533</v>
      </c>
      <c r="G49" s="30">
        <f>SQRT((G48^2)+36)</f>
        <v>6.0206315283365415</v>
      </c>
    </row>
    <row r="50" spans="1:7" x14ac:dyDescent="0.2">
      <c r="A50" s="39" t="s">
        <v>59</v>
      </c>
      <c r="E50" s="30">
        <f>E47/$E$2</f>
        <v>1.3318872099432153</v>
      </c>
      <c r="F50" s="30">
        <f>F47/$E$2</f>
        <v>1.1138672352620598</v>
      </c>
      <c r="G50" s="30">
        <f>G47/$E$2</f>
        <v>1.2556720673026036</v>
      </c>
    </row>
    <row r="52" spans="1:7" x14ac:dyDescent="0.2">
      <c r="A52" s="41" t="s">
        <v>560</v>
      </c>
    </row>
    <row r="53" spans="1:7" x14ac:dyDescent="0.2">
      <c r="A53" s="39" t="s">
        <v>63</v>
      </c>
      <c r="C53" s="30">
        <v>4604</v>
      </c>
      <c r="D53" s="30">
        <v>4942.6350000000002</v>
      </c>
      <c r="E53" s="30">
        <v>3621.904</v>
      </c>
      <c r="F53" s="30">
        <v>3186.058</v>
      </c>
    </row>
    <row r="54" spans="1:7" x14ac:dyDescent="0.2">
      <c r="A54" s="39" t="s">
        <v>62</v>
      </c>
      <c r="C54" s="30">
        <f>C53-$B$5</f>
        <v>4132.3720000000003</v>
      </c>
      <c r="D54" s="30">
        <f>D53-$B$5</f>
        <v>4471.0070000000005</v>
      </c>
      <c r="E54" s="30">
        <f>E53-$B$5</f>
        <v>3150.2759999999998</v>
      </c>
      <c r="F54" s="30">
        <f>F53-$B$5</f>
        <v>2714.43</v>
      </c>
    </row>
    <row r="55" spans="1:7" x14ac:dyDescent="0.2">
      <c r="A55" s="39" t="s">
        <v>61</v>
      </c>
      <c r="C55" s="30">
        <v>0.94199999999999995</v>
      </c>
      <c r="D55" s="30">
        <v>3.0059999999999998</v>
      </c>
      <c r="E55" s="30">
        <v>3.972</v>
      </c>
      <c r="F55" s="30">
        <v>7.5410000000000004</v>
      </c>
    </row>
    <row r="56" spans="1:7" x14ac:dyDescent="0.2">
      <c r="A56" s="39" t="s">
        <v>60</v>
      </c>
      <c r="C56" s="30">
        <f>SQRT((C55^2)+49)</f>
        <v>7.0630987533801335</v>
      </c>
      <c r="D56" s="30">
        <f>SQRT((D55^2)+49)</f>
        <v>7.6181386177989694</v>
      </c>
      <c r="E56" s="30">
        <f>SQRT((E55^2)+49)</f>
        <v>8.0484025744243173</v>
      </c>
      <c r="F56" s="30">
        <f>SQRT((F55^2)+49)</f>
        <v>10.289153560910634</v>
      </c>
    </row>
    <row r="57" spans="1:7" x14ac:dyDescent="0.2">
      <c r="A57" s="39" t="s">
        <v>59</v>
      </c>
      <c r="C57" s="30">
        <f>C54/$E$2</f>
        <v>1.9499211945595836</v>
      </c>
      <c r="D57" s="30">
        <f>D54/$E$2</f>
        <v>2.1097111562860897</v>
      </c>
      <c r="E57" s="30">
        <f>E54/$E$2</f>
        <v>1.4865045889170641</v>
      </c>
      <c r="F57" s="30">
        <f>F54/$E$2</f>
        <v>1.280844170889835</v>
      </c>
    </row>
    <row r="59" spans="1:7" x14ac:dyDescent="0.2">
      <c r="A59" s="41" t="s">
        <v>559</v>
      </c>
      <c r="C59" s="30">
        <v>1</v>
      </c>
    </row>
    <row r="60" spans="1:7" x14ac:dyDescent="0.2">
      <c r="A60" s="39" t="s">
        <v>63</v>
      </c>
      <c r="C60" s="30">
        <v>1873</v>
      </c>
      <c r="D60" s="30">
        <v>6259.6149999999998</v>
      </c>
      <c r="E60" s="30">
        <v>10176.135</v>
      </c>
      <c r="F60" s="30">
        <v>6536.6350000000002</v>
      </c>
    </row>
    <row r="61" spans="1:7" x14ac:dyDescent="0.2">
      <c r="A61" s="39" t="s">
        <v>62</v>
      </c>
      <c r="C61" s="30">
        <f>C60-$B$5</f>
        <v>1401.3720000000001</v>
      </c>
      <c r="D61" s="30">
        <f>D60-$B$5</f>
        <v>5787.9870000000001</v>
      </c>
      <c r="E61" s="30">
        <f>E60-$B$5</f>
        <v>9704.5069999999996</v>
      </c>
      <c r="F61" s="30">
        <f>F60-$B$5</f>
        <v>6065.0070000000005</v>
      </c>
    </row>
    <row r="62" spans="1:7" x14ac:dyDescent="0.2">
      <c r="A62" s="39" t="s">
        <v>61</v>
      </c>
      <c r="C62" s="30">
        <v>8.907</v>
      </c>
      <c r="D62" s="30">
        <v>0.94</v>
      </c>
      <c r="E62" s="30">
        <v>2.774</v>
      </c>
      <c r="F62" s="30">
        <v>7.3949999999999996</v>
      </c>
    </row>
    <row r="63" spans="1:7" x14ac:dyDescent="0.2">
      <c r="A63" s="39" t="s">
        <v>60</v>
      </c>
      <c r="C63" s="30">
        <f>SQRT((C62^2)+64)</f>
        <v>11.972244944036186</v>
      </c>
      <c r="D63" s="30">
        <f>SQRT((D62^2)+64)</f>
        <v>8.055035692037622</v>
      </c>
      <c r="E63" s="30">
        <f>SQRT((E62^2)+64)</f>
        <v>8.4672944911583183</v>
      </c>
      <c r="F63" s="30">
        <f>SQRT((F62^2)+64)</f>
        <v>10.894311589081708</v>
      </c>
    </row>
    <row r="64" spans="1:7" x14ac:dyDescent="0.2">
      <c r="A64" s="39" t="s">
        <v>59</v>
      </c>
      <c r="D64" s="30">
        <f>D61/$E$2</f>
        <v>2.7311477585114168</v>
      </c>
      <c r="E64" s="30">
        <f>E61/$E$2</f>
        <v>4.5792159762121702</v>
      </c>
      <c r="F64" s="30">
        <f>F61/$E$2</f>
        <v>2.8618637660046669</v>
      </c>
    </row>
    <row r="66" spans="1:13" x14ac:dyDescent="0.2">
      <c r="A66" s="41" t="s">
        <v>558</v>
      </c>
    </row>
    <row r="67" spans="1:13" x14ac:dyDescent="0.2">
      <c r="A67" s="39" t="s">
        <v>63</v>
      </c>
      <c r="C67" s="30">
        <v>4464.7120000000004</v>
      </c>
      <c r="D67" s="30">
        <v>7916.2309999999998</v>
      </c>
      <c r="E67" s="30">
        <v>4347</v>
      </c>
      <c r="F67" s="30">
        <v>4002.8270000000002</v>
      </c>
    </row>
    <row r="68" spans="1:13" x14ac:dyDescent="0.2">
      <c r="A68" s="39" t="s">
        <v>62</v>
      </c>
      <c r="C68" s="30">
        <f>C67-$B$5</f>
        <v>3993.0840000000003</v>
      </c>
      <c r="D68" s="30">
        <f>D67-$B$5</f>
        <v>7444.6030000000001</v>
      </c>
      <c r="E68" s="30">
        <f>E67-$B$5</f>
        <v>3875.3719999999998</v>
      </c>
      <c r="F68" s="30">
        <f>F67-$B$5</f>
        <v>3531.1990000000001</v>
      </c>
    </row>
    <row r="69" spans="1:13" x14ac:dyDescent="0.2">
      <c r="A69" s="39" t="s">
        <v>61</v>
      </c>
      <c r="C69" s="30">
        <v>7.25</v>
      </c>
      <c r="D69" s="30">
        <v>2.7970000000000002</v>
      </c>
      <c r="E69" s="30">
        <v>1.5189999999999999</v>
      </c>
      <c r="F69" s="30">
        <v>0.51700000000000002</v>
      </c>
    </row>
    <row r="70" spans="1:13" x14ac:dyDescent="0.2">
      <c r="A70" s="39" t="s">
        <v>60</v>
      </c>
      <c r="C70" s="30">
        <f>SQRT((C69^2)+81)</f>
        <v>11.55692433132622</v>
      </c>
      <c r="D70" s="30">
        <f>SQRT((D69^2)+81)</f>
        <v>9.4246065700378185</v>
      </c>
      <c r="E70" s="30">
        <f>SQRT((E69^2)+81)</f>
        <v>9.1272866176098582</v>
      </c>
      <c r="F70" s="30">
        <f>SQRT((F69^2)+81)</f>
        <v>9.014837158817679</v>
      </c>
    </row>
    <row r="71" spans="1:13" x14ac:dyDescent="0.2">
      <c r="A71" s="39" t="s">
        <v>59</v>
      </c>
      <c r="C71" s="30">
        <f>C68/$E$2</f>
        <v>1.884196079940712</v>
      </c>
      <c r="D71" s="30">
        <f>D68/$E$2</f>
        <v>3.5128466592024772</v>
      </c>
      <c r="E71" s="30">
        <f>E68/$E$2</f>
        <v>1.8286519218508792</v>
      </c>
      <c r="F71" s="30">
        <f>F68/$E$2</f>
        <v>1.6662487724502071</v>
      </c>
    </row>
    <row r="73" spans="1:13" x14ac:dyDescent="0.2">
      <c r="A73" s="41" t="s">
        <v>557</v>
      </c>
      <c r="C73" s="30">
        <v>1</v>
      </c>
      <c r="D73" s="30">
        <v>1</v>
      </c>
      <c r="E73" s="30">
        <v>1</v>
      </c>
      <c r="F73" s="30">
        <v>1</v>
      </c>
      <c r="G73" s="30">
        <v>1</v>
      </c>
      <c r="H73" s="30">
        <v>1</v>
      </c>
    </row>
    <row r="74" spans="1:13" x14ac:dyDescent="0.2">
      <c r="A74" s="39" t="s">
        <v>63</v>
      </c>
      <c r="C74" s="30">
        <v>1791.519</v>
      </c>
      <c r="D74" s="30">
        <v>2352.404</v>
      </c>
      <c r="E74" s="30">
        <v>4287.9620000000004</v>
      </c>
      <c r="F74" s="30">
        <v>3157.8270000000002</v>
      </c>
      <c r="G74" s="30">
        <v>2362.038</v>
      </c>
      <c r="H74" s="30">
        <v>2637.2310000000002</v>
      </c>
      <c r="I74" s="30">
        <v>11246.75</v>
      </c>
      <c r="J74" s="30">
        <v>13668.846</v>
      </c>
      <c r="K74" s="30">
        <v>3502.4229999999998</v>
      </c>
      <c r="L74" s="30">
        <v>3394.5189999999998</v>
      </c>
      <c r="M74" s="30">
        <v>5060</v>
      </c>
    </row>
    <row r="75" spans="1:13" x14ac:dyDescent="0.2">
      <c r="A75" s="39" t="s">
        <v>62</v>
      </c>
      <c r="C75" s="30">
        <f t="shared" ref="C75:M75" si="12">C74-$B$5</f>
        <v>1319.8910000000001</v>
      </c>
      <c r="D75" s="30">
        <f t="shared" si="12"/>
        <v>1880.7760000000001</v>
      </c>
      <c r="E75" s="30">
        <f t="shared" si="12"/>
        <v>3816.3340000000003</v>
      </c>
      <c r="F75" s="30">
        <f t="shared" si="12"/>
        <v>2686.1990000000001</v>
      </c>
      <c r="G75" s="30">
        <f t="shared" si="12"/>
        <v>1890.41</v>
      </c>
      <c r="H75" s="30">
        <f t="shared" si="12"/>
        <v>2165.6030000000001</v>
      </c>
      <c r="I75" s="30">
        <f t="shared" si="12"/>
        <v>10775.121999999999</v>
      </c>
      <c r="J75" s="30">
        <f t="shared" si="12"/>
        <v>13197.217999999999</v>
      </c>
      <c r="K75" s="30">
        <f t="shared" si="12"/>
        <v>3030.7949999999996</v>
      </c>
      <c r="L75" s="30">
        <f t="shared" si="12"/>
        <v>2922.8909999999996</v>
      </c>
      <c r="M75" s="30">
        <f t="shared" si="12"/>
        <v>4588.3720000000003</v>
      </c>
    </row>
    <row r="76" spans="1:13" x14ac:dyDescent="0.2">
      <c r="A76" s="39" t="s">
        <v>61</v>
      </c>
      <c r="C76" s="30">
        <v>9.3800000000000008</v>
      </c>
      <c r="D76" s="30">
        <v>7.4089999999999998</v>
      </c>
      <c r="E76" s="30">
        <v>5.1529999999999996</v>
      </c>
      <c r="F76" s="30">
        <v>2.3079999999999998</v>
      </c>
      <c r="G76" s="30">
        <v>3.198</v>
      </c>
      <c r="H76" s="30">
        <v>5.0179999999999998</v>
      </c>
      <c r="I76" s="30">
        <v>4.2069999999999999</v>
      </c>
      <c r="J76" s="30">
        <v>3.1280000000000001</v>
      </c>
      <c r="K76" s="30">
        <v>2.871</v>
      </c>
      <c r="L76" s="30">
        <v>2.94</v>
      </c>
      <c r="M76" s="30">
        <v>2.2040000000000002</v>
      </c>
    </row>
    <row r="77" spans="1:13" x14ac:dyDescent="0.2">
      <c r="A77" s="39" t="s">
        <v>60</v>
      </c>
      <c r="C77" s="30">
        <f t="shared" ref="C77:M77" si="13">SQRT((C76^1)+1)</f>
        <v>3.2218007387174024</v>
      </c>
      <c r="D77" s="30">
        <f t="shared" si="13"/>
        <v>2.8998275810813303</v>
      </c>
      <c r="E77" s="30">
        <f t="shared" si="13"/>
        <v>2.4805241381611265</v>
      </c>
      <c r="F77" s="30">
        <f t="shared" si="13"/>
        <v>1.8187908071023451</v>
      </c>
      <c r="G77" s="30">
        <f t="shared" si="13"/>
        <v>2.0489021450523204</v>
      </c>
      <c r="H77" s="30">
        <f t="shared" si="13"/>
        <v>2.4531612258471722</v>
      </c>
      <c r="I77" s="30">
        <f t="shared" si="13"/>
        <v>2.2818851855428659</v>
      </c>
      <c r="J77" s="30">
        <f t="shared" si="13"/>
        <v>2.0317480158720471</v>
      </c>
      <c r="K77" s="30">
        <f t="shared" si="13"/>
        <v>1.9674857051577275</v>
      </c>
      <c r="L77" s="30">
        <f t="shared" si="13"/>
        <v>1.9849433241279208</v>
      </c>
      <c r="M77" s="30">
        <f t="shared" si="13"/>
        <v>1.7899720668211558</v>
      </c>
    </row>
    <row r="78" spans="1:13" x14ac:dyDescent="0.2">
      <c r="A78" s="39" t="s">
        <v>59</v>
      </c>
      <c r="I78" s="30">
        <f>I75/$E$2</f>
        <v>5.0844015886675367</v>
      </c>
      <c r="J78" s="30">
        <f>J75/$E$2</f>
        <v>6.2273036133782815</v>
      </c>
      <c r="K78" s="30">
        <f>K75/$E$2</f>
        <v>1.4301257018645011</v>
      </c>
      <c r="L78" s="30">
        <f>L75/$E$2</f>
        <v>1.3792095944623222</v>
      </c>
      <c r="M78" s="30">
        <f>M75/$E$2</f>
        <v>2.1650915772645214</v>
      </c>
    </row>
    <row r="80" spans="1:13" x14ac:dyDescent="0.2">
      <c r="A80" s="41" t="s">
        <v>556</v>
      </c>
      <c r="C80" s="30">
        <v>1</v>
      </c>
      <c r="D80" s="30">
        <v>1</v>
      </c>
    </row>
    <row r="81" spans="1:13" x14ac:dyDescent="0.2">
      <c r="A81" s="39" t="s">
        <v>63</v>
      </c>
      <c r="C81" s="30">
        <v>2318.404</v>
      </c>
      <c r="D81" s="30">
        <v>1955.25</v>
      </c>
      <c r="E81" s="30">
        <v>4106.6729999999998</v>
      </c>
      <c r="F81" s="30">
        <v>6738.2879999999996</v>
      </c>
      <c r="G81" s="30">
        <v>9804.6540000000005</v>
      </c>
      <c r="H81" s="30">
        <v>8551.5580000000009</v>
      </c>
      <c r="I81" s="30">
        <v>8099.1540000000005</v>
      </c>
    </row>
    <row r="82" spans="1:13" x14ac:dyDescent="0.2">
      <c r="A82" s="39" t="s">
        <v>62</v>
      </c>
      <c r="C82" s="30">
        <f t="shared" ref="C82:I82" si="14">C81-$B$5</f>
        <v>1846.7760000000001</v>
      </c>
      <c r="D82" s="30">
        <f t="shared" si="14"/>
        <v>1483.6220000000001</v>
      </c>
      <c r="E82" s="30">
        <f t="shared" si="14"/>
        <v>3635.0449999999996</v>
      </c>
      <c r="F82" s="30">
        <f t="shared" si="14"/>
        <v>6266.66</v>
      </c>
      <c r="G82" s="30">
        <f t="shared" si="14"/>
        <v>9333.0259999999998</v>
      </c>
      <c r="H82" s="30">
        <f t="shared" si="14"/>
        <v>8079.9300000000012</v>
      </c>
      <c r="I82" s="30">
        <f t="shared" si="14"/>
        <v>7627.5260000000007</v>
      </c>
    </row>
    <row r="83" spans="1:13" x14ac:dyDescent="0.2">
      <c r="A83" s="39" t="s">
        <v>61</v>
      </c>
      <c r="C83" s="30">
        <v>9.2940000000000005</v>
      </c>
      <c r="D83" s="30">
        <v>8.4819999999999993</v>
      </c>
      <c r="E83" s="30">
        <v>5.077</v>
      </c>
      <c r="F83" s="30">
        <v>4.0869999999999997</v>
      </c>
      <c r="G83" s="30">
        <v>3.427</v>
      </c>
      <c r="H83" s="30">
        <v>3.1</v>
      </c>
      <c r="I83" s="30">
        <v>2.17</v>
      </c>
    </row>
    <row r="84" spans="1:13" x14ac:dyDescent="0.2">
      <c r="A84" s="39" t="s">
        <v>60</v>
      </c>
      <c r="C84" s="30">
        <f t="shared" ref="C84:I84" si="15">SQRT((C83^2)+4)</f>
        <v>9.5067573861964103</v>
      </c>
      <c r="D84" s="30">
        <f t="shared" si="15"/>
        <v>8.7146040644426286</v>
      </c>
      <c r="E84" s="30">
        <f t="shared" si="15"/>
        <v>5.4567324471701921</v>
      </c>
      <c r="F84" s="30">
        <f t="shared" si="15"/>
        <v>4.5501174710110508</v>
      </c>
      <c r="G84" s="30">
        <f t="shared" si="15"/>
        <v>3.9679124234287229</v>
      </c>
      <c r="H84" s="30">
        <f t="shared" si="15"/>
        <v>3.6891733491393435</v>
      </c>
      <c r="I84" s="30">
        <f t="shared" si="15"/>
        <v>2.9510845463998487</v>
      </c>
    </row>
    <row r="85" spans="1:13" x14ac:dyDescent="0.2">
      <c r="A85" s="39" t="s">
        <v>59</v>
      </c>
      <c r="E85" s="30">
        <f>E82/$E$2</f>
        <v>1.7152500521922616</v>
      </c>
      <c r="F85" s="30">
        <f>F82/$E$2</f>
        <v>2.9570167335125586</v>
      </c>
      <c r="G85" s="30">
        <f>G82/$E$2</f>
        <v>4.4039271408226686</v>
      </c>
      <c r="H85" s="30">
        <f>H82/$E$2</f>
        <v>3.8126351542305041</v>
      </c>
      <c r="I85" s="30">
        <f>I82/$E$2</f>
        <v>3.5991615976137394</v>
      </c>
    </row>
    <row r="87" spans="1:13" x14ac:dyDescent="0.2">
      <c r="A87" s="41" t="s">
        <v>555</v>
      </c>
      <c r="C87" s="30">
        <v>1</v>
      </c>
      <c r="D87" s="30">
        <v>1</v>
      </c>
      <c r="E87" s="30">
        <v>1</v>
      </c>
      <c r="F87" s="30">
        <v>1</v>
      </c>
      <c r="G87" s="30">
        <v>1</v>
      </c>
      <c r="H87" s="30">
        <v>1</v>
      </c>
    </row>
    <row r="88" spans="1:13" x14ac:dyDescent="0.2">
      <c r="A88" s="39" t="s">
        <v>63</v>
      </c>
      <c r="C88" s="30">
        <v>2066.308</v>
      </c>
      <c r="D88" s="30">
        <v>2117.038</v>
      </c>
      <c r="E88" s="30">
        <v>2747.2689999999998</v>
      </c>
      <c r="F88" s="30">
        <v>2376.5770000000002</v>
      </c>
      <c r="G88" s="30">
        <v>2162.1729999999998</v>
      </c>
      <c r="H88" s="30">
        <v>1928.115</v>
      </c>
      <c r="I88" s="30">
        <v>5235.3270000000002</v>
      </c>
      <c r="J88" s="30">
        <v>6181.808</v>
      </c>
      <c r="K88" s="30">
        <v>5444.5959999999995</v>
      </c>
    </row>
    <row r="89" spans="1:13" x14ac:dyDescent="0.2">
      <c r="A89" s="39" t="s">
        <v>62</v>
      </c>
      <c r="C89" s="30">
        <f t="shared" ref="C89:K89" si="16">C88-$B$5</f>
        <v>1594.68</v>
      </c>
      <c r="D89" s="30">
        <f t="shared" si="16"/>
        <v>1645.41</v>
      </c>
      <c r="E89" s="30">
        <f t="shared" si="16"/>
        <v>2275.6409999999996</v>
      </c>
      <c r="F89" s="30">
        <f t="shared" si="16"/>
        <v>1904.9490000000003</v>
      </c>
      <c r="G89" s="30">
        <f t="shared" si="16"/>
        <v>1690.5449999999998</v>
      </c>
      <c r="H89" s="30">
        <f t="shared" si="16"/>
        <v>1456.4870000000001</v>
      </c>
      <c r="I89" s="30">
        <f t="shared" si="16"/>
        <v>4763.6990000000005</v>
      </c>
      <c r="J89" s="30">
        <f t="shared" si="16"/>
        <v>5710.18</v>
      </c>
      <c r="K89" s="30">
        <f t="shared" si="16"/>
        <v>4972.9679999999998</v>
      </c>
    </row>
    <row r="90" spans="1:13" x14ac:dyDescent="0.2">
      <c r="A90" s="39" t="s">
        <v>61</v>
      </c>
      <c r="C90" s="30">
        <v>6.149</v>
      </c>
      <c r="D90" s="30">
        <v>2.681</v>
      </c>
      <c r="E90" s="30">
        <v>2.0720000000000001</v>
      </c>
      <c r="F90" s="30">
        <v>3.33</v>
      </c>
      <c r="G90" s="30">
        <v>4.0679999999999996</v>
      </c>
      <c r="H90" s="30">
        <v>4.8029999999999999</v>
      </c>
      <c r="I90" s="30">
        <v>3.6909999999999998</v>
      </c>
      <c r="J90" s="30">
        <v>2.3130000000000002</v>
      </c>
      <c r="K90" s="30">
        <v>4.1070000000000002</v>
      </c>
    </row>
    <row r="91" spans="1:13" x14ac:dyDescent="0.2">
      <c r="A91" s="39" t="s">
        <v>60</v>
      </c>
      <c r="C91" s="30">
        <f t="shared" ref="C91:K91" si="17">SQRT((C90^2)+9)</f>
        <v>6.8417980823757141</v>
      </c>
      <c r="D91" s="30">
        <f t="shared" si="17"/>
        <v>4.0234016702288127</v>
      </c>
      <c r="E91" s="30">
        <f t="shared" si="17"/>
        <v>3.645981897925441</v>
      </c>
      <c r="F91" s="30">
        <f t="shared" si="17"/>
        <v>4.4820642565675026</v>
      </c>
      <c r="G91" s="30">
        <f t="shared" si="17"/>
        <v>5.0545646696822466</v>
      </c>
      <c r="H91" s="30">
        <f t="shared" si="17"/>
        <v>5.6629328973598128</v>
      </c>
      <c r="I91" s="30">
        <f t="shared" si="17"/>
        <v>4.7564147211949459</v>
      </c>
      <c r="J91" s="30">
        <f t="shared" si="17"/>
        <v>3.7881352932544532</v>
      </c>
      <c r="K91" s="30">
        <f t="shared" si="17"/>
        <v>5.0860052103787705</v>
      </c>
    </row>
    <row r="92" spans="1:13" x14ac:dyDescent="0.2">
      <c r="A92" s="39" t="s">
        <v>59</v>
      </c>
      <c r="I92" s="30">
        <f>I89/$E$2</f>
        <v>2.2478222300901987</v>
      </c>
      <c r="J92" s="30">
        <f>J89/$E$2</f>
        <v>2.6944333682326382</v>
      </c>
      <c r="K92" s="30">
        <f>K89/$E$2</f>
        <v>2.3465689204811624</v>
      </c>
    </row>
    <row r="94" spans="1:13" x14ac:dyDescent="0.2">
      <c r="A94" s="41" t="s">
        <v>554</v>
      </c>
      <c r="C94" s="30">
        <v>1</v>
      </c>
      <c r="D94" s="30">
        <v>1</v>
      </c>
      <c r="E94" s="30">
        <v>1</v>
      </c>
      <c r="F94" s="30">
        <v>1</v>
      </c>
      <c r="G94" s="30">
        <v>1</v>
      </c>
      <c r="H94" s="30">
        <v>1</v>
      </c>
      <c r="I94" s="30">
        <v>1</v>
      </c>
      <c r="J94" s="30">
        <v>1</v>
      </c>
      <c r="K94" s="30">
        <v>1</v>
      </c>
      <c r="L94" s="30">
        <v>1</v>
      </c>
    </row>
    <row r="95" spans="1:13" x14ac:dyDescent="0.2">
      <c r="A95" s="39" t="s">
        <v>63</v>
      </c>
      <c r="C95" s="30">
        <v>1822.308</v>
      </c>
      <c r="D95" s="30">
        <v>3414.3850000000002</v>
      </c>
      <c r="E95" s="30">
        <v>2750.654</v>
      </c>
      <c r="F95" s="30">
        <v>3651.962</v>
      </c>
      <c r="G95" s="30">
        <v>3761.1350000000002</v>
      </c>
      <c r="H95" s="30">
        <v>2287.9229999999998</v>
      </c>
      <c r="I95" s="30">
        <v>2033.712</v>
      </c>
      <c r="J95" s="30">
        <v>2060.9229999999998</v>
      </c>
      <c r="K95" s="30">
        <v>2287.9229999999998</v>
      </c>
      <c r="L95" s="30">
        <v>4259.3270000000002</v>
      </c>
      <c r="M95" s="30">
        <v>6041.0479999999998</v>
      </c>
    </row>
    <row r="96" spans="1:13" x14ac:dyDescent="0.2">
      <c r="A96" s="39" t="s">
        <v>62</v>
      </c>
      <c r="C96" s="30">
        <f t="shared" ref="C96:M96" si="18">C95-$B$5</f>
        <v>1350.68</v>
      </c>
      <c r="D96" s="30">
        <f t="shared" si="18"/>
        <v>2942.7570000000001</v>
      </c>
      <c r="E96" s="30">
        <f t="shared" si="18"/>
        <v>2279.0259999999998</v>
      </c>
      <c r="F96" s="30">
        <f t="shared" si="18"/>
        <v>3180.3339999999998</v>
      </c>
      <c r="G96" s="30">
        <f t="shared" si="18"/>
        <v>3289.5070000000001</v>
      </c>
      <c r="H96" s="30">
        <f t="shared" si="18"/>
        <v>1816.2949999999998</v>
      </c>
      <c r="I96" s="30">
        <f t="shared" si="18"/>
        <v>1562.0840000000001</v>
      </c>
      <c r="J96" s="30">
        <f t="shared" si="18"/>
        <v>1589.2949999999998</v>
      </c>
      <c r="K96" s="30">
        <f t="shared" si="18"/>
        <v>1816.2949999999998</v>
      </c>
      <c r="L96" s="30">
        <f t="shared" si="18"/>
        <v>3787.6990000000001</v>
      </c>
      <c r="M96" s="30">
        <f t="shared" si="18"/>
        <v>5569.42</v>
      </c>
    </row>
    <row r="97" spans="1:13" x14ac:dyDescent="0.2">
      <c r="A97" s="39" t="s">
        <v>61</v>
      </c>
      <c r="C97" s="30">
        <v>6.0090000000000003</v>
      </c>
      <c r="D97" s="30">
        <v>2.931</v>
      </c>
      <c r="E97" s="30">
        <v>1.946</v>
      </c>
      <c r="F97" s="30">
        <v>1.915</v>
      </c>
      <c r="G97" s="30">
        <v>3.1040000000000001</v>
      </c>
      <c r="H97" s="30">
        <v>2.7090000000000001</v>
      </c>
      <c r="I97" s="30">
        <v>3.7559999999999998</v>
      </c>
      <c r="J97" s="30">
        <v>4.6029999999999998</v>
      </c>
      <c r="K97" s="30">
        <v>2.653</v>
      </c>
      <c r="L97" s="30">
        <v>2.4580000000000002</v>
      </c>
      <c r="M97" s="30">
        <v>3.9670000000000001</v>
      </c>
    </row>
    <row r="98" spans="1:13" x14ac:dyDescent="0.2">
      <c r="A98" s="39" t="s">
        <v>60</v>
      </c>
      <c r="C98" s="30">
        <f t="shared" ref="C98:M98" si="19">SQRT((C97^2)+16)</f>
        <v>7.2185927298885622</v>
      </c>
      <c r="D98" s="30">
        <f t="shared" si="19"/>
        <v>4.9589072384951907</v>
      </c>
      <c r="E98" s="30">
        <f t="shared" si="19"/>
        <v>4.4482486441295075</v>
      </c>
      <c r="F98" s="30">
        <f t="shared" si="19"/>
        <v>4.4347745151247544</v>
      </c>
      <c r="G98" s="30">
        <f t="shared" si="19"/>
        <v>5.0630836453686996</v>
      </c>
      <c r="H98" s="30">
        <f t="shared" si="19"/>
        <v>4.8310124197728994</v>
      </c>
      <c r="I98" s="30">
        <f t="shared" si="19"/>
        <v>5.4870334425807901</v>
      </c>
      <c r="J98" s="30">
        <f t="shared" si="19"/>
        <v>6.0981643959473573</v>
      </c>
      <c r="K98" s="30">
        <f t="shared" si="19"/>
        <v>4.7998342679721766</v>
      </c>
      <c r="L98" s="30">
        <f t="shared" si="19"/>
        <v>4.6948657062795736</v>
      </c>
      <c r="M98" s="30">
        <f t="shared" si="19"/>
        <v>5.6335680523093004</v>
      </c>
    </row>
    <row r="99" spans="1:13" x14ac:dyDescent="0.2">
      <c r="A99" s="39" t="s">
        <v>59</v>
      </c>
      <c r="M99" s="30">
        <f>M96/E2</f>
        <v>2.6280136685187188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1F7D-FD80-0945-BCC8-49D4EBBD3891}">
  <dimension ref="A1:U50"/>
  <sheetViews>
    <sheetView topLeftCell="A2" zoomScale="170" zoomScaleNormal="170" workbookViewId="0">
      <selection activeCell="C26" sqref="C26"/>
    </sheetView>
  </sheetViews>
  <sheetFormatPr baseColWidth="10" defaultRowHeight="16" x14ac:dyDescent="0.2"/>
  <cols>
    <col min="1" max="1" width="26.1640625" style="30" customWidth="1"/>
    <col min="2" max="16384" width="10.83203125" style="30"/>
  </cols>
  <sheetData>
    <row r="1" spans="1:21" x14ac:dyDescent="0.2">
      <c r="A1" s="37"/>
      <c r="B1" s="37"/>
      <c r="C1" s="36" t="s">
        <v>294</v>
      </c>
      <c r="D1" s="31"/>
      <c r="E1" s="36" t="s">
        <v>31</v>
      </c>
      <c r="F1" s="31"/>
      <c r="G1" s="31"/>
    </row>
    <row r="2" spans="1:21" x14ac:dyDescent="0.2">
      <c r="A2" s="31"/>
      <c r="B2" s="31"/>
      <c r="C2" s="31">
        <f>AVERAGE(C6:F6,C14:H14,C22:G22,C30:G30)</f>
        <v>164.23965000000004</v>
      </c>
      <c r="D2" s="31"/>
      <c r="E2" s="31">
        <v>40.338000000000001</v>
      </c>
      <c r="F2" s="31"/>
      <c r="G2" s="31"/>
    </row>
    <row r="3" spans="1:21" x14ac:dyDescent="0.2">
      <c r="A3" s="31"/>
      <c r="B3" s="31"/>
      <c r="C3" s="31"/>
      <c r="D3" s="31"/>
      <c r="E3" s="31"/>
      <c r="F3" s="31"/>
      <c r="G3" s="31"/>
    </row>
    <row r="4" spans="1:21" x14ac:dyDescent="0.2">
      <c r="A4" s="34" t="s">
        <v>475</v>
      </c>
      <c r="B4" s="35" t="s">
        <v>70</v>
      </c>
      <c r="C4" s="34">
        <v>1</v>
      </c>
      <c r="D4" s="34">
        <v>1</v>
      </c>
      <c r="E4" s="34">
        <v>1</v>
      </c>
      <c r="F4" s="34">
        <v>1</v>
      </c>
      <c r="G4" s="34" t="s">
        <v>283</v>
      </c>
      <c r="H4" s="34" t="s">
        <v>283</v>
      </c>
      <c r="I4" s="34" t="s">
        <v>283</v>
      </c>
      <c r="J4" s="34" t="s">
        <v>283</v>
      </c>
      <c r="K4" s="34" t="s">
        <v>283</v>
      </c>
      <c r="L4" s="34" t="s">
        <v>283</v>
      </c>
      <c r="M4" s="34" t="s">
        <v>283</v>
      </c>
      <c r="N4" s="34" t="s">
        <v>283</v>
      </c>
      <c r="O4" s="34" t="s">
        <v>283</v>
      </c>
      <c r="P4" s="34" t="s">
        <v>283</v>
      </c>
      <c r="Q4" s="34" t="s">
        <v>283</v>
      </c>
      <c r="R4" s="34" t="s">
        <v>283</v>
      </c>
      <c r="S4" s="31"/>
      <c r="T4" s="31"/>
      <c r="U4" s="31"/>
    </row>
    <row r="5" spans="1:21" x14ac:dyDescent="0.2">
      <c r="A5" s="31" t="s">
        <v>63</v>
      </c>
      <c r="B5" s="31">
        <v>249.97</v>
      </c>
      <c r="C5" s="31">
        <v>353.596</v>
      </c>
      <c r="D5" s="31">
        <v>315.13499999999999</v>
      </c>
      <c r="E5" s="31">
        <v>465.346</v>
      </c>
      <c r="F5" s="31">
        <v>531.88499999999999</v>
      </c>
      <c r="G5" s="31">
        <v>451.19200000000001</v>
      </c>
      <c r="H5" s="31">
        <v>490.01900000000001</v>
      </c>
      <c r="I5" s="31">
        <v>390.846</v>
      </c>
      <c r="J5" s="31">
        <v>404.78800000000001</v>
      </c>
      <c r="K5" s="38">
        <v>401.19200000000001</v>
      </c>
      <c r="L5" s="38">
        <v>324.25</v>
      </c>
      <c r="M5" s="31">
        <v>299.05799999999999</v>
      </c>
      <c r="N5" s="31">
        <v>383.154</v>
      </c>
      <c r="O5" s="31">
        <v>459.577</v>
      </c>
      <c r="P5" s="31">
        <v>407.03800000000001</v>
      </c>
      <c r="Q5" s="31">
        <v>384.673</v>
      </c>
      <c r="R5" s="31">
        <v>344.55799999999999</v>
      </c>
    </row>
    <row r="6" spans="1:21" x14ac:dyDescent="0.2">
      <c r="A6" s="31" t="s">
        <v>62</v>
      </c>
      <c r="B6" s="31"/>
      <c r="C6" s="31">
        <f t="shared" ref="C6:R6" si="0">C5-$B$5</f>
        <v>103.626</v>
      </c>
      <c r="D6" s="31">
        <f t="shared" si="0"/>
        <v>65.164999999999992</v>
      </c>
      <c r="E6" s="31">
        <f t="shared" si="0"/>
        <v>215.376</v>
      </c>
      <c r="F6" s="31">
        <f t="shared" si="0"/>
        <v>281.91499999999996</v>
      </c>
      <c r="G6" s="31">
        <f t="shared" si="0"/>
        <v>201.22200000000001</v>
      </c>
      <c r="H6" s="31">
        <f t="shared" si="0"/>
        <v>240.04900000000001</v>
      </c>
      <c r="I6" s="31">
        <f t="shared" si="0"/>
        <v>140.876</v>
      </c>
      <c r="J6" s="31">
        <f t="shared" si="0"/>
        <v>154.81800000000001</v>
      </c>
      <c r="K6" s="31">
        <f t="shared" si="0"/>
        <v>151.22200000000001</v>
      </c>
      <c r="L6" s="31">
        <f t="shared" si="0"/>
        <v>74.28</v>
      </c>
      <c r="M6" s="31">
        <f t="shared" si="0"/>
        <v>49.087999999999994</v>
      </c>
      <c r="N6" s="31">
        <f t="shared" si="0"/>
        <v>133.184</v>
      </c>
      <c r="O6" s="31">
        <f t="shared" si="0"/>
        <v>209.607</v>
      </c>
      <c r="P6" s="31">
        <f t="shared" si="0"/>
        <v>157.06800000000001</v>
      </c>
      <c r="Q6" s="31">
        <f t="shared" si="0"/>
        <v>134.703</v>
      </c>
      <c r="R6" s="31">
        <f t="shared" si="0"/>
        <v>94.587999999999994</v>
      </c>
    </row>
    <row r="7" spans="1:21" x14ac:dyDescent="0.2">
      <c r="A7" s="31" t="s">
        <v>61</v>
      </c>
      <c r="B7" s="31"/>
      <c r="C7" s="31">
        <v>6.4020000000000001</v>
      </c>
      <c r="D7" s="31">
        <v>5.2670000000000003</v>
      </c>
      <c r="E7" s="31">
        <v>2.8340000000000001</v>
      </c>
      <c r="F7" s="31">
        <v>2.0499999999999998</v>
      </c>
      <c r="G7" s="31">
        <v>2.3069999999999999</v>
      </c>
      <c r="H7" s="31">
        <v>1.55</v>
      </c>
      <c r="I7" s="31">
        <v>1.7010000000000001</v>
      </c>
      <c r="J7" s="31">
        <v>1.8839999999999999</v>
      </c>
      <c r="K7" s="38">
        <v>2.3109999999999999</v>
      </c>
      <c r="L7" s="38">
        <v>5.61</v>
      </c>
      <c r="M7" s="31">
        <v>10.318</v>
      </c>
      <c r="N7" s="31">
        <v>1.67</v>
      </c>
      <c r="O7" s="31">
        <v>1.9219999999999999</v>
      </c>
      <c r="P7" s="31">
        <v>1.2130000000000001</v>
      </c>
      <c r="Q7" s="31">
        <v>1.5229999999999999</v>
      </c>
      <c r="R7" s="31">
        <v>2.3839999999999999</v>
      </c>
    </row>
    <row r="8" spans="1:21" x14ac:dyDescent="0.2">
      <c r="A8" s="31" t="s">
        <v>60</v>
      </c>
      <c r="B8" s="31"/>
      <c r="C8" s="31">
        <f t="shared" ref="C8:R8" si="1">(0+C7^2)^(1/2)</f>
        <v>6.4020000000000001</v>
      </c>
      <c r="D8" s="31">
        <f t="shared" si="1"/>
        <v>5.2670000000000003</v>
      </c>
      <c r="E8" s="31">
        <f t="shared" si="1"/>
        <v>2.8340000000000001</v>
      </c>
      <c r="F8" s="31">
        <f t="shared" si="1"/>
        <v>2.0499999999999998</v>
      </c>
      <c r="G8" s="31">
        <f t="shared" si="1"/>
        <v>2.3069999999999999</v>
      </c>
      <c r="H8" s="31">
        <f t="shared" si="1"/>
        <v>1.55</v>
      </c>
      <c r="I8" s="31">
        <f t="shared" si="1"/>
        <v>1.7010000000000001</v>
      </c>
      <c r="J8" s="31">
        <f t="shared" si="1"/>
        <v>1.8839999999999999</v>
      </c>
      <c r="K8" s="31">
        <f t="shared" si="1"/>
        <v>2.3109999999999999</v>
      </c>
      <c r="L8" s="31">
        <f t="shared" si="1"/>
        <v>5.61</v>
      </c>
      <c r="M8" s="31">
        <f t="shared" si="1"/>
        <v>10.318</v>
      </c>
      <c r="N8" s="31">
        <f t="shared" si="1"/>
        <v>1.67</v>
      </c>
      <c r="O8" s="31">
        <f t="shared" si="1"/>
        <v>1.9219999999999999</v>
      </c>
      <c r="P8" s="31">
        <f t="shared" si="1"/>
        <v>1.2130000000000001</v>
      </c>
      <c r="Q8" s="31">
        <f t="shared" si="1"/>
        <v>1.5229999999999999</v>
      </c>
      <c r="R8" s="31">
        <f t="shared" si="1"/>
        <v>2.3839999999999999</v>
      </c>
    </row>
    <row r="9" spans="1:21" x14ac:dyDescent="0.2">
      <c r="A9" s="31" t="s">
        <v>376</v>
      </c>
      <c r="B9" s="31"/>
      <c r="C9" s="31"/>
      <c r="D9" s="31"/>
      <c r="E9" s="31"/>
      <c r="F9" s="31"/>
      <c r="G9" s="31">
        <f t="shared" ref="G9:R9" si="2">G8/$E$2*100</f>
        <v>5.7191729882492925</v>
      </c>
      <c r="H9" s="31">
        <f t="shared" si="2"/>
        <v>3.8425306162923301</v>
      </c>
      <c r="I9" s="31">
        <f t="shared" si="2"/>
        <v>4.2168674698795181</v>
      </c>
      <c r="J9" s="31">
        <f t="shared" si="2"/>
        <v>4.6705339878030641</v>
      </c>
      <c r="K9" s="31">
        <f t="shared" si="2"/>
        <v>5.7290891962913379</v>
      </c>
      <c r="L9" s="31">
        <f t="shared" si="2"/>
        <v>13.907481778967723</v>
      </c>
      <c r="M9" s="31">
        <f t="shared" si="2"/>
        <v>25.57885864445436</v>
      </c>
      <c r="N9" s="31">
        <f t="shared" si="2"/>
        <v>4.1400168575536709</v>
      </c>
      <c r="O9" s="31">
        <f t="shared" si="2"/>
        <v>4.7647379642024887</v>
      </c>
      <c r="P9" s="31">
        <f t="shared" si="2"/>
        <v>3.0070900887500622</v>
      </c>
      <c r="Q9" s="31">
        <f t="shared" si="2"/>
        <v>3.7755962120085278</v>
      </c>
      <c r="R9" s="31">
        <f t="shared" si="2"/>
        <v>5.9100599930586544</v>
      </c>
    </row>
    <row r="10" spans="1:21" x14ac:dyDescent="0.2">
      <c r="A10" s="31" t="s">
        <v>59</v>
      </c>
      <c r="B10" s="31"/>
      <c r="C10" s="31"/>
      <c r="D10" s="31"/>
      <c r="E10" s="32"/>
      <c r="F10" s="32"/>
      <c r="G10" s="32">
        <f t="shared" ref="G10:R10" si="3">G6/$C$2</f>
        <v>1.225173093099017</v>
      </c>
      <c r="H10" s="32">
        <f t="shared" si="3"/>
        <v>1.4615776397477707</v>
      </c>
      <c r="I10" s="32">
        <f t="shared" si="3"/>
        <v>0.85774659164215206</v>
      </c>
      <c r="J10" s="32">
        <f t="shared" si="3"/>
        <v>0.94263474136726411</v>
      </c>
      <c r="K10" s="32">
        <f t="shared" si="3"/>
        <v>0.92073990659380955</v>
      </c>
      <c r="L10" s="32">
        <f t="shared" si="3"/>
        <v>0.45226594187213615</v>
      </c>
      <c r="M10" s="32">
        <f t="shared" si="3"/>
        <v>0.29888032518335239</v>
      </c>
      <c r="N10" s="32">
        <f t="shared" si="3"/>
        <v>0.8109125902301908</v>
      </c>
      <c r="O10" s="32">
        <f t="shared" si="3"/>
        <v>1.2762265384759401</v>
      </c>
      <c r="P10" s="32">
        <f t="shared" si="3"/>
        <v>0.95633423475999846</v>
      </c>
      <c r="Q10" s="32">
        <f t="shared" si="3"/>
        <v>0.82016127043621911</v>
      </c>
      <c r="R10" s="32">
        <f t="shared" si="3"/>
        <v>0.57591452490309114</v>
      </c>
    </row>
    <row r="12" spans="1:21" x14ac:dyDescent="0.2">
      <c r="A12" s="34" t="s">
        <v>474</v>
      </c>
      <c r="B12" s="35"/>
      <c r="C12" s="34">
        <v>1</v>
      </c>
      <c r="D12" s="34">
        <v>1</v>
      </c>
      <c r="E12" s="34">
        <v>1</v>
      </c>
      <c r="F12" s="34">
        <v>1</v>
      </c>
      <c r="G12" s="34">
        <v>1</v>
      </c>
      <c r="H12" s="34">
        <v>1</v>
      </c>
      <c r="I12" s="34" t="s">
        <v>283</v>
      </c>
      <c r="J12" s="34" t="s">
        <v>283</v>
      </c>
      <c r="K12" s="34" t="s">
        <v>283</v>
      </c>
      <c r="L12" s="34" t="s">
        <v>283</v>
      </c>
      <c r="M12" s="34" t="s">
        <v>283</v>
      </c>
      <c r="N12" s="34" t="s">
        <v>283</v>
      </c>
      <c r="O12" s="34" t="s">
        <v>283</v>
      </c>
    </row>
    <row r="13" spans="1:21" x14ac:dyDescent="0.2">
      <c r="A13" s="31" t="s">
        <v>63</v>
      </c>
      <c r="B13" s="31"/>
      <c r="C13" s="31">
        <v>343.077</v>
      </c>
      <c r="D13" s="31">
        <v>412.96199999999999</v>
      </c>
      <c r="E13" s="31">
        <v>431.923</v>
      </c>
      <c r="F13" s="31">
        <v>453.25</v>
      </c>
      <c r="G13" s="31">
        <v>497.404</v>
      </c>
      <c r="H13" s="31">
        <v>448.673</v>
      </c>
      <c r="I13" s="31">
        <v>502.46199999999999</v>
      </c>
      <c r="J13" s="31">
        <v>440.80799999999999</v>
      </c>
      <c r="K13" s="31">
        <v>629.05799999999999</v>
      </c>
      <c r="L13" s="31">
        <v>506.596</v>
      </c>
      <c r="M13" s="31">
        <v>494.53800000000001</v>
      </c>
      <c r="N13" s="31">
        <v>389.346</v>
      </c>
      <c r="O13" s="31">
        <v>333.077</v>
      </c>
    </row>
    <row r="14" spans="1:21" x14ac:dyDescent="0.2">
      <c r="A14" s="31" t="s">
        <v>62</v>
      </c>
      <c r="B14" s="31"/>
      <c r="C14" s="31">
        <f t="shared" ref="C14:O14" si="4">C13-$B$5</f>
        <v>93.106999999999999</v>
      </c>
      <c r="D14" s="31">
        <f t="shared" si="4"/>
        <v>162.99199999999999</v>
      </c>
      <c r="E14" s="31">
        <f t="shared" si="4"/>
        <v>181.953</v>
      </c>
      <c r="F14" s="31">
        <f t="shared" si="4"/>
        <v>203.28</v>
      </c>
      <c r="G14" s="31">
        <f t="shared" si="4"/>
        <v>247.434</v>
      </c>
      <c r="H14" s="31">
        <f t="shared" si="4"/>
        <v>198.703</v>
      </c>
      <c r="I14" s="31">
        <f t="shared" si="4"/>
        <v>252.49199999999999</v>
      </c>
      <c r="J14" s="31">
        <f t="shared" si="4"/>
        <v>190.83799999999999</v>
      </c>
      <c r="K14" s="31">
        <f t="shared" si="4"/>
        <v>379.08799999999997</v>
      </c>
      <c r="L14" s="31">
        <f t="shared" si="4"/>
        <v>256.62599999999998</v>
      </c>
      <c r="M14" s="31">
        <f t="shared" si="4"/>
        <v>244.56800000000001</v>
      </c>
      <c r="N14" s="31">
        <f t="shared" si="4"/>
        <v>139.376</v>
      </c>
      <c r="O14" s="31">
        <f t="shared" si="4"/>
        <v>83.106999999999999</v>
      </c>
    </row>
    <row r="15" spans="1:21" x14ac:dyDescent="0.2">
      <c r="A15" s="31" t="s">
        <v>61</v>
      </c>
      <c r="B15" s="31"/>
      <c r="C15" s="31">
        <v>6.3289999999999997</v>
      </c>
      <c r="D15" s="31">
        <v>1.077</v>
      </c>
      <c r="E15" s="31">
        <v>2.0830000000000002</v>
      </c>
      <c r="F15" s="31">
        <v>2.7080000000000002</v>
      </c>
      <c r="G15" s="31">
        <v>2.2949999999999999</v>
      </c>
      <c r="H15" s="31">
        <v>5.6289999999999996</v>
      </c>
      <c r="I15" s="31">
        <v>1.8839999999999999</v>
      </c>
      <c r="J15" s="31">
        <v>1.052</v>
      </c>
      <c r="K15" s="31">
        <v>1.9</v>
      </c>
      <c r="L15" s="31">
        <v>1.7629999999999999</v>
      </c>
      <c r="M15" s="31">
        <v>2.7080000000000002</v>
      </c>
      <c r="N15" s="31">
        <v>3.012</v>
      </c>
      <c r="O15" s="31">
        <v>4.5519999999999996</v>
      </c>
    </row>
    <row r="16" spans="1:21" x14ac:dyDescent="0.2">
      <c r="A16" s="31" t="s">
        <v>60</v>
      </c>
      <c r="B16" s="31"/>
      <c r="C16" s="31">
        <f t="shared" ref="C16:O16" si="5">(1+C15^2)^(1/2)</f>
        <v>6.4075144166829618</v>
      </c>
      <c r="D16" s="31">
        <f t="shared" si="5"/>
        <v>1.469669690780891</v>
      </c>
      <c r="E16" s="31">
        <f t="shared" si="5"/>
        <v>2.3106036007935242</v>
      </c>
      <c r="F16" s="31">
        <f t="shared" si="5"/>
        <v>2.8867393370375511</v>
      </c>
      <c r="G16" s="31">
        <f t="shared" si="5"/>
        <v>2.5034026843478459</v>
      </c>
      <c r="H16" s="31">
        <f t="shared" si="5"/>
        <v>5.7171357339143167</v>
      </c>
      <c r="I16" s="31">
        <f t="shared" si="5"/>
        <v>2.1329453813916563</v>
      </c>
      <c r="J16" s="31">
        <f t="shared" si="5"/>
        <v>1.4514489312407792</v>
      </c>
      <c r="K16" s="31">
        <f t="shared" si="5"/>
        <v>2.1470910553583886</v>
      </c>
      <c r="L16" s="31">
        <f t="shared" si="5"/>
        <v>2.0268618601177537</v>
      </c>
      <c r="M16" s="31">
        <f t="shared" si="5"/>
        <v>2.8867393370375511</v>
      </c>
      <c r="N16" s="31">
        <f t="shared" si="5"/>
        <v>3.1736641284168683</v>
      </c>
      <c r="O16" s="31">
        <f t="shared" si="5"/>
        <v>4.6605476073096819</v>
      </c>
    </row>
    <row r="17" spans="1:15" x14ac:dyDescent="0.2">
      <c r="A17" s="31" t="s">
        <v>376</v>
      </c>
      <c r="B17" s="31"/>
      <c r="C17" s="31"/>
      <c r="D17" s="31"/>
      <c r="E17" s="31"/>
      <c r="F17" s="31"/>
      <c r="G17" s="31"/>
      <c r="H17" s="31"/>
      <c r="I17" s="31">
        <f t="shared" ref="I17:O17" si="6">I16/$E$2*100</f>
        <v>5.2876825360495223</v>
      </c>
      <c r="J17" s="31">
        <f t="shared" si="6"/>
        <v>3.5982173911467581</v>
      </c>
      <c r="K17" s="31">
        <f t="shared" si="6"/>
        <v>5.3227503975367858</v>
      </c>
      <c r="L17" s="31">
        <f t="shared" si="6"/>
        <v>5.0246959693533482</v>
      </c>
      <c r="M17" s="31">
        <f t="shared" si="6"/>
        <v>7.1563769573046541</v>
      </c>
      <c r="N17" s="31">
        <f t="shared" si="6"/>
        <v>7.867678438239051</v>
      </c>
      <c r="O17" s="31">
        <f t="shared" si="6"/>
        <v>11.553739915984139</v>
      </c>
    </row>
    <row r="18" spans="1:15" x14ac:dyDescent="0.2">
      <c r="A18" s="31" t="s">
        <v>59</v>
      </c>
      <c r="B18" s="31"/>
      <c r="C18" s="31"/>
      <c r="D18" s="31"/>
      <c r="E18" s="32"/>
      <c r="F18" s="32"/>
      <c r="G18" s="32"/>
      <c r="H18" s="32"/>
      <c r="I18" s="32">
        <f t="shared" ref="I18:O18" si="7">I14/$C$2</f>
        <v>1.5373388825414565</v>
      </c>
      <c r="J18" s="32">
        <f t="shared" si="7"/>
        <v>1.1619484089256154</v>
      </c>
      <c r="K18" s="32">
        <f t="shared" si="7"/>
        <v>2.3081393561177213</v>
      </c>
      <c r="L18" s="32">
        <f t="shared" si="7"/>
        <v>1.562509418401707</v>
      </c>
      <c r="M18" s="32">
        <f t="shared" si="7"/>
        <v>1.4890923111441114</v>
      </c>
      <c r="N18" s="32">
        <f t="shared" si="7"/>
        <v>0.84861359604699582</v>
      </c>
      <c r="O18" s="32">
        <f t="shared" si="7"/>
        <v>0.50601057661776538</v>
      </c>
    </row>
    <row r="20" spans="1:15" x14ac:dyDescent="0.2">
      <c r="A20" s="34" t="s">
        <v>473</v>
      </c>
      <c r="B20" s="35"/>
      <c r="C20" s="34">
        <v>1</v>
      </c>
      <c r="D20" s="34">
        <v>1</v>
      </c>
      <c r="E20" s="34">
        <v>1</v>
      </c>
      <c r="F20" s="34">
        <v>1</v>
      </c>
      <c r="G20" s="34">
        <v>1</v>
      </c>
      <c r="H20" s="34" t="s">
        <v>283</v>
      </c>
      <c r="I20" s="34" t="s">
        <v>283</v>
      </c>
      <c r="J20" s="34" t="s">
        <v>283</v>
      </c>
      <c r="K20" s="34" t="s">
        <v>283</v>
      </c>
      <c r="L20" s="34" t="s">
        <v>283</v>
      </c>
      <c r="M20" s="34" t="s">
        <v>283</v>
      </c>
    </row>
    <row r="21" spans="1:15" x14ac:dyDescent="0.2">
      <c r="A21" s="31" t="s">
        <v>63</v>
      </c>
      <c r="B21" s="31"/>
      <c r="C21" s="31">
        <v>435.173</v>
      </c>
      <c r="D21" s="31">
        <v>433.76900000000001</v>
      </c>
      <c r="E21" s="31">
        <v>421.154</v>
      </c>
      <c r="F21" s="31">
        <v>383.596</v>
      </c>
      <c r="G21" s="31">
        <v>394.13499999999999</v>
      </c>
      <c r="H21" s="31">
        <v>450.69200000000001</v>
      </c>
      <c r="I21" s="31">
        <v>387.80799999999999</v>
      </c>
      <c r="J21" s="31">
        <v>602.25</v>
      </c>
      <c r="K21" s="31">
        <v>777.88499999999999</v>
      </c>
      <c r="L21" s="31">
        <v>645.077</v>
      </c>
      <c r="M21" s="31">
        <v>558.94200000000001</v>
      </c>
    </row>
    <row r="22" spans="1:15" x14ac:dyDescent="0.2">
      <c r="A22" s="31" t="s">
        <v>62</v>
      </c>
      <c r="B22" s="31"/>
      <c r="C22" s="31">
        <f t="shared" ref="C22:M22" si="8">C21-$B$5</f>
        <v>185.203</v>
      </c>
      <c r="D22" s="31">
        <f t="shared" si="8"/>
        <v>183.79900000000001</v>
      </c>
      <c r="E22" s="31">
        <f t="shared" si="8"/>
        <v>171.184</v>
      </c>
      <c r="F22" s="31">
        <f t="shared" si="8"/>
        <v>133.626</v>
      </c>
      <c r="G22" s="31">
        <f t="shared" si="8"/>
        <v>144.16499999999999</v>
      </c>
      <c r="H22" s="31">
        <f t="shared" si="8"/>
        <v>200.72200000000001</v>
      </c>
      <c r="I22" s="31">
        <f t="shared" si="8"/>
        <v>137.83799999999999</v>
      </c>
      <c r="J22" s="31">
        <f t="shared" si="8"/>
        <v>352.28</v>
      </c>
      <c r="K22" s="31">
        <f t="shared" si="8"/>
        <v>527.91499999999996</v>
      </c>
      <c r="L22" s="31">
        <f t="shared" si="8"/>
        <v>395.10699999999997</v>
      </c>
      <c r="M22" s="31">
        <f t="shared" si="8"/>
        <v>308.97199999999998</v>
      </c>
      <c r="N22" s="31"/>
    </row>
    <row r="23" spans="1:15" x14ac:dyDescent="0.2">
      <c r="A23" s="31" t="s">
        <v>61</v>
      </c>
      <c r="B23" s="31"/>
      <c r="C23" s="31">
        <v>2.181</v>
      </c>
      <c r="D23" s="31">
        <v>0.53300000000000003</v>
      </c>
      <c r="E23" s="31">
        <v>3.1259999999999999</v>
      </c>
      <c r="F23" s="31">
        <v>4.516</v>
      </c>
      <c r="G23" s="31">
        <v>5.7050000000000001</v>
      </c>
      <c r="H23" s="31">
        <v>1.954</v>
      </c>
      <c r="I23" s="31">
        <v>2.5270000000000001</v>
      </c>
      <c r="J23" s="31">
        <v>1.214</v>
      </c>
      <c r="K23" s="31">
        <v>1.7969999999999999</v>
      </c>
      <c r="L23" s="31">
        <v>1.516</v>
      </c>
      <c r="M23" s="31">
        <v>2.456</v>
      </c>
    </row>
    <row r="24" spans="1:15" x14ac:dyDescent="0.2">
      <c r="A24" s="31" t="s">
        <v>60</v>
      </c>
      <c r="B24" s="31"/>
      <c r="C24" s="31">
        <f t="shared" ref="C24:M24" si="9">(4+C23^2)^(1/2)</f>
        <v>2.9591824884585947</v>
      </c>
      <c r="D24" s="31">
        <f t="shared" si="9"/>
        <v>2.0698040970101492</v>
      </c>
      <c r="E24" s="31">
        <f t="shared" si="9"/>
        <v>3.7110478304651369</v>
      </c>
      <c r="F24" s="31">
        <f t="shared" si="9"/>
        <v>4.9390541604643294</v>
      </c>
      <c r="G24" s="31">
        <f t="shared" si="9"/>
        <v>6.045413550783767</v>
      </c>
      <c r="H24" s="31">
        <f t="shared" si="9"/>
        <v>2.7960894120181492</v>
      </c>
      <c r="I24" s="31">
        <f t="shared" si="9"/>
        <v>3.2226897151292739</v>
      </c>
      <c r="J24" s="31">
        <f t="shared" si="9"/>
        <v>2.3396144981599001</v>
      </c>
      <c r="K24" s="31">
        <f t="shared" si="9"/>
        <v>2.6887188398938258</v>
      </c>
      <c r="L24" s="31">
        <f t="shared" si="9"/>
        <v>2.5096326424399251</v>
      </c>
      <c r="M24" s="31">
        <f t="shared" si="9"/>
        <v>3.1673231600201452</v>
      </c>
    </row>
    <row r="25" spans="1:15" x14ac:dyDescent="0.2">
      <c r="A25" s="31" t="s">
        <v>376</v>
      </c>
      <c r="B25" s="31"/>
      <c r="C25" s="31"/>
      <c r="D25" s="31"/>
      <c r="E25" s="31"/>
      <c r="F25" s="31"/>
      <c r="G25" s="31"/>
      <c r="H25" s="31">
        <f t="shared" ref="H25:M25" si="10">H24/$E$2*100</f>
        <v>6.9316510784326173</v>
      </c>
      <c r="I25" s="31">
        <f t="shared" si="10"/>
        <v>7.9892154175449299</v>
      </c>
      <c r="J25" s="31">
        <f t="shared" si="10"/>
        <v>5.8000260254844065</v>
      </c>
      <c r="K25" s="31">
        <f t="shared" si="10"/>
        <v>6.6654738457380773</v>
      </c>
      <c r="L25" s="31">
        <f t="shared" si="10"/>
        <v>6.2215098478851827</v>
      </c>
      <c r="M25" s="31">
        <f t="shared" si="10"/>
        <v>7.8519588477865661</v>
      </c>
    </row>
    <row r="26" spans="1:15" x14ac:dyDescent="0.2">
      <c r="A26" s="31" t="s">
        <v>59</v>
      </c>
      <c r="B26" s="31"/>
      <c r="C26" s="31"/>
      <c r="D26" s="31"/>
      <c r="E26" s="32"/>
      <c r="F26" s="32"/>
      <c r="G26" s="32"/>
      <c r="H26" s="32">
        <f t="shared" ref="H26:M26" si="11">H22/$C$2</f>
        <v>1.2221287612339649</v>
      </c>
      <c r="I26" s="32">
        <f t="shared" si="11"/>
        <v>0.83924923123009554</v>
      </c>
      <c r="J26" s="32">
        <f t="shared" si="11"/>
        <v>2.1449144588410891</v>
      </c>
      <c r="K26" s="32">
        <f t="shared" si="11"/>
        <v>3.2142969130779311</v>
      </c>
      <c r="L26" s="32">
        <f t="shared" si="11"/>
        <v>2.4056736604102595</v>
      </c>
      <c r="M26" s="32">
        <f t="shared" si="11"/>
        <v>1.8812266100177388</v>
      </c>
    </row>
    <row r="28" spans="1:15" x14ac:dyDescent="0.2">
      <c r="A28" s="34" t="s">
        <v>472</v>
      </c>
      <c r="B28" s="35"/>
      <c r="C28" s="34">
        <v>1</v>
      </c>
      <c r="D28" s="34">
        <v>1</v>
      </c>
      <c r="E28" s="34">
        <v>1</v>
      </c>
      <c r="F28" s="34">
        <v>1</v>
      </c>
      <c r="G28" s="34">
        <v>1</v>
      </c>
      <c r="H28" s="34" t="s">
        <v>283</v>
      </c>
      <c r="I28" s="34" t="s">
        <v>283</v>
      </c>
      <c r="J28" s="34" t="s">
        <v>283</v>
      </c>
      <c r="K28" s="34" t="s">
        <v>283</v>
      </c>
      <c r="L28" s="34" t="s">
        <v>283</v>
      </c>
      <c r="M28" s="34" t="s">
        <v>283</v>
      </c>
      <c r="N28" s="34" t="s">
        <v>283</v>
      </c>
      <c r="O28" s="34" t="s">
        <v>283</v>
      </c>
    </row>
    <row r="29" spans="1:15" x14ac:dyDescent="0.2">
      <c r="A29" s="31" t="s">
        <v>63</v>
      </c>
      <c r="B29" s="31"/>
      <c r="C29" s="31">
        <v>383.73099999999999</v>
      </c>
      <c r="D29" s="31">
        <v>313.28800000000001</v>
      </c>
      <c r="E29" s="31">
        <v>384.86500000000001</v>
      </c>
      <c r="F29" s="31">
        <v>407.904</v>
      </c>
      <c r="G29" s="31">
        <v>473.327</v>
      </c>
      <c r="H29" s="31">
        <v>540.13499999999999</v>
      </c>
      <c r="I29" s="31">
        <v>448.346</v>
      </c>
      <c r="J29" s="31">
        <v>504.05799999999999</v>
      </c>
      <c r="K29" s="31">
        <v>557.21199999999999</v>
      </c>
      <c r="L29" s="31">
        <v>411.01900000000001</v>
      </c>
      <c r="M29" s="31">
        <v>513.25</v>
      </c>
      <c r="N29" s="31">
        <v>474.73099999999999</v>
      </c>
      <c r="O29" s="31">
        <v>604.53800000000001</v>
      </c>
    </row>
    <row r="30" spans="1:15" x14ac:dyDescent="0.2">
      <c r="A30" s="31" t="s">
        <v>62</v>
      </c>
      <c r="B30" s="31"/>
      <c r="C30" s="31">
        <f t="shared" ref="C30:O30" si="12">C29-$B$5</f>
        <v>133.761</v>
      </c>
      <c r="D30" s="31">
        <f t="shared" si="12"/>
        <v>63.318000000000012</v>
      </c>
      <c r="E30" s="31">
        <f t="shared" si="12"/>
        <v>134.89500000000001</v>
      </c>
      <c r="F30" s="31">
        <f t="shared" si="12"/>
        <v>157.934</v>
      </c>
      <c r="G30" s="31">
        <f t="shared" si="12"/>
        <v>223.357</v>
      </c>
      <c r="H30" s="31">
        <f t="shared" si="12"/>
        <v>290.16499999999996</v>
      </c>
      <c r="I30" s="31">
        <f t="shared" si="12"/>
        <v>198.376</v>
      </c>
      <c r="J30" s="31">
        <f t="shared" si="12"/>
        <v>254.08799999999999</v>
      </c>
      <c r="K30" s="31">
        <f t="shared" si="12"/>
        <v>307.24199999999996</v>
      </c>
      <c r="L30" s="31">
        <f t="shared" si="12"/>
        <v>161.04900000000001</v>
      </c>
      <c r="M30" s="31">
        <f t="shared" si="12"/>
        <v>263.27999999999997</v>
      </c>
      <c r="N30" s="31">
        <f t="shared" si="12"/>
        <v>224.761</v>
      </c>
      <c r="O30" s="31">
        <f t="shared" si="12"/>
        <v>354.56799999999998</v>
      </c>
    </row>
    <row r="31" spans="1:15" x14ac:dyDescent="0.2">
      <c r="A31" s="31" t="s">
        <v>61</v>
      </c>
      <c r="B31" s="31"/>
      <c r="C31" s="31">
        <v>2.8450000000000002</v>
      </c>
      <c r="D31" s="31">
        <v>10.404</v>
      </c>
      <c r="E31" s="31">
        <v>2.649</v>
      </c>
      <c r="F31" s="31">
        <v>2.4209999999999998</v>
      </c>
      <c r="G31" s="31">
        <v>1.5169999999999999</v>
      </c>
      <c r="H31" s="31">
        <v>1.6439999999999999</v>
      </c>
      <c r="I31" s="31">
        <v>1.8169999999999999</v>
      </c>
      <c r="J31" s="31">
        <v>2.5609999999999999</v>
      </c>
      <c r="K31" s="31">
        <v>1.7829999999999999</v>
      </c>
      <c r="L31" s="31">
        <v>2.3889999999999998</v>
      </c>
      <c r="M31" s="31">
        <v>1.9650000000000001</v>
      </c>
      <c r="N31" s="31">
        <v>0.99299999999999999</v>
      </c>
      <c r="O31" s="31">
        <v>1.722</v>
      </c>
    </row>
    <row r="32" spans="1:15" x14ac:dyDescent="0.2">
      <c r="A32" s="31" t="s">
        <v>60</v>
      </c>
      <c r="B32" s="31"/>
      <c r="C32" s="31">
        <f t="shared" ref="C32:O32" si="13">(1+C31^2)^(1/2)</f>
        <v>3.0156301165759705</v>
      </c>
      <c r="D32" s="31">
        <f t="shared" si="13"/>
        <v>10.451947952415377</v>
      </c>
      <c r="E32" s="31">
        <f t="shared" si="13"/>
        <v>2.8314662279462208</v>
      </c>
      <c r="F32" s="31">
        <f t="shared" si="13"/>
        <v>2.6193970680292056</v>
      </c>
      <c r="G32" s="31">
        <f t="shared" si="13"/>
        <v>1.8169449633932229</v>
      </c>
      <c r="H32" s="31">
        <f t="shared" si="13"/>
        <v>1.9242494640768384</v>
      </c>
      <c r="I32" s="31">
        <f t="shared" si="13"/>
        <v>2.0740031340381337</v>
      </c>
      <c r="J32" s="31">
        <f t="shared" si="13"/>
        <v>2.7493128232341983</v>
      </c>
      <c r="K32" s="31">
        <f t="shared" si="13"/>
        <v>2.0442820255532257</v>
      </c>
      <c r="L32" s="31">
        <f t="shared" si="13"/>
        <v>2.5898496095333412</v>
      </c>
      <c r="M32" s="31">
        <f t="shared" si="13"/>
        <v>2.2048185866415406</v>
      </c>
      <c r="N32" s="31">
        <f t="shared" si="13"/>
        <v>1.409272507359737</v>
      </c>
      <c r="O32" s="31">
        <f t="shared" si="13"/>
        <v>1.9913020865755151</v>
      </c>
    </row>
    <row r="33" spans="1:15" x14ac:dyDescent="0.2">
      <c r="A33" s="31" t="s">
        <v>376</v>
      </c>
      <c r="B33" s="31"/>
      <c r="C33" s="31"/>
      <c r="D33" s="31"/>
      <c r="E33" s="31"/>
      <c r="F33" s="31"/>
      <c r="G33" s="31"/>
      <c r="H33" s="31">
        <f t="shared" ref="H33:O33" si="14">H32/$E$2*100</f>
        <v>4.770314502644748</v>
      </c>
      <c r="I33" s="31">
        <f t="shared" si="14"/>
        <v>5.1415616392437249</v>
      </c>
      <c r="J33" s="31">
        <f t="shared" si="14"/>
        <v>6.8156894819629095</v>
      </c>
      <c r="K33" s="31">
        <f t="shared" si="14"/>
        <v>5.0678814654995925</v>
      </c>
      <c r="L33" s="31">
        <f t="shared" si="14"/>
        <v>6.4203718814352246</v>
      </c>
      <c r="M33" s="31">
        <f t="shared" si="14"/>
        <v>5.4658599500261307</v>
      </c>
      <c r="N33" s="31">
        <f t="shared" si="14"/>
        <v>3.4936598427282881</v>
      </c>
      <c r="O33" s="31">
        <f t="shared" si="14"/>
        <v>4.9365414412601396</v>
      </c>
    </row>
    <row r="34" spans="1:15" x14ac:dyDescent="0.2">
      <c r="A34" s="31" t="s">
        <v>59</v>
      </c>
      <c r="B34" s="31"/>
      <c r="C34" s="31"/>
      <c r="D34" s="31"/>
      <c r="E34" s="32"/>
      <c r="F34" s="32"/>
      <c r="G34" s="32"/>
      <c r="H34" s="32">
        <f t="shared" ref="H34:O34" si="15">H30/$C$2</f>
        <v>1.7667171112456699</v>
      </c>
      <c r="I34" s="32">
        <f t="shared" si="15"/>
        <v>1.2078447561231405</v>
      </c>
      <c r="J34" s="32">
        <f t="shared" si="15"/>
        <v>1.5470563898547027</v>
      </c>
      <c r="K34" s="32">
        <f t="shared" si="15"/>
        <v>1.8706932217646584</v>
      </c>
      <c r="L34" s="32">
        <f t="shared" si="15"/>
        <v>0.98057320506954304</v>
      </c>
      <c r="M34" s="32">
        <f t="shared" si="15"/>
        <v>1.60302338686182</v>
      </c>
      <c r="N34" s="32">
        <f t="shared" si="15"/>
        <v>1.3684941486419384</v>
      </c>
      <c r="O34" s="32">
        <f t="shared" si="15"/>
        <v>2.1588453214555674</v>
      </c>
    </row>
    <row r="36" spans="1:15" x14ac:dyDescent="0.2">
      <c r="A36" s="34" t="s">
        <v>471</v>
      </c>
      <c r="B36" s="35"/>
      <c r="C36" s="34" t="s">
        <v>283</v>
      </c>
      <c r="D36" s="34" t="s">
        <v>283</v>
      </c>
      <c r="E36" s="34" t="s">
        <v>283</v>
      </c>
      <c r="F36" s="34" t="s">
        <v>283</v>
      </c>
      <c r="G36" s="34" t="s">
        <v>283</v>
      </c>
      <c r="H36" s="34" t="s">
        <v>283</v>
      </c>
      <c r="I36" s="34" t="s">
        <v>283</v>
      </c>
      <c r="J36" s="34" t="s">
        <v>283</v>
      </c>
    </row>
    <row r="37" spans="1:15" x14ac:dyDescent="0.2">
      <c r="A37" s="31" t="s">
        <v>63</v>
      </c>
      <c r="B37" s="31"/>
      <c r="C37" s="31">
        <v>539.96199999999999</v>
      </c>
      <c r="D37" s="31">
        <v>453.03800000000001</v>
      </c>
      <c r="E37" s="31">
        <v>483.827</v>
      </c>
      <c r="F37" s="31">
        <v>539.096</v>
      </c>
      <c r="G37" s="31">
        <v>497.71199999999999</v>
      </c>
      <c r="H37" s="31">
        <v>428.846</v>
      </c>
      <c r="I37" s="31">
        <v>383.71199999999999</v>
      </c>
      <c r="J37" s="31">
        <v>367.94200000000001</v>
      </c>
    </row>
    <row r="38" spans="1:15" x14ac:dyDescent="0.2">
      <c r="A38" s="31" t="s">
        <v>62</v>
      </c>
      <c r="B38" s="31"/>
      <c r="C38" s="31">
        <f t="shared" ref="C38:J38" si="16">C37-$B$5</f>
        <v>289.99199999999996</v>
      </c>
      <c r="D38" s="31">
        <f t="shared" si="16"/>
        <v>203.06800000000001</v>
      </c>
      <c r="E38" s="31">
        <f t="shared" si="16"/>
        <v>233.857</v>
      </c>
      <c r="F38" s="31">
        <f t="shared" si="16"/>
        <v>289.12599999999998</v>
      </c>
      <c r="G38" s="31">
        <f t="shared" si="16"/>
        <v>247.74199999999999</v>
      </c>
      <c r="H38" s="31">
        <f t="shared" si="16"/>
        <v>178.876</v>
      </c>
      <c r="I38" s="31">
        <f t="shared" si="16"/>
        <v>133.74199999999999</v>
      </c>
      <c r="J38" s="31">
        <f t="shared" si="16"/>
        <v>117.97200000000001</v>
      </c>
    </row>
    <row r="39" spans="1:15" x14ac:dyDescent="0.2">
      <c r="A39" s="31" t="s">
        <v>61</v>
      </c>
      <c r="B39" s="31"/>
      <c r="C39" s="31">
        <v>1.9219999999999999</v>
      </c>
      <c r="D39" s="31">
        <v>2.669</v>
      </c>
      <c r="E39" s="31">
        <v>1.9890000000000001</v>
      </c>
      <c r="F39" s="31">
        <v>2.0139999999999998</v>
      </c>
      <c r="G39" s="31">
        <v>1.2110000000000001</v>
      </c>
      <c r="H39" s="31">
        <v>1.5960000000000001</v>
      </c>
      <c r="I39" s="31">
        <v>1.3</v>
      </c>
      <c r="J39" s="31">
        <v>2.286</v>
      </c>
    </row>
    <row r="40" spans="1:15" x14ac:dyDescent="0.2">
      <c r="A40" s="31" t="s">
        <v>60</v>
      </c>
      <c r="B40" s="31"/>
      <c r="C40" s="31">
        <f t="shared" ref="C40:J40" si="17">(4+C39^2)^(1/2)</f>
        <v>2.7738211910647737</v>
      </c>
      <c r="D40" s="31">
        <f t="shared" si="17"/>
        <v>3.3352002938354395</v>
      </c>
      <c r="E40" s="31">
        <f t="shared" si="17"/>
        <v>2.8206596746151424</v>
      </c>
      <c r="F40" s="31">
        <f t="shared" si="17"/>
        <v>2.8383438833235131</v>
      </c>
      <c r="G40" s="31">
        <f t="shared" si="17"/>
        <v>2.3380592379150706</v>
      </c>
      <c r="H40" s="31">
        <f t="shared" si="17"/>
        <v>2.5587528212002035</v>
      </c>
      <c r="I40" s="31">
        <f t="shared" si="17"/>
        <v>2.3853720883753127</v>
      </c>
      <c r="J40" s="31">
        <f t="shared" si="17"/>
        <v>3.0373995456640208</v>
      </c>
    </row>
    <row r="41" spans="1:15" x14ac:dyDescent="0.2">
      <c r="A41" s="31" t="s">
        <v>376</v>
      </c>
      <c r="B41" s="31"/>
      <c r="C41" s="31">
        <f t="shared" ref="C41:J41" si="18">C40/$E$2*100</f>
        <v>6.8764470005076443</v>
      </c>
      <c r="D41" s="31">
        <f t="shared" si="18"/>
        <v>8.2681349938902269</v>
      </c>
      <c r="E41" s="31">
        <f t="shared" si="18"/>
        <v>6.9925620373224806</v>
      </c>
      <c r="F41" s="31">
        <f t="shared" si="18"/>
        <v>7.0364021104752661</v>
      </c>
      <c r="G41" s="31">
        <f t="shared" si="18"/>
        <v>5.7961704544475943</v>
      </c>
      <c r="H41" s="31">
        <f t="shared" si="18"/>
        <v>6.3432813257975198</v>
      </c>
      <c r="I41" s="31">
        <f t="shared" si="18"/>
        <v>5.9134614715040721</v>
      </c>
      <c r="J41" s="31">
        <f t="shared" si="18"/>
        <v>7.5298714504041371</v>
      </c>
    </row>
    <row r="42" spans="1:15" x14ac:dyDescent="0.2">
      <c r="A42" s="31" t="s">
        <v>59</v>
      </c>
      <c r="B42" s="31"/>
      <c r="C42" s="32">
        <f t="shared" ref="C42:J42" si="19">C38/$C$2</f>
        <v>1.7656637724203619</v>
      </c>
      <c r="D42" s="32">
        <f t="shared" si="19"/>
        <v>1.2364127663447892</v>
      </c>
      <c r="E42" s="32">
        <f t="shared" si="19"/>
        <v>1.4238766339309659</v>
      </c>
      <c r="F42" s="32">
        <f t="shared" si="19"/>
        <v>1.7603909896300918</v>
      </c>
      <c r="G42" s="32">
        <f t="shared" si="19"/>
        <v>1.5084177298234618</v>
      </c>
      <c r="H42" s="32">
        <f t="shared" si="19"/>
        <v>1.0891158133861096</v>
      </c>
      <c r="I42" s="32">
        <f t="shared" si="19"/>
        <v>0.81431006459158894</v>
      </c>
      <c r="J42" s="32">
        <f t="shared" si="19"/>
        <v>0.71829183756784665</v>
      </c>
    </row>
    <row r="44" spans="1:15" x14ac:dyDescent="0.2">
      <c r="A44" s="34" t="s">
        <v>470</v>
      </c>
      <c r="B44" s="35"/>
      <c r="C44" s="34" t="s">
        <v>283</v>
      </c>
      <c r="D44" s="34" t="s">
        <v>283</v>
      </c>
      <c r="E44" s="34" t="s">
        <v>283</v>
      </c>
      <c r="F44" s="31"/>
    </row>
    <row r="45" spans="1:15" x14ac:dyDescent="0.2">
      <c r="A45" s="31" t="s">
        <v>63</v>
      </c>
      <c r="B45" s="31"/>
      <c r="C45" s="31">
        <v>367.63499999999999</v>
      </c>
      <c r="D45" s="31">
        <v>382.80799999999999</v>
      </c>
      <c r="E45" s="31">
        <v>383.73099999999999</v>
      </c>
      <c r="F45" s="31"/>
    </row>
    <row r="46" spans="1:15" x14ac:dyDescent="0.2">
      <c r="A46" s="31" t="s">
        <v>62</v>
      </c>
      <c r="B46" s="31"/>
      <c r="C46" s="31">
        <f>C45-$B$5</f>
        <v>117.66499999999999</v>
      </c>
      <c r="D46" s="31">
        <f>D45-$B$5</f>
        <v>132.83799999999999</v>
      </c>
      <c r="E46" s="31">
        <f>E45-$B$5</f>
        <v>133.761</v>
      </c>
      <c r="F46" s="31"/>
    </row>
    <row r="47" spans="1:15" x14ac:dyDescent="0.2">
      <c r="A47" s="31" t="s">
        <v>61</v>
      </c>
      <c r="B47" s="31"/>
      <c r="C47" s="31">
        <v>1.8129999999999999</v>
      </c>
      <c r="D47" s="31">
        <v>2.1280000000000001</v>
      </c>
      <c r="E47" s="31">
        <v>1.6220000000000001</v>
      </c>
      <c r="F47" s="31"/>
    </row>
    <row r="48" spans="1:15" x14ac:dyDescent="0.2">
      <c r="A48" s="31" t="s">
        <v>60</v>
      </c>
      <c r="B48" s="31"/>
      <c r="C48" s="31">
        <f>(9+C47^2)^(1/2)</f>
        <v>3.5052773071470393</v>
      </c>
      <c r="D48" s="31">
        <f>(9+D47^2)^(1/2)</f>
        <v>3.6780951591822637</v>
      </c>
      <c r="E48" s="31">
        <f>(9+E47^2)^(1/2)</f>
        <v>3.4104081867131391</v>
      </c>
      <c r="F48" s="31"/>
    </row>
    <row r="49" spans="1:6" x14ac:dyDescent="0.2">
      <c r="A49" s="31" t="s">
        <v>376</v>
      </c>
      <c r="B49" s="31"/>
      <c r="C49" s="31">
        <f>C48/$E$2*100</f>
        <v>8.6897647556820843</v>
      </c>
      <c r="D49" s="31">
        <f>D48/$E$2*100</f>
        <v>9.1181891992222308</v>
      </c>
      <c r="E49" s="31">
        <f>E48/$E$2*100</f>
        <v>8.4545792719349961</v>
      </c>
      <c r="F49" s="31"/>
    </row>
    <row r="50" spans="1:6" x14ac:dyDescent="0.2">
      <c r="A50" s="31" t="s">
        <v>59</v>
      </c>
      <c r="B50" s="31"/>
      <c r="C50" s="32">
        <f>C46/$C$2</f>
        <v>0.71642261780270455</v>
      </c>
      <c r="D50" s="32">
        <f>D46/$C$2</f>
        <v>0.80880591257957479</v>
      </c>
      <c r="E50" s="32">
        <f>E46/$C$2</f>
        <v>0.81442574920246091</v>
      </c>
      <c r="F50" s="3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6055-C35C-2243-BA5F-6B333C88B8C2}">
  <dimension ref="A1:S50"/>
  <sheetViews>
    <sheetView workbookViewId="0">
      <selection activeCell="H45" sqref="H45"/>
    </sheetView>
  </sheetViews>
  <sheetFormatPr baseColWidth="10" defaultRowHeight="16" x14ac:dyDescent="0.2"/>
  <cols>
    <col min="1" max="1" width="20.83203125" style="30" bestFit="1" customWidth="1"/>
    <col min="2" max="2" width="17.5" style="30" bestFit="1" customWidth="1"/>
    <col min="3" max="3" width="10.83203125" style="30"/>
    <col min="4" max="4" width="12" style="30" bestFit="1" customWidth="1"/>
    <col min="5" max="16384" width="10.83203125" style="30"/>
  </cols>
  <sheetData>
    <row r="1" spans="1:18" x14ac:dyDescent="0.2">
      <c r="A1" s="30" t="s">
        <v>498</v>
      </c>
      <c r="B1" s="42">
        <v>45236</v>
      </c>
      <c r="C1" s="30" t="s">
        <v>497</v>
      </c>
    </row>
    <row r="2" spans="1:18" x14ac:dyDescent="0.2">
      <c r="A2" s="30" t="s">
        <v>27</v>
      </c>
      <c r="B2" s="30">
        <v>46.652000000000001</v>
      </c>
      <c r="D2" s="30" t="s">
        <v>73</v>
      </c>
      <c r="E2" s="30">
        <f>AVERAGE(C6:M6,C12:G12,C19:I19,C26:L26,C33:I33,C40:D40)</f>
        <v>86.229261904761898</v>
      </c>
      <c r="I2" s="30" t="s">
        <v>496</v>
      </c>
      <c r="J2" s="30" t="s">
        <v>495</v>
      </c>
    </row>
    <row r="3" spans="1:18" ht="17" thickBot="1" x14ac:dyDescent="0.25"/>
    <row r="4" spans="1:18" ht="17" thickBot="1" x14ac:dyDescent="0.25">
      <c r="A4" s="41" t="s">
        <v>494</v>
      </c>
      <c r="B4" s="40" t="s">
        <v>70</v>
      </c>
      <c r="C4" s="30">
        <v>1</v>
      </c>
      <c r="D4" s="30">
        <v>1</v>
      </c>
      <c r="E4" s="30">
        <v>1</v>
      </c>
      <c r="F4" s="30">
        <v>1</v>
      </c>
      <c r="G4" s="30">
        <v>1</v>
      </c>
      <c r="H4" s="30">
        <v>1</v>
      </c>
      <c r="I4" s="30">
        <v>1</v>
      </c>
      <c r="J4" s="30">
        <v>1</v>
      </c>
      <c r="K4" s="30">
        <v>1</v>
      </c>
      <c r="L4" s="30">
        <v>1</v>
      </c>
      <c r="M4" s="30">
        <v>1</v>
      </c>
    </row>
    <row r="5" spans="1:18" x14ac:dyDescent="0.2">
      <c r="A5" s="39" t="s">
        <v>63</v>
      </c>
      <c r="B5" s="30">
        <v>274.03500000000003</v>
      </c>
      <c r="C5" s="30">
        <v>478.5</v>
      </c>
      <c r="D5" s="30">
        <v>419.61500000000001</v>
      </c>
      <c r="E5" s="30">
        <v>421.38499999999999</v>
      </c>
      <c r="F5" s="30">
        <v>365.673</v>
      </c>
      <c r="G5" s="30">
        <v>432.76900000000001</v>
      </c>
      <c r="H5" s="30">
        <v>337.55799999999999</v>
      </c>
      <c r="I5" s="30">
        <v>340.73099999999999</v>
      </c>
      <c r="J5" s="30">
        <v>323.88499999999999</v>
      </c>
      <c r="K5" s="30">
        <v>372.61500000000001</v>
      </c>
      <c r="L5" s="30">
        <v>349.69200000000001</v>
      </c>
      <c r="M5" s="30">
        <v>331.904</v>
      </c>
      <c r="N5" s="30">
        <v>543.44200000000001</v>
      </c>
      <c r="O5" s="30">
        <v>532.25</v>
      </c>
      <c r="P5" s="30">
        <v>451.73099999999999</v>
      </c>
      <c r="Q5" s="30">
        <v>436.173</v>
      </c>
      <c r="R5" s="30">
        <v>301.596</v>
      </c>
    </row>
    <row r="6" spans="1:18" x14ac:dyDescent="0.2">
      <c r="A6" s="39" t="s">
        <v>62</v>
      </c>
      <c r="C6" s="30">
        <f t="shared" ref="C6:R6" si="0">C5-$B$5</f>
        <v>204.46499999999997</v>
      </c>
      <c r="D6" s="30">
        <f t="shared" si="0"/>
        <v>145.57999999999998</v>
      </c>
      <c r="E6" s="30">
        <f t="shared" si="0"/>
        <v>147.34999999999997</v>
      </c>
      <c r="F6" s="30">
        <f t="shared" si="0"/>
        <v>91.637999999999977</v>
      </c>
      <c r="G6" s="30">
        <f t="shared" si="0"/>
        <v>158.73399999999998</v>
      </c>
      <c r="H6" s="30">
        <f t="shared" si="0"/>
        <v>63.522999999999968</v>
      </c>
      <c r="I6" s="30">
        <f t="shared" si="0"/>
        <v>66.69599999999997</v>
      </c>
      <c r="J6" s="30">
        <f t="shared" si="0"/>
        <v>49.849999999999966</v>
      </c>
      <c r="K6" s="30">
        <f t="shared" si="0"/>
        <v>98.579999999999984</v>
      </c>
      <c r="L6" s="30">
        <f t="shared" si="0"/>
        <v>75.656999999999982</v>
      </c>
      <c r="M6" s="30">
        <f t="shared" si="0"/>
        <v>57.868999999999971</v>
      </c>
      <c r="N6" s="30">
        <f t="shared" si="0"/>
        <v>269.40699999999998</v>
      </c>
      <c r="O6" s="30">
        <f t="shared" si="0"/>
        <v>258.21499999999997</v>
      </c>
      <c r="P6" s="30">
        <f t="shared" si="0"/>
        <v>177.69599999999997</v>
      </c>
      <c r="Q6" s="30">
        <f t="shared" si="0"/>
        <v>162.13799999999998</v>
      </c>
      <c r="R6" s="30">
        <f t="shared" si="0"/>
        <v>27.560999999999979</v>
      </c>
    </row>
    <row r="7" spans="1:18" x14ac:dyDescent="0.2">
      <c r="A7" s="39" t="s">
        <v>61</v>
      </c>
      <c r="C7" s="30">
        <v>5.74</v>
      </c>
      <c r="D7" s="30">
        <v>4.7969999999999997</v>
      </c>
      <c r="E7" s="30">
        <v>3.9569999999999999</v>
      </c>
      <c r="F7" s="30">
        <v>2.4660000000000002</v>
      </c>
      <c r="G7" s="30">
        <v>2.665</v>
      </c>
      <c r="H7" s="30">
        <v>3.1139999999999999</v>
      </c>
      <c r="I7" s="30">
        <v>3.7469999999999999</v>
      </c>
      <c r="J7" s="30">
        <v>1.9490000000000001</v>
      </c>
      <c r="K7" s="30">
        <v>2.6440000000000001</v>
      </c>
      <c r="L7" s="30">
        <v>7.0229999999999997</v>
      </c>
      <c r="M7" s="30">
        <v>8.7859999999999996</v>
      </c>
      <c r="N7" s="30">
        <v>5.4390000000000001</v>
      </c>
      <c r="O7" s="30">
        <v>4.641</v>
      </c>
      <c r="P7" s="30">
        <v>3.2549999999999999</v>
      </c>
      <c r="Q7" s="30">
        <v>3.8159999999999998</v>
      </c>
      <c r="R7" s="30">
        <v>6.6539999999999999</v>
      </c>
    </row>
    <row r="8" spans="1:18" x14ac:dyDescent="0.2">
      <c r="A8" s="39" t="s">
        <v>59</v>
      </c>
      <c r="N8" s="30">
        <f>N6/$E$2</f>
        <v>3.1243106347999752</v>
      </c>
      <c r="O8" s="30">
        <f>O6/$E$2</f>
        <v>2.9945171081852946</v>
      </c>
      <c r="P8" s="30">
        <f>P6/$E$2</f>
        <v>2.0607389658079276</v>
      </c>
      <c r="Q8" s="30">
        <f>Q6/$E$2</f>
        <v>1.8803129751832668</v>
      </c>
      <c r="R8" s="30">
        <f>R6/$E$2</f>
        <v>0.31962467718256043</v>
      </c>
    </row>
    <row r="10" spans="1:18" x14ac:dyDescent="0.2">
      <c r="A10" s="39" t="s">
        <v>493</v>
      </c>
      <c r="C10" s="30">
        <v>1</v>
      </c>
      <c r="D10" s="30">
        <v>1</v>
      </c>
      <c r="E10" s="30">
        <v>1</v>
      </c>
      <c r="F10" s="30">
        <v>1</v>
      </c>
      <c r="G10" s="30">
        <v>1</v>
      </c>
    </row>
    <row r="11" spans="1:18" x14ac:dyDescent="0.2">
      <c r="A11" s="39" t="s">
        <v>63</v>
      </c>
      <c r="C11" s="30">
        <v>439.577</v>
      </c>
      <c r="D11" s="30">
        <v>426.173</v>
      </c>
      <c r="E11" s="30">
        <v>376.73099999999999</v>
      </c>
      <c r="F11" s="30">
        <v>343</v>
      </c>
      <c r="G11" s="30">
        <v>403.26900000000001</v>
      </c>
      <c r="H11" s="30">
        <v>425.096</v>
      </c>
    </row>
    <row r="12" spans="1:18" x14ac:dyDescent="0.2">
      <c r="A12" s="39" t="s">
        <v>62</v>
      </c>
      <c r="C12" s="30">
        <f t="shared" ref="C12:H12" si="1">C11-$B$5</f>
        <v>165.54199999999997</v>
      </c>
      <c r="D12" s="30">
        <f t="shared" si="1"/>
        <v>152.13799999999998</v>
      </c>
      <c r="E12" s="30">
        <f t="shared" si="1"/>
        <v>102.69599999999997</v>
      </c>
      <c r="F12" s="30">
        <f t="shared" si="1"/>
        <v>68.964999999999975</v>
      </c>
      <c r="G12" s="30">
        <f t="shared" si="1"/>
        <v>129.23399999999998</v>
      </c>
      <c r="H12" s="30">
        <f t="shared" si="1"/>
        <v>151.06099999999998</v>
      </c>
    </row>
    <row r="13" spans="1:18" x14ac:dyDescent="0.2">
      <c r="A13" s="39" t="s">
        <v>61</v>
      </c>
      <c r="C13" s="30">
        <v>4.6689999999999996</v>
      </c>
      <c r="D13" s="30">
        <v>3.9319999999999999</v>
      </c>
      <c r="E13" s="30">
        <v>3.8290000000000002</v>
      </c>
      <c r="F13" s="30">
        <v>2.5590000000000002</v>
      </c>
      <c r="G13" s="30">
        <v>4.3559999999999999</v>
      </c>
      <c r="H13" s="30">
        <v>5.4249999999999998</v>
      </c>
    </row>
    <row r="14" spans="1:18" x14ac:dyDescent="0.2">
      <c r="A14" s="39" t="s">
        <v>60</v>
      </c>
      <c r="C14" s="30">
        <f t="shared" ref="C14:H14" si="2">SQRT((1+(C13^2)))</f>
        <v>4.7748885850876137</v>
      </c>
      <c r="D14" s="30">
        <f t="shared" si="2"/>
        <v>4.0571694566532468</v>
      </c>
      <c r="E14" s="30">
        <f t="shared" si="2"/>
        <v>3.9574285843208847</v>
      </c>
      <c r="F14" s="30">
        <f t="shared" si="2"/>
        <v>2.7474499085515647</v>
      </c>
      <c r="G14" s="30">
        <f t="shared" si="2"/>
        <v>4.4693104613575461</v>
      </c>
      <c r="H14" s="30">
        <f t="shared" si="2"/>
        <v>5.5163960155159275</v>
      </c>
    </row>
    <row r="15" spans="1:18" x14ac:dyDescent="0.2">
      <c r="A15" s="39" t="s">
        <v>59</v>
      </c>
      <c r="H15" s="30">
        <f>H12/E2</f>
        <v>1.7518531025679327</v>
      </c>
    </row>
    <row r="17" spans="1:19" x14ac:dyDescent="0.2">
      <c r="A17" s="39" t="s">
        <v>492</v>
      </c>
      <c r="C17" s="30">
        <v>1</v>
      </c>
      <c r="D17" s="30">
        <v>1</v>
      </c>
      <c r="E17" s="30">
        <v>1</v>
      </c>
      <c r="F17" s="30">
        <v>1</v>
      </c>
      <c r="G17" s="30">
        <v>1</v>
      </c>
      <c r="H17" s="30">
        <v>1</v>
      </c>
      <c r="I17" s="30">
        <v>1</v>
      </c>
    </row>
    <row r="18" spans="1:19" x14ac:dyDescent="0.2">
      <c r="A18" s="39" t="s">
        <v>63</v>
      </c>
      <c r="C18" s="30">
        <v>402.13499999999999</v>
      </c>
      <c r="D18" s="30">
        <v>367.423</v>
      </c>
      <c r="E18" s="30">
        <v>338.077</v>
      </c>
      <c r="F18" s="30">
        <v>344.904</v>
      </c>
      <c r="G18" s="30">
        <v>345.05799999999999</v>
      </c>
      <c r="H18" s="30">
        <v>359.55799999999999</v>
      </c>
      <c r="I18" s="30">
        <v>342.327</v>
      </c>
      <c r="J18" s="30">
        <v>419.21199999999999</v>
      </c>
      <c r="K18" s="30">
        <v>441.73099999999999</v>
      </c>
      <c r="L18" s="30">
        <v>351.346</v>
      </c>
      <c r="M18" s="30">
        <v>466.80799999999999</v>
      </c>
      <c r="N18" s="30">
        <v>365.673</v>
      </c>
      <c r="O18" s="30">
        <v>395.76900000000001</v>
      </c>
      <c r="P18" s="30">
        <v>450.904</v>
      </c>
      <c r="Q18" s="30">
        <v>440.23099999999999</v>
      </c>
      <c r="R18" s="30">
        <v>328.26900000000001</v>
      </c>
      <c r="S18" s="30">
        <v>350.80799999999999</v>
      </c>
    </row>
    <row r="19" spans="1:19" x14ac:dyDescent="0.2">
      <c r="A19" s="39" t="s">
        <v>62</v>
      </c>
      <c r="C19" s="30">
        <f t="shared" ref="C19:S19" si="3">C18-$B$5</f>
        <v>128.09999999999997</v>
      </c>
      <c r="D19" s="30">
        <f t="shared" si="3"/>
        <v>93.387999999999977</v>
      </c>
      <c r="E19" s="30">
        <f t="shared" si="3"/>
        <v>64.041999999999973</v>
      </c>
      <c r="F19" s="30">
        <f t="shared" si="3"/>
        <v>70.868999999999971</v>
      </c>
      <c r="G19" s="30">
        <f t="shared" si="3"/>
        <v>71.022999999999968</v>
      </c>
      <c r="H19" s="30">
        <f t="shared" si="3"/>
        <v>85.522999999999968</v>
      </c>
      <c r="I19" s="30">
        <f t="shared" si="3"/>
        <v>68.291999999999973</v>
      </c>
      <c r="J19" s="30">
        <f t="shared" si="3"/>
        <v>145.17699999999996</v>
      </c>
      <c r="K19" s="30">
        <f t="shared" si="3"/>
        <v>167.69599999999997</v>
      </c>
      <c r="L19" s="30">
        <f t="shared" si="3"/>
        <v>77.310999999999979</v>
      </c>
      <c r="M19" s="30">
        <f t="shared" si="3"/>
        <v>192.77299999999997</v>
      </c>
      <c r="N19" s="30">
        <f t="shared" si="3"/>
        <v>91.637999999999977</v>
      </c>
      <c r="O19" s="30">
        <f t="shared" si="3"/>
        <v>121.73399999999998</v>
      </c>
      <c r="P19" s="30">
        <f t="shared" si="3"/>
        <v>176.86899999999997</v>
      </c>
      <c r="Q19" s="30">
        <f t="shared" si="3"/>
        <v>166.19599999999997</v>
      </c>
      <c r="R19" s="30">
        <f t="shared" si="3"/>
        <v>54.23399999999998</v>
      </c>
      <c r="S19" s="30">
        <f t="shared" si="3"/>
        <v>76.772999999999968</v>
      </c>
    </row>
    <row r="20" spans="1:19" x14ac:dyDescent="0.2">
      <c r="A20" s="39" t="s">
        <v>61</v>
      </c>
      <c r="C20" s="30">
        <v>5.76</v>
      </c>
      <c r="D20" s="30">
        <v>2.6840000000000002</v>
      </c>
      <c r="E20" s="30">
        <v>6.7140000000000004</v>
      </c>
      <c r="F20" s="30">
        <v>5.048</v>
      </c>
      <c r="G20" s="30">
        <v>4.4109999999999996</v>
      </c>
      <c r="H20" s="30">
        <v>3.78</v>
      </c>
      <c r="I20" s="30">
        <v>4.5519999999999996</v>
      </c>
      <c r="J20" s="30">
        <v>4.923</v>
      </c>
      <c r="K20" s="30">
        <v>4.3710000000000004</v>
      </c>
      <c r="L20" s="30">
        <v>4.0090000000000003</v>
      </c>
      <c r="M20" s="30">
        <v>3.258</v>
      </c>
      <c r="N20" s="30">
        <v>2.93</v>
      </c>
      <c r="O20" s="30">
        <v>7.4320000000000004</v>
      </c>
      <c r="P20" s="30">
        <v>7.0110000000000001</v>
      </c>
      <c r="Q20" s="30">
        <v>3.3580000000000001</v>
      </c>
      <c r="R20" s="30">
        <v>3.0680000000000001</v>
      </c>
      <c r="S20" s="30">
        <v>4.3840000000000003</v>
      </c>
    </row>
    <row r="21" spans="1:19" x14ac:dyDescent="0.2">
      <c r="A21" s="39" t="s">
        <v>60</v>
      </c>
      <c r="C21" s="30">
        <f t="shared" ref="C21:S21" si="4">SQRT((1+(C20^2)))</f>
        <v>5.8461611335986969</v>
      </c>
      <c r="D21" s="30">
        <f t="shared" si="4"/>
        <v>2.8642374203267442</v>
      </c>
      <c r="E21" s="30">
        <f t="shared" si="4"/>
        <v>6.788062757517789</v>
      </c>
      <c r="F21" s="30">
        <f t="shared" si="4"/>
        <v>5.1460959959954105</v>
      </c>
      <c r="G21" s="30">
        <f t="shared" si="4"/>
        <v>4.5229327874731897</v>
      </c>
      <c r="H21" s="30">
        <f t="shared" si="4"/>
        <v>3.9100383629831561</v>
      </c>
      <c r="I21" s="30">
        <f t="shared" si="4"/>
        <v>4.6605476073096819</v>
      </c>
      <c r="J21" s="30">
        <f t="shared" si="4"/>
        <v>5.0235374986158909</v>
      </c>
      <c r="K21" s="30">
        <f t="shared" si="4"/>
        <v>4.4839314223123443</v>
      </c>
      <c r="L21" s="30">
        <f t="shared" si="4"/>
        <v>4.1318374847033859</v>
      </c>
      <c r="M21" s="30">
        <f t="shared" si="4"/>
        <v>3.4080146713299224</v>
      </c>
      <c r="N21" s="30">
        <f t="shared" si="4"/>
        <v>3.0959489659876502</v>
      </c>
      <c r="O21" s="30">
        <f t="shared" si="4"/>
        <v>7.4989748632729798</v>
      </c>
      <c r="P21" s="30">
        <f t="shared" si="4"/>
        <v>7.0819574271524681</v>
      </c>
      <c r="Q21" s="30">
        <f t="shared" si="4"/>
        <v>3.5037357206273421</v>
      </c>
      <c r="R21" s="30">
        <f t="shared" si="4"/>
        <v>3.2268597738358573</v>
      </c>
      <c r="S21" s="30">
        <f t="shared" si="4"/>
        <v>4.4966049415086493</v>
      </c>
    </row>
    <row r="22" spans="1:19" x14ac:dyDescent="0.2">
      <c r="A22" s="39" t="s">
        <v>59</v>
      </c>
      <c r="J22" s="30">
        <f t="shared" ref="J22:S22" si="5">J19/$E$2</f>
        <v>1.6836164057665761</v>
      </c>
      <c r="K22" s="30">
        <f t="shared" si="5"/>
        <v>1.9447690528212578</v>
      </c>
      <c r="L22" s="30">
        <f t="shared" si="5"/>
        <v>0.89657499429124277</v>
      </c>
      <c r="M22" s="30">
        <f t="shared" si="5"/>
        <v>2.2355868036179296</v>
      </c>
      <c r="N22" s="30">
        <f t="shared" si="5"/>
        <v>1.0627250886272446</v>
      </c>
      <c r="O22" s="30">
        <f t="shared" si="5"/>
        <v>1.4117481387519262</v>
      </c>
      <c r="P22" s="30">
        <f t="shared" si="5"/>
        <v>2.0511482540039303</v>
      </c>
      <c r="Q22" s="30">
        <f t="shared" si="5"/>
        <v>1.9273735658732574</v>
      </c>
      <c r="R22" s="30">
        <f t="shared" si="5"/>
        <v>0.6289512260919049</v>
      </c>
      <c r="S22" s="30">
        <f t="shared" si="5"/>
        <v>0.89033581297255981</v>
      </c>
    </row>
    <row r="23" spans="1:19" x14ac:dyDescent="0.2">
      <c r="A23" s="39"/>
    </row>
    <row r="24" spans="1:19" x14ac:dyDescent="0.2">
      <c r="A24" s="39" t="s">
        <v>491</v>
      </c>
      <c r="C24" s="30">
        <v>1</v>
      </c>
      <c r="D24" s="30">
        <v>1</v>
      </c>
      <c r="E24" s="30">
        <v>1</v>
      </c>
      <c r="F24" s="30">
        <v>1</v>
      </c>
      <c r="G24" s="30">
        <v>1</v>
      </c>
      <c r="H24" s="30">
        <v>1</v>
      </c>
      <c r="I24" s="30">
        <v>1</v>
      </c>
      <c r="J24" s="30">
        <v>1</v>
      </c>
      <c r="K24" s="30">
        <v>1</v>
      </c>
      <c r="L24" s="30">
        <v>1</v>
      </c>
    </row>
    <row r="25" spans="1:19" x14ac:dyDescent="0.2">
      <c r="A25" s="39" t="s">
        <v>63</v>
      </c>
      <c r="C25" s="30">
        <v>336.73099999999999</v>
      </c>
      <c r="D25" s="30">
        <v>334.03800000000001</v>
      </c>
      <c r="E25" s="30">
        <v>310.78800000000001</v>
      </c>
      <c r="F25" s="30">
        <v>346.63499999999999</v>
      </c>
      <c r="G25" s="30">
        <v>359.76900000000001</v>
      </c>
      <c r="H25" s="30">
        <v>376.5</v>
      </c>
      <c r="I25" s="30">
        <v>316.73099999999999</v>
      </c>
      <c r="J25" s="30">
        <v>377.654</v>
      </c>
      <c r="K25" s="30">
        <v>387.173</v>
      </c>
      <c r="L25" s="30">
        <v>332.63499999999999</v>
      </c>
      <c r="M25" s="30">
        <v>352.76900000000001</v>
      </c>
      <c r="N25" s="30">
        <v>369.077</v>
      </c>
      <c r="O25" s="30">
        <v>358.63499999999999</v>
      </c>
      <c r="P25" s="30">
        <v>351.88499999999999</v>
      </c>
      <c r="Q25" s="30">
        <v>345.98099999999999</v>
      </c>
      <c r="R25" s="30">
        <v>365.827</v>
      </c>
    </row>
    <row r="26" spans="1:19" x14ac:dyDescent="0.2">
      <c r="A26" s="39" t="s">
        <v>62</v>
      </c>
      <c r="C26" s="30">
        <f t="shared" ref="C26:R26" si="6">C25-$B$5</f>
        <v>62.69599999999997</v>
      </c>
      <c r="D26" s="30">
        <f t="shared" si="6"/>
        <v>60.002999999999986</v>
      </c>
      <c r="E26" s="30">
        <f t="shared" si="6"/>
        <v>36.752999999999986</v>
      </c>
      <c r="F26" s="30">
        <f t="shared" si="6"/>
        <v>72.599999999999966</v>
      </c>
      <c r="G26" s="30">
        <f t="shared" si="6"/>
        <v>85.73399999999998</v>
      </c>
      <c r="H26" s="30">
        <f t="shared" si="6"/>
        <v>102.46499999999997</v>
      </c>
      <c r="I26" s="30">
        <f t="shared" si="6"/>
        <v>42.69599999999997</v>
      </c>
      <c r="J26" s="30">
        <f t="shared" si="6"/>
        <v>103.61899999999997</v>
      </c>
      <c r="K26" s="30">
        <f t="shared" si="6"/>
        <v>113.13799999999998</v>
      </c>
      <c r="L26" s="30">
        <f t="shared" si="6"/>
        <v>58.599999999999966</v>
      </c>
      <c r="M26" s="30">
        <f t="shared" si="6"/>
        <v>78.73399999999998</v>
      </c>
      <c r="N26" s="30">
        <f t="shared" si="6"/>
        <v>95.041999999999973</v>
      </c>
      <c r="O26" s="30">
        <f t="shared" si="6"/>
        <v>84.599999999999966</v>
      </c>
      <c r="P26" s="30">
        <f t="shared" si="6"/>
        <v>77.849999999999966</v>
      </c>
      <c r="Q26" s="30">
        <f t="shared" si="6"/>
        <v>71.94599999999997</v>
      </c>
      <c r="R26" s="30">
        <f t="shared" si="6"/>
        <v>91.791999999999973</v>
      </c>
    </row>
    <row r="27" spans="1:19" x14ac:dyDescent="0.2">
      <c r="A27" s="39" t="s">
        <v>61</v>
      </c>
      <c r="C27" s="30">
        <v>7.0350000000000001</v>
      </c>
      <c r="D27" s="30">
        <v>2.8340000000000001</v>
      </c>
      <c r="E27" s="30">
        <v>1.8</v>
      </c>
      <c r="F27" s="30">
        <v>2.3239999999999998</v>
      </c>
      <c r="G27" s="30">
        <v>2.9569999999999999</v>
      </c>
      <c r="H27" s="30">
        <v>4.05</v>
      </c>
      <c r="I27" s="30">
        <v>3.93</v>
      </c>
      <c r="J27" s="30">
        <v>5.0179999999999998</v>
      </c>
      <c r="K27" s="30">
        <v>4.58</v>
      </c>
      <c r="L27" s="30">
        <v>6.6130000000000004</v>
      </c>
      <c r="M27" s="30">
        <v>3.2370000000000001</v>
      </c>
      <c r="N27" s="30">
        <v>0.58299999999999996</v>
      </c>
      <c r="O27" s="30">
        <v>0.97099999999999997</v>
      </c>
      <c r="P27" s="30">
        <v>4.0199999999999996</v>
      </c>
      <c r="Q27" s="30">
        <v>2.9289999999999998</v>
      </c>
      <c r="R27" s="30">
        <v>3.8919999999999999</v>
      </c>
    </row>
    <row r="28" spans="1:19" x14ac:dyDescent="0.2">
      <c r="A28" s="39" t="s">
        <v>60</v>
      </c>
      <c r="C28" s="30">
        <f t="shared" ref="C28:R28" si="7">SQRT((4+(C27^2)))</f>
        <v>7.3137695479143998</v>
      </c>
      <c r="D28" s="30">
        <f t="shared" si="7"/>
        <v>3.4686533409956088</v>
      </c>
      <c r="E28" s="30">
        <f t="shared" si="7"/>
        <v>2.6907248094147422</v>
      </c>
      <c r="F28" s="30">
        <f t="shared" si="7"/>
        <v>3.0661011072696218</v>
      </c>
      <c r="G28" s="30">
        <f t="shared" si="7"/>
        <v>3.5698527980856576</v>
      </c>
      <c r="H28" s="30">
        <f t="shared" si="7"/>
        <v>4.5169126624277336</v>
      </c>
      <c r="I28" s="30">
        <f t="shared" si="7"/>
        <v>4.4096371732830812</v>
      </c>
      <c r="J28" s="30">
        <f t="shared" si="7"/>
        <v>5.4018815240617784</v>
      </c>
      <c r="K28" s="30">
        <f t="shared" si="7"/>
        <v>4.9976394427769595</v>
      </c>
      <c r="L28" s="30">
        <f t="shared" si="7"/>
        <v>6.9088182057425715</v>
      </c>
      <c r="M28" s="30">
        <f t="shared" si="7"/>
        <v>3.8050189224233826</v>
      </c>
      <c r="N28" s="30">
        <f t="shared" si="7"/>
        <v>2.0832400245771008</v>
      </c>
      <c r="O28" s="30">
        <f t="shared" si="7"/>
        <v>2.2232500983919916</v>
      </c>
      <c r="P28" s="30">
        <f t="shared" si="7"/>
        <v>4.4900334074480996</v>
      </c>
      <c r="Q28" s="30">
        <f t="shared" si="7"/>
        <v>3.5466943764581687</v>
      </c>
      <c r="R28" s="30">
        <f t="shared" si="7"/>
        <v>4.3758043831963054</v>
      </c>
    </row>
    <row r="29" spans="1:19" x14ac:dyDescent="0.2">
      <c r="A29" s="39" t="s">
        <v>59</v>
      </c>
      <c r="M29" s="30">
        <f t="shared" ref="M29:R29" si="8">M26/$E$2</f>
        <v>0.91307751290924588</v>
      </c>
      <c r="N29" s="30">
        <f t="shared" si="8"/>
        <v>1.102201247007907</v>
      </c>
      <c r="O29" s="30">
        <f t="shared" si="8"/>
        <v>0.9811054638672263</v>
      </c>
      <c r="P29" s="30">
        <f t="shared" si="8"/>
        <v>0.9028257726012241</v>
      </c>
      <c r="Q29" s="30">
        <f t="shared" si="8"/>
        <v>0.83435713597389438</v>
      </c>
      <c r="R29" s="30">
        <f t="shared" si="8"/>
        <v>1.0645110252872394</v>
      </c>
    </row>
    <row r="31" spans="1:19" x14ac:dyDescent="0.2">
      <c r="A31" s="39" t="s">
        <v>490</v>
      </c>
      <c r="C31" s="30">
        <v>1</v>
      </c>
      <c r="D31" s="30">
        <v>1</v>
      </c>
      <c r="E31" s="30">
        <v>1</v>
      </c>
      <c r="F31" s="30">
        <v>1</v>
      </c>
      <c r="G31" s="30">
        <v>1</v>
      </c>
      <c r="H31" s="30">
        <v>1</v>
      </c>
      <c r="I31" s="30">
        <v>1</v>
      </c>
    </row>
    <row r="32" spans="1:19" x14ac:dyDescent="0.2">
      <c r="A32" s="39" t="s">
        <v>63</v>
      </c>
      <c r="C32" s="30">
        <v>325.25</v>
      </c>
      <c r="D32" s="30">
        <v>345.577</v>
      </c>
      <c r="E32" s="30">
        <v>399.25</v>
      </c>
      <c r="F32" s="30">
        <v>326.55799999999999</v>
      </c>
      <c r="G32" s="30">
        <v>328.05799999999999</v>
      </c>
      <c r="H32" s="30">
        <v>322.48099999999999</v>
      </c>
      <c r="I32" s="30">
        <v>296.23099999999999</v>
      </c>
      <c r="J32" s="30">
        <v>392.346</v>
      </c>
      <c r="K32" s="30">
        <v>395.73099999999999</v>
      </c>
    </row>
    <row r="33" spans="1:11" x14ac:dyDescent="0.2">
      <c r="A33" s="39" t="s">
        <v>62</v>
      </c>
      <c r="C33" s="30">
        <f t="shared" ref="C33:K33" si="9">C32-$B$5</f>
        <v>51.214999999999975</v>
      </c>
      <c r="D33" s="30">
        <f t="shared" si="9"/>
        <v>71.541999999999973</v>
      </c>
      <c r="E33" s="30">
        <f t="shared" si="9"/>
        <v>125.21499999999997</v>
      </c>
      <c r="F33" s="30">
        <f t="shared" si="9"/>
        <v>52.522999999999968</v>
      </c>
      <c r="G33" s="30">
        <f t="shared" si="9"/>
        <v>54.022999999999968</v>
      </c>
      <c r="H33" s="30">
        <f t="shared" si="9"/>
        <v>48.44599999999997</v>
      </c>
      <c r="I33" s="30">
        <f t="shared" si="9"/>
        <v>22.19599999999997</v>
      </c>
      <c r="J33" s="30">
        <f t="shared" si="9"/>
        <v>118.31099999999998</v>
      </c>
      <c r="K33" s="30">
        <f t="shared" si="9"/>
        <v>121.69599999999997</v>
      </c>
    </row>
    <row r="34" spans="1:11" x14ac:dyDescent="0.2">
      <c r="A34" s="39" t="s">
        <v>61</v>
      </c>
      <c r="C34" s="30">
        <v>1.9870000000000001</v>
      </c>
      <c r="D34" s="30">
        <v>0.77500000000000002</v>
      </c>
      <c r="E34" s="30">
        <v>0.97699999999999998</v>
      </c>
      <c r="F34" s="30">
        <v>3.125</v>
      </c>
      <c r="G34" s="30">
        <v>4.593</v>
      </c>
      <c r="H34" s="30">
        <v>8.2850000000000001</v>
      </c>
      <c r="I34" s="30">
        <v>7.016</v>
      </c>
      <c r="J34" s="30">
        <v>2.7080000000000002</v>
      </c>
      <c r="K34" s="30">
        <v>3.294</v>
      </c>
    </row>
    <row r="35" spans="1:11" x14ac:dyDescent="0.2">
      <c r="A35" s="39" t="s">
        <v>60</v>
      </c>
      <c r="C35" s="30">
        <f t="shared" ref="C35:K35" si="10">SQRT((9+(C34^2)))</f>
        <v>3.5983564303720663</v>
      </c>
      <c r="D35" s="30">
        <f t="shared" si="10"/>
        <v>3.0984875342657103</v>
      </c>
      <c r="E35" s="30">
        <f t="shared" si="10"/>
        <v>3.1550798722060907</v>
      </c>
      <c r="F35" s="30">
        <f t="shared" si="10"/>
        <v>4.3319308627908644</v>
      </c>
      <c r="G35" s="30">
        <f t="shared" si="10"/>
        <v>5.4859501455992108</v>
      </c>
      <c r="H35" s="30">
        <f t="shared" si="10"/>
        <v>8.8114258210575667</v>
      </c>
      <c r="I35" s="30">
        <f t="shared" si="10"/>
        <v>7.6304820293347131</v>
      </c>
      <c r="J35" s="30">
        <f t="shared" si="10"/>
        <v>4.041443306542849</v>
      </c>
      <c r="K35" s="30">
        <f t="shared" si="10"/>
        <v>4.4553828118355892</v>
      </c>
    </row>
    <row r="36" spans="1:11" x14ac:dyDescent="0.2">
      <c r="A36" s="39" t="s">
        <v>59</v>
      </c>
      <c r="J36" s="30">
        <f>J33/$E$2</f>
        <v>1.372051637536589</v>
      </c>
      <c r="K36" s="30">
        <f>K33/$E$2</f>
        <v>1.4113074530825767</v>
      </c>
    </row>
    <row r="38" spans="1:11" x14ac:dyDescent="0.2">
      <c r="A38" s="39" t="s">
        <v>489</v>
      </c>
      <c r="C38" s="30">
        <v>1</v>
      </c>
      <c r="D38" s="30">
        <v>1</v>
      </c>
    </row>
    <row r="39" spans="1:11" x14ac:dyDescent="0.2">
      <c r="A39" s="39" t="s">
        <v>63</v>
      </c>
      <c r="C39" s="30">
        <v>337.923</v>
      </c>
      <c r="D39" s="30">
        <v>308.55799999999999</v>
      </c>
      <c r="E39" s="30">
        <v>322.423</v>
      </c>
    </row>
    <row r="40" spans="1:11" x14ac:dyDescent="0.2">
      <c r="A40" s="39" t="s">
        <v>62</v>
      </c>
      <c r="C40" s="30">
        <f>C39-$B$5</f>
        <v>63.887999999999977</v>
      </c>
      <c r="D40" s="30">
        <f>D39-$B$5</f>
        <v>34.522999999999968</v>
      </c>
      <c r="E40" s="30">
        <f>E39-$B$5</f>
        <v>48.387999999999977</v>
      </c>
    </row>
    <row r="41" spans="1:11" x14ac:dyDescent="0.2">
      <c r="A41" s="39" t="s">
        <v>61</v>
      </c>
      <c r="C41" s="30">
        <v>3.0910000000000002</v>
      </c>
      <c r="D41" s="30">
        <v>4.1820000000000004</v>
      </c>
      <c r="E41" s="30">
        <v>0.80500000000000005</v>
      </c>
    </row>
    <row r="42" spans="1:11" x14ac:dyDescent="0.2">
      <c r="A42" s="39" t="s">
        <v>60</v>
      </c>
      <c r="C42" s="30">
        <f>SQRT((16+(C41^2)))</f>
        <v>5.0551242319056815</v>
      </c>
      <c r="D42" s="30">
        <f>SQRT((16+(D41^2)))</f>
        <v>5.7869788318258086</v>
      </c>
      <c r="E42" s="30">
        <f>SQRT((16+(E41^2)))</f>
        <v>4.0801991372971003</v>
      </c>
    </row>
    <row r="43" spans="1:11" x14ac:dyDescent="0.2">
      <c r="A43" s="39" t="s">
        <v>59</v>
      </c>
      <c r="E43" s="30">
        <f>E40/E2</f>
        <v>0.56115521495989762</v>
      </c>
    </row>
    <row r="45" spans="1:11" x14ac:dyDescent="0.2">
      <c r="A45" s="39" t="s">
        <v>488</v>
      </c>
    </row>
    <row r="46" spans="1:11" x14ac:dyDescent="0.2">
      <c r="A46" s="39" t="s">
        <v>63</v>
      </c>
      <c r="C46" s="30">
        <v>293.86500000000001</v>
      </c>
    </row>
    <row r="47" spans="1:11" x14ac:dyDescent="0.2">
      <c r="A47" s="39" t="s">
        <v>62</v>
      </c>
      <c r="C47" s="30">
        <f>C46-B5</f>
        <v>19.829999999999984</v>
      </c>
    </row>
    <row r="48" spans="1:11" x14ac:dyDescent="0.2">
      <c r="A48" s="39" t="s">
        <v>61</v>
      </c>
      <c r="C48" s="30">
        <v>9.7159999999999993</v>
      </c>
    </row>
    <row r="49" spans="1:3" x14ac:dyDescent="0.2">
      <c r="A49" s="39" t="s">
        <v>60</v>
      </c>
      <c r="C49" s="30">
        <f>SQRT((49+(C48^2)))</f>
        <v>11.975001294363185</v>
      </c>
    </row>
    <row r="50" spans="1:3" x14ac:dyDescent="0.2">
      <c r="A50" s="39" t="s">
        <v>59</v>
      </c>
      <c r="C50" s="30">
        <f>C47/E2</f>
        <v>0.22996833745256606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ECC3-E9F3-1243-81D2-BF5B8CD099A3}">
  <dimension ref="A1:M57"/>
  <sheetViews>
    <sheetView workbookViewId="0">
      <selection activeCell="J43" sqref="J43"/>
    </sheetView>
  </sheetViews>
  <sheetFormatPr baseColWidth="10" defaultRowHeight="16" x14ac:dyDescent="0.2"/>
  <cols>
    <col min="1" max="1" width="20.83203125" style="30" bestFit="1" customWidth="1"/>
    <col min="2" max="2" width="17.5" style="30" bestFit="1" customWidth="1"/>
    <col min="3" max="3" width="10.83203125" style="30"/>
    <col min="4" max="4" width="12" style="30" bestFit="1" customWidth="1"/>
    <col min="5" max="16384" width="10.83203125" style="30"/>
  </cols>
  <sheetData>
    <row r="1" spans="1:13" x14ac:dyDescent="0.2">
      <c r="A1" s="30" t="s">
        <v>498</v>
      </c>
      <c r="B1" s="42">
        <v>45236</v>
      </c>
      <c r="C1" s="30" t="s">
        <v>507</v>
      </c>
    </row>
    <row r="2" spans="1:13" x14ac:dyDescent="0.2">
      <c r="A2" s="30" t="s">
        <v>27</v>
      </c>
      <c r="B2" s="30">
        <v>48.534999999999997</v>
      </c>
      <c r="D2" s="30" t="s">
        <v>73</v>
      </c>
      <c r="E2" s="30">
        <f>AVERAGE(C6:E6,C12:D12,C19:E19,C26:H26,C47:D47)</f>
        <v>159.16687499999998</v>
      </c>
      <c r="I2" s="30" t="s">
        <v>496</v>
      </c>
      <c r="J2" s="30" t="s">
        <v>495</v>
      </c>
    </row>
    <row r="3" spans="1:13" ht="17" thickBot="1" x14ac:dyDescent="0.25"/>
    <row r="4" spans="1:13" ht="17" thickBot="1" x14ac:dyDescent="0.25">
      <c r="A4" s="41" t="s">
        <v>506</v>
      </c>
      <c r="B4" s="40" t="s">
        <v>70</v>
      </c>
      <c r="C4" s="30">
        <v>1</v>
      </c>
      <c r="D4" s="30">
        <v>1</v>
      </c>
      <c r="E4" s="30">
        <v>1</v>
      </c>
    </row>
    <row r="5" spans="1:13" x14ac:dyDescent="0.2">
      <c r="A5" s="39" t="s">
        <v>63</v>
      </c>
      <c r="B5" s="30">
        <v>279.36200000000002</v>
      </c>
      <c r="C5" s="30">
        <v>424.80799999999999</v>
      </c>
      <c r="D5" s="30">
        <v>440.28800000000001</v>
      </c>
      <c r="E5" s="30">
        <v>340.05799999999999</v>
      </c>
      <c r="F5" s="30">
        <v>458.25</v>
      </c>
      <c r="G5" s="30">
        <v>514.26900000000001</v>
      </c>
      <c r="H5" s="30">
        <v>598.71199999999999</v>
      </c>
      <c r="I5" s="30">
        <v>665.38499999999999</v>
      </c>
      <c r="J5" s="30">
        <v>603.55799999999999</v>
      </c>
      <c r="K5" s="30">
        <v>623.36500000000001</v>
      </c>
      <c r="L5" s="30">
        <v>506.75</v>
      </c>
      <c r="M5" s="30">
        <v>494.73099999999999</v>
      </c>
    </row>
    <row r="6" spans="1:13" x14ac:dyDescent="0.2">
      <c r="A6" s="39" t="s">
        <v>62</v>
      </c>
      <c r="C6" s="30">
        <f t="shared" ref="C6:M6" si="0">C5-$B$5</f>
        <v>145.44599999999997</v>
      </c>
      <c r="D6" s="30">
        <f t="shared" si="0"/>
        <v>160.92599999999999</v>
      </c>
      <c r="E6" s="30">
        <f t="shared" si="0"/>
        <v>60.69599999999997</v>
      </c>
      <c r="F6" s="30">
        <f t="shared" si="0"/>
        <v>178.88799999999998</v>
      </c>
      <c r="G6" s="30">
        <f t="shared" si="0"/>
        <v>234.90699999999998</v>
      </c>
      <c r="H6" s="30">
        <f t="shared" si="0"/>
        <v>319.34999999999997</v>
      </c>
      <c r="I6" s="30">
        <f t="shared" si="0"/>
        <v>386.02299999999997</v>
      </c>
      <c r="J6" s="30">
        <f t="shared" si="0"/>
        <v>324.19599999999997</v>
      </c>
      <c r="K6" s="30">
        <f t="shared" si="0"/>
        <v>344.00299999999999</v>
      </c>
      <c r="L6" s="30">
        <f t="shared" si="0"/>
        <v>227.38799999999998</v>
      </c>
      <c r="M6" s="30">
        <f t="shared" si="0"/>
        <v>215.36899999999997</v>
      </c>
    </row>
    <row r="7" spans="1:13" x14ac:dyDescent="0.2">
      <c r="A7" s="39" t="s">
        <v>61</v>
      </c>
      <c r="C7" s="30">
        <v>3.2759999999999998</v>
      </c>
      <c r="D7" s="30">
        <v>6.7850000000000001</v>
      </c>
      <c r="E7" s="30">
        <v>9.27</v>
      </c>
      <c r="F7" s="30">
        <v>3.7469999999999999</v>
      </c>
      <c r="G7" s="30">
        <v>3.641</v>
      </c>
      <c r="H7" s="30">
        <v>3.2709999999999999</v>
      </c>
      <c r="I7" s="30">
        <v>2.7890000000000001</v>
      </c>
      <c r="J7" s="30">
        <v>3.3079999999999998</v>
      </c>
      <c r="K7" s="30">
        <v>2.5259999999999998</v>
      </c>
      <c r="L7" s="30">
        <v>3.1379999999999999</v>
      </c>
      <c r="M7" s="30">
        <v>3.7429999999999999</v>
      </c>
    </row>
    <row r="8" spans="1:13" x14ac:dyDescent="0.2">
      <c r="A8" s="39" t="s">
        <v>59</v>
      </c>
      <c r="F8" s="30">
        <f t="shared" ref="F8:M8" si="1">F6/$E$2</f>
        <v>1.123902193845296</v>
      </c>
      <c r="G8" s="30">
        <f t="shared" si="1"/>
        <v>1.4758535656366942</v>
      </c>
      <c r="H8" s="30">
        <f t="shared" si="1"/>
        <v>2.0063848083968479</v>
      </c>
      <c r="I8" s="30">
        <f t="shared" si="1"/>
        <v>2.4252722182300812</v>
      </c>
      <c r="J8" s="30">
        <f t="shared" si="1"/>
        <v>2.0368308418444481</v>
      </c>
      <c r="K8" s="30">
        <f t="shared" si="1"/>
        <v>2.1612725637793671</v>
      </c>
      <c r="L8" s="30">
        <f t="shared" si="1"/>
        <v>1.4286138368928838</v>
      </c>
      <c r="M8" s="30">
        <f t="shared" si="1"/>
        <v>1.3531018938456887</v>
      </c>
    </row>
    <row r="10" spans="1:13" x14ac:dyDescent="0.2">
      <c r="A10" s="39" t="s">
        <v>505</v>
      </c>
      <c r="C10" s="30">
        <v>1</v>
      </c>
      <c r="D10" s="30">
        <v>1</v>
      </c>
    </row>
    <row r="11" spans="1:13" x14ac:dyDescent="0.2">
      <c r="A11" s="39" t="s">
        <v>63</v>
      </c>
      <c r="C11" s="30">
        <v>467.53800000000001</v>
      </c>
      <c r="D11" s="30">
        <v>548.05799999999999</v>
      </c>
      <c r="E11" s="30">
        <v>519.404</v>
      </c>
      <c r="F11" s="30">
        <v>451.69200000000001</v>
      </c>
      <c r="G11" s="30">
        <v>516.673</v>
      </c>
      <c r="H11" s="30">
        <v>491.61500000000001</v>
      </c>
      <c r="I11" s="30">
        <v>432.71199999999999</v>
      </c>
    </row>
    <row r="12" spans="1:13" x14ac:dyDescent="0.2">
      <c r="A12" s="39" t="s">
        <v>62</v>
      </c>
      <c r="C12" s="30">
        <f t="shared" ref="C12:I12" si="2">C11-$B$5</f>
        <v>188.17599999999999</v>
      </c>
      <c r="D12" s="30">
        <f t="shared" si="2"/>
        <v>268.69599999999997</v>
      </c>
      <c r="E12" s="30">
        <f t="shared" si="2"/>
        <v>240.04199999999997</v>
      </c>
      <c r="F12" s="30">
        <f t="shared" si="2"/>
        <v>172.32999999999998</v>
      </c>
      <c r="G12" s="30">
        <f t="shared" si="2"/>
        <v>237.31099999999998</v>
      </c>
      <c r="H12" s="30">
        <f t="shared" si="2"/>
        <v>212.25299999999999</v>
      </c>
      <c r="I12" s="30">
        <f t="shared" si="2"/>
        <v>153.34999999999997</v>
      </c>
    </row>
    <row r="13" spans="1:13" x14ac:dyDescent="0.2">
      <c r="A13" s="39" t="s">
        <v>61</v>
      </c>
      <c r="C13" s="30">
        <v>3.742</v>
      </c>
      <c r="D13" s="30">
        <v>4.1539999999999999</v>
      </c>
      <c r="E13" s="30">
        <v>2.766</v>
      </c>
      <c r="F13" s="30">
        <v>4.359</v>
      </c>
      <c r="G13" s="30">
        <v>3.2850000000000001</v>
      </c>
      <c r="H13" s="30">
        <v>2.3540000000000001</v>
      </c>
      <c r="I13" s="30">
        <v>3.6280000000000001</v>
      </c>
    </row>
    <row r="14" spans="1:13" x14ac:dyDescent="0.2">
      <c r="A14" s="39" t="s">
        <v>60</v>
      </c>
      <c r="C14" s="30">
        <f t="shared" ref="C14:I14" si="3">SQRT((1+(C13^2)))</f>
        <v>3.8733143430400792</v>
      </c>
      <c r="D14" s="30">
        <f t="shared" si="3"/>
        <v>4.2726708274801606</v>
      </c>
      <c r="E14" s="30">
        <f t="shared" si="3"/>
        <v>2.9412167550182358</v>
      </c>
      <c r="F14" s="30">
        <f t="shared" si="3"/>
        <v>4.4722344527092943</v>
      </c>
      <c r="G14" s="30">
        <f t="shared" si="3"/>
        <v>3.4338353192894968</v>
      </c>
      <c r="H14" s="30">
        <f t="shared" si="3"/>
        <v>2.557599655927409</v>
      </c>
      <c r="I14" s="30">
        <f t="shared" si="3"/>
        <v>3.7632943015395437</v>
      </c>
    </row>
    <row r="15" spans="1:13" x14ac:dyDescent="0.2">
      <c r="A15" s="39" t="s">
        <v>59</v>
      </c>
      <c r="E15" s="30">
        <f>E12/$E$2</f>
        <v>1.5081153035140007</v>
      </c>
      <c r="F15" s="30">
        <f>F12/$E$2</f>
        <v>1.0827001535338305</v>
      </c>
      <c r="G15" s="30">
        <f>G12/$E$2</f>
        <v>1.4909572107889912</v>
      </c>
      <c r="H15" s="30">
        <f>H12/$E$2</f>
        <v>1.3335249561191675</v>
      </c>
      <c r="I15" s="30">
        <f>I12/$E$2</f>
        <v>0.96345423631644456</v>
      </c>
    </row>
    <row r="17" spans="1:11" x14ac:dyDescent="0.2">
      <c r="A17" s="39" t="s">
        <v>504</v>
      </c>
      <c r="C17" s="30">
        <v>1</v>
      </c>
      <c r="D17" s="30">
        <v>1</v>
      </c>
      <c r="E17" s="30">
        <v>1</v>
      </c>
    </row>
    <row r="18" spans="1:11" x14ac:dyDescent="0.2">
      <c r="A18" s="39" t="s">
        <v>63</v>
      </c>
      <c r="C18" s="30">
        <v>390.19200000000001</v>
      </c>
      <c r="D18" s="30">
        <v>487.78800000000001</v>
      </c>
      <c r="E18" s="30">
        <v>342.71199999999999</v>
      </c>
      <c r="F18" s="30">
        <v>376.36500000000001</v>
      </c>
      <c r="G18" s="30">
        <v>415.88499999999999</v>
      </c>
      <c r="H18" s="30">
        <v>384.76900000000001</v>
      </c>
      <c r="I18" s="30">
        <v>411.36500000000001</v>
      </c>
    </row>
    <row r="19" spans="1:11" x14ac:dyDescent="0.2">
      <c r="A19" s="39" t="s">
        <v>62</v>
      </c>
      <c r="C19" s="30">
        <f t="shared" ref="C19:I19" si="4">C18-$B$5</f>
        <v>110.82999999999998</v>
      </c>
      <c r="D19" s="30">
        <f t="shared" si="4"/>
        <v>208.42599999999999</v>
      </c>
      <c r="E19" s="30">
        <f t="shared" si="4"/>
        <v>63.349999999999966</v>
      </c>
      <c r="F19" s="30">
        <f t="shared" si="4"/>
        <v>97.002999999999986</v>
      </c>
      <c r="G19" s="30">
        <f t="shared" si="4"/>
        <v>136.52299999999997</v>
      </c>
      <c r="H19" s="30">
        <f t="shared" si="4"/>
        <v>105.40699999999998</v>
      </c>
      <c r="I19" s="30">
        <f t="shared" si="4"/>
        <v>132.00299999999999</v>
      </c>
    </row>
    <row r="20" spans="1:11" x14ac:dyDescent="0.2">
      <c r="A20" s="39" t="s">
        <v>61</v>
      </c>
      <c r="C20" s="30">
        <v>5.399</v>
      </c>
      <c r="D20" s="30">
        <v>4.3150000000000004</v>
      </c>
      <c r="E20" s="30">
        <v>5.6669999999999998</v>
      </c>
      <c r="F20" s="30">
        <v>3.1880000000000002</v>
      </c>
      <c r="G20" s="30">
        <v>2.9449999999999998</v>
      </c>
      <c r="H20" s="30">
        <v>7.7480000000000002</v>
      </c>
      <c r="I20" s="30">
        <v>8.4049999999999994</v>
      </c>
    </row>
    <row r="21" spans="1:11" x14ac:dyDescent="0.2">
      <c r="A21" s="39" t="s">
        <v>60</v>
      </c>
      <c r="C21" s="30">
        <f t="shared" ref="C21:I21" si="5">SQRT((4+(C20^2)))</f>
        <v>5.7575342812700647</v>
      </c>
      <c r="D21" s="30">
        <f t="shared" si="5"/>
        <v>4.7559673043451429</v>
      </c>
      <c r="E21" s="30">
        <f t="shared" si="5"/>
        <v>6.0095664569085177</v>
      </c>
      <c r="F21" s="30">
        <f t="shared" si="5"/>
        <v>3.7634218472023568</v>
      </c>
      <c r="G21" s="30">
        <f t="shared" si="5"/>
        <v>3.5599192406570124</v>
      </c>
      <c r="H21" s="30">
        <f t="shared" si="5"/>
        <v>8.0019687577495588</v>
      </c>
      <c r="I21" s="30">
        <f t="shared" si="5"/>
        <v>8.639677366661326</v>
      </c>
    </row>
    <row r="22" spans="1:11" x14ac:dyDescent="0.2">
      <c r="A22" s="39" t="s">
        <v>59</v>
      </c>
      <c r="F22" s="30">
        <f>F19/$E$2</f>
        <v>0.60944213423804416</v>
      </c>
      <c r="G22" s="30">
        <f>G19/$E$2</f>
        <v>0.85773500296465577</v>
      </c>
      <c r="H22" s="30">
        <f>H19/$E$2</f>
        <v>0.66224206512818695</v>
      </c>
      <c r="I22" s="30">
        <f>I19/$E$2</f>
        <v>0.82933713437547862</v>
      </c>
    </row>
    <row r="24" spans="1:11" x14ac:dyDescent="0.2">
      <c r="A24" s="39" t="s">
        <v>503</v>
      </c>
      <c r="C24" s="30">
        <v>1</v>
      </c>
      <c r="D24" s="30">
        <v>1</v>
      </c>
      <c r="E24" s="30">
        <v>1</v>
      </c>
      <c r="F24" s="30">
        <v>1</v>
      </c>
      <c r="G24" s="30">
        <v>1</v>
      </c>
      <c r="H24" s="30">
        <v>1</v>
      </c>
    </row>
    <row r="25" spans="1:11" x14ac:dyDescent="0.2">
      <c r="A25" s="39" t="s">
        <v>63</v>
      </c>
      <c r="C25" s="30">
        <v>514.96199999999999</v>
      </c>
      <c r="D25" s="30">
        <v>389.13499999999999</v>
      </c>
      <c r="E25" s="30">
        <v>479.173</v>
      </c>
      <c r="F25" s="30">
        <v>489.03800000000001</v>
      </c>
      <c r="G25" s="30">
        <v>464.25</v>
      </c>
      <c r="H25" s="30">
        <v>391.88499999999999</v>
      </c>
      <c r="I25" s="30">
        <v>478.596</v>
      </c>
      <c r="J25" s="30">
        <v>504.673</v>
      </c>
      <c r="K25" s="30">
        <v>560.36500000000001</v>
      </c>
    </row>
    <row r="26" spans="1:11" x14ac:dyDescent="0.2">
      <c r="A26" s="39" t="s">
        <v>62</v>
      </c>
      <c r="C26" s="30">
        <f t="shared" ref="C26:K26" si="6">C25-$B$5</f>
        <v>235.59999999999997</v>
      </c>
      <c r="D26" s="30">
        <f t="shared" si="6"/>
        <v>109.77299999999997</v>
      </c>
      <c r="E26" s="30">
        <f t="shared" si="6"/>
        <v>199.81099999999998</v>
      </c>
      <c r="F26" s="30">
        <f t="shared" si="6"/>
        <v>209.67599999999999</v>
      </c>
      <c r="G26" s="30">
        <f t="shared" si="6"/>
        <v>184.88799999999998</v>
      </c>
      <c r="H26" s="30">
        <f t="shared" si="6"/>
        <v>112.52299999999997</v>
      </c>
      <c r="I26" s="30">
        <f t="shared" si="6"/>
        <v>199.23399999999998</v>
      </c>
      <c r="J26" s="30">
        <f t="shared" si="6"/>
        <v>225.31099999999998</v>
      </c>
      <c r="K26" s="30">
        <f t="shared" si="6"/>
        <v>281.00299999999999</v>
      </c>
    </row>
    <row r="27" spans="1:11" x14ac:dyDescent="0.2">
      <c r="A27" s="39" t="s">
        <v>61</v>
      </c>
      <c r="C27" s="30">
        <v>3.59</v>
      </c>
      <c r="D27" s="30">
        <v>5.6980000000000004</v>
      </c>
      <c r="E27" s="30">
        <v>2.931</v>
      </c>
      <c r="F27" s="30">
        <v>2.3780000000000001</v>
      </c>
      <c r="G27" s="30">
        <v>1.77</v>
      </c>
      <c r="H27" s="30">
        <v>4.0529999999999999</v>
      </c>
      <c r="I27" s="30">
        <v>3.3690000000000002</v>
      </c>
      <c r="J27" s="30">
        <v>2.87</v>
      </c>
      <c r="K27" s="30">
        <v>2.8719999999999999</v>
      </c>
    </row>
    <row r="28" spans="1:11" x14ac:dyDescent="0.2">
      <c r="A28" s="39" t="s">
        <v>60</v>
      </c>
      <c r="C28" s="30">
        <f t="shared" ref="C28:K28" si="7">SQRT((1+(C27^2)))</f>
        <v>3.7266741204457361</v>
      </c>
      <c r="D28" s="30">
        <f t="shared" si="7"/>
        <v>5.785084614765803</v>
      </c>
      <c r="E28" s="30">
        <f t="shared" si="7"/>
        <v>3.0968953808612909</v>
      </c>
      <c r="F28" s="30">
        <f t="shared" si="7"/>
        <v>2.5797061848202794</v>
      </c>
      <c r="G28" s="30">
        <f t="shared" si="7"/>
        <v>2.032953516438583</v>
      </c>
      <c r="H28" s="30">
        <f t="shared" si="7"/>
        <v>4.1745429689967262</v>
      </c>
      <c r="I28" s="30">
        <f t="shared" si="7"/>
        <v>3.5142795847797883</v>
      </c>
      <c r="J28" s="30">
        <f t="shared" si="7"/>
        <v>3.0392268753747227</v>
      </c>
      <c r="K28" s="30">
        <f t="shared" si="7"/>
        <v>3.0411155847813478</v>
      </c>
    </row>
    <row r="29" spans="1:11" x14ac:dyDescent="0.2">
      <c r="A29" s="39" t="s">
        <v>59</v>
      </c>
      <c r="I29" s="30">
        <f>I26/$E$2</f>
        <v>1.2517302987823316</v>
      </c>
      <c r="J29" s="30">
        <f>J26/$E$2</f>
        <v>1.4155646393132995</v>
      </c>
      <c r="K29" s="30">
        <f>K26/$E$2</f>
        <v>1.765461563531985</v>
      </c>
    </row>
    <row r="31" spans="1:11" x14ac:dyDescent="0.2">
      <c r="A31" s="39" t="s">
        <v>502</v>
      </c>
    </row>
    <row r="32" spans="1:11" x14ac:dyDescent="0.2">
      <c r="A32" s="39" t="s">
        <v>63</v>
      </c>
      <c r="C32" s="30">
        <v>341.19200000000001</v>
      </c>
    </row>
    <row r="33" spans="1:5" x14ac:dyDescent="0.2">
      <c r="A33" s="39" t="s">
        <v>62</v>
      </c>
      <c r="C33" s="30">
        <f>C32-B5</f>
        <v>61.829999999999984</v>
      </c>
    </row>
    <row r="34" spans="1:5" x14ac:dyDescent="0.2">
      <c r="A34" s="39" t="s">
        <v>61</v>
      </c>
      <c r="C34" s="30">
        <v>7.1980000000000004</v>
      </c>
    </row>
    <row r="35" spans="1:5" x14ac:dyDescent="0.2">
      <c r="A35" s="39" t="s">
        <v>60</v>
      </c>
      <c r="C35" s="30">
        <f>SQRT((4+(C34^2)))</f>
        <v>7.4706896602656441</v>
      </c>
    </row>
    <row r="36" spans="1:5" x14ac:dyDescent="0.2">
      <c r="A36" s="39" t="s">
        <v>59</v>
      </c>
      <c r="C36" s="30">
        <f>C33/E2</f>
        <v>0.38846022452850187</v>
      </c>
    </row>
    <row r="38" spans="1:5" x14ac:dyDescent="0.2">
      <c r="A38" s="39" t="s">
        <v>501</v>
      </c>
    </row>
    <row r="39" spans="1:5" x14ac:dyDescent="0.2">
      <c r="A39" s="39" t="s">
        <v>63</v>
      </c>
      <c r="C39" s="30">
        <v>488.327</v>
      </c>
      <c r="D39" s="30">
        <v>432.38499999999999</v>
      </c>
      <c r="E39" s="30">
        <v>331.173</v>
      </c>
    </row>
    <row r="40" spans="1:5" x14ac:dyDescent="0.2">
      <c r="A40" s="39" t="s">
        <v>62</v>
      </c>
      <c r="C40" s="30">
        <f>C39-$B$5</f>
        <v>208.96499999999997</v>
      </c>
      <c r="D40" s="30">
        <f>D39-$B$5</f>
        <v>153.02299999999997</v>
      </c>
      <c r="E40" s="30">
        <f>E39-$B$5</f>
        <v>51.810999999999979</v>
      </c>
    </row>
    <row r="41" spans="1:5" x14ac:dyDescent="0.2">
      <c r="A41" s="39" t="s">
        <v>61</v>
      </c>
      <c r="C41" s="30">
        <v>5.5609999999999999</v>
      </c>
      <c r="D41" s="30">
        <v>6.6369999999999996</v>
      </c>
      <c r="E41" s="30">
        <v>10.837999999999999</v>
      </c>
    </row>
    <row r="42" spans="1:5" x14ac:dyDescent="0.2">
      <c r="A42" s="39" t="s">
        <v>60</v>
      </c>
      <c r="C42" s="30">
        <f>SQRT((9+(C41^2)))</f>
        <v>6.3186011901369437</v>
      </c>
      <c r="D42" s="30">
        <f>SQRT((9+(D41^2)))</f>
        <v>7.2835272361679264</v>
      </c>
      <c r="E42" s="30">
        <f>SQRT((9+(E41^2)))</f>
        <v>11.245543295012473</v>
      </c>
    </row>
    <row r="43" spans="1:5" x14ac:dyDescent="0.2">
      <c r="A43" s="39" t="s">
        <v>59</v>
      </c>
      <c r="C43" s="30">
        <f>C40/$E$2</f>
        <v>1.3128673915348279</v>
      </c>
      <c r="D43" s="30">
        <f>D40/$E$2</f>
        <v>0.961399788743732</v>
      </c>
      <c r="E43" s="30">
        <f>E40/$E$2</f>
        <v>0.32551371006058882</v>
      </c>
    </row>
    <row r="45" spans="1:5" x14ac:dyDescent="0.2">
      <c r="A45" s="39" t="s">
        <v>500</v>
      </c>
      <c r="C45" s="30">
        <v>1</v>
      </c>
      <c r="D45" s="30">
        <v>1</v>
      </c>
    </row>
    <row r="46" spans="1:5" x14ac:dyDescent="0.2">
      <c r="A46" s="39" t="s">
        <v>63</v>
      </c>
      <c r="C46" s="30">
        <v>427.154</v>
      </c>
      <c r="D46" s="30">
        <v>419.423</v>
      </c>
      <c r="E46" s="30">
        <v>1224.673</v>
      </c>
    </row>
    <row r="47" spans="1:5" x14ac:dyDescent="0.2">
      <c r="A47" s="39" t="s">
        <v>62</v>
      </c>
      <c r="C47" s="30">
        <f>C46-$B$5</f>
        <v>147.79199999999997</v>
      </c>
      <c r="D47" s="30">
        <f>D46-$B$5</f>
        <v>140.06099999999998</v>
      </c>
      <c r="E47" s="30">
        <f>E46-$B$5</f>
        <v>945.31099999999992</v>
      </c>
    </row>
    <row r="48" spans="1:5" x14ac:dyDescent="0.2">
      <c r="A48" s="39" t="s">
        <v>61</v>
      </c>
      <c r="C48" s="30">
        <v>3.8380000000000001</v>
      </c>
      <c r="D48" s="30">
        <v>4.1100000000000003</v>
      </c>
      <c r="E48" s="30">
        <v>5.556</v>
      </c>
    </row>
    <row r="49" spans="1:5" x14ac:dyDescent="0.2">
      <c r="A49" s="39" t="s">
        <v>60</v>
      </c>
      <c r="C49" s="30">
        <f>SQRT((16+(C48^2)))</f>
        <v>5.5434866284676829</v>
      </c>
      <c r="D49" s="30">
        <f>SQRT((16+(D48^2)))</f>
        <v>5.7351634675918346</v>
      </c>
      <c r="E49" s="30">
        <f>SQRT((16+(E48^2)))</f>
        <v>6.8461037094101922</v>
      </c>
    </row>
    <row r="50" spans="1:5" x14ac:dyDescent="0.2">
      <c r="A50" s="39" t="s">
        <v>59</v>
      </c>
      <c r="E50" s="30">
        <f>E47/$E$2</f>
        <v>5.9391189278548069</v>
      </c>
    </row>
    <row r="52" spans="1:5" x14ac:dyDescent="0.2">
      <c r="A52" s="39" t="s">
        <v>499</v>
      </c>
    </row>
    <row r="53" spans="1:5" x14ac:dyDescent="0.2">
      <c r="A53" s="39" t="s">
        <v>63</v>
      </c>
      <c r="C53" s="30">
        <v>441.30799999999999</v>
      </c>
    </row>
    <row r="54" spans="1:5" x14ac:dyDescent="0.2">
      <c r="A54" s="39" t="s">
        <v>62</v>
      </c>
      <c r="C54" s="30">
        <f>C53-B5</f>
        <v>161.94599999999997</v>
      </c>
    </row>
    <row r="55" spans="1:5" x14ac:dyDescent="0.2">
      <c r="A55" s="39" t="s">
        <v>61</v>
      </c>
      <c r="C55" s="30">
        <v>5.7169999999999996</v>
      </c>
    </row>
    <row r="56" spans="1:5" x14ac:dyDescent="0.2">
      <c r="A56" s="39" t="s">
        <v>60</v>
      </c>
      <c r="C56" s="30">
        <f>SQRT((25+(C55^2)))</f>
        <v>7.5950042132970532</v>
      </c>
    </row>
    <row r="57" spans="1:5" x14ac:dyDescent="0.2">
      <c r="A57" s="39" t="s">
        <v>59</v>
      </c>
      <c r="C57" s="30">
        <f>C54/E2</f>
        <v>1.0174604483501986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7252-3B73-1F4F-B6E4-85D33C13B1AE}">
  <dimension ref="A1:Q50"/>
  <sheetViews>
    <sheetView workbookViewId="0">
      <selection activeCell="E42" sqref="E42"/>
    </sheetView>
  </sheetViews>
  <sheetFormatPr baseColWidth="10" defaultColWidth="8.83203125" defaultRowHeight="16" x14ac:dyDescent="0.2"/>
  <cols>
    <col min="1" max="1" width="20.33203125" style="30" bestFit="1" customWidth="1"/>
    <col min="2" max="2" width="17.1640625" style="30" bestFit="1" customWidth="1"/>
    <col min="3" max="3" width="8.83203125" style="30"/>
    <col min="4" max="4" width="11.83203125" style="30" bestFit="1" customWidth="1"/>
    <col min="5" max="16384" width="8.83203125" style="30"/>
  </cols>
  <sheetData>
    <row r="1" spans="1:17" x14ac:dyDescent="0.2">
      <c r="A1" s="30" t="s">
        <v>599</v>
      </c>
    </row>
    <row r="2" spans="1:17" x14ac:dyDescent="0.2">
      <c r="A2" s="30" t="s">
        <v>27</v>
      </c>
      <c r="B2" s="30">
        <v>47.506999999999998</v>
      </c>
      <c r="D2" s="30" t="s">
        <v>73</v>
      </c>
      <c r="E2" s="30">
        <f>AVERAGE(C6,D6,E6,F6,G6,H6,I6,C12,D12,E12,F12,G12,H12,I12,J12,K12,C19,D19,E19,F19,C47,D47,E47,F47)</f>
        <v>1003.9896250000002</v>
      </c>
      <c r="I2" s="30" t="s">
        <v>496</v>
      </c>
      <c r="J2" s="30" t="s">
        <v>495</v>
      </c>
    </row>
    <row r="3" spans="1:17" ht="17" thickBot="1" x14ac:dyDescent="0.25"/>
    <row r="4" spans="1:17" ht="17" thickBot="1" x14ac:dyDescent="0.25">
      <c r="A4" s="41" t="s">
        <v>598</v>
      </c>
      <c r="B4" s="40" t="s">
        <v>70</v>
      </c>
      <c r="C4" s="30">
        <v>1</v>
      </c>
      <c r="D4" s="30">
        <v>1</v>
      </c>
      <c r="E4" s="30">
        <v>1</v>
      </c>
      <c r="F4" s="30">
        <v>1</v>
      </c>
      <c r="G4" s="30">
        <v>1</v>
      </c>
      <c r="H4" s="30">
        <v>1</v>
      </c>
      <c r="I4" s="30">
        <v>1</v>
      </c>
    </row>
    <row r="5" spans="1:17" x14ac:dyDescent="0.2">
      <c r="A5" s="39" t="s">
        <v>63</v>
      </c>
      <c r="B5" s="30">
        <v>952.63699999999994</v>
      </c>
      <c r="C5" s="30">
        <v>997.36500000000001</v>
      </c>
      <c r="D5" s="30">
        <v>1092.75</v>
      </c>
      <c r="E5" s="30">
        <v>1653.808</v>
      </c>
      <c r="F5" s="30">
        <v>2256.346</v>
      </c>
      <c r="G5" s="30">
        <v>2206.596</v>
      </c>
      <c r="H5" s="30">
        <v>1579.5</v>
      </c>
      <c r="I5" s="30">
        <v>2213.5770000000002</v>
      </c>
      <c r="J5" s="30">
        <v>2358.5</v>
      </c>
      <c r="K5" s="30">
        <v>2974.308</v>
      </c>
      <c r="L5" s="30">
        <v>3347.808</v>
      </c>
      <c r="M5" s="30">
        <v>4492.3270000000002</v>
      </c>
      <c r="N5" s="30">
        <v>4050.712</v>
      </c>
      <c r="O5" s="30">
        <v>2118.6729999999998</v>
      </c>
      <c r="P5" s="30">
        <v>1937.635</v>
      </c>
      <c r="Q5" s="30">
        <v>1523.5809999999999</v>
      </c>
    </row>
    <row r="6" spans="1:17" x14ac:dyDescent="0.2">
      <c r="A6" s="39" t="s">
        <v>62</v>
      </c>
      <c r="C6" s="30">
        <f t="shared" ref="C6:Q6" si="0">C5-$B$5</f>
        <v>44.728000000000065</v>
      </c>
      <c r="D6" s="30">
        <f t="shared" si="0"/>
        <v>140.11300000000006</v>
      </c>
      <c r="E6" s="30">
        <f t="shared" si="0"/>
        <v>701.17100000000005</v>
      </c>
      <c r="F6" s="30">
        <f t="shared" si="0"/>
        <v>1303.7090000000001</v>
      </c>
      <c r="G6" s="30">
        <f t="shared" si="0"/>
        <v>1253.9590000000001</v>
      </c>
      <c r="H6" s="30">
        <f t="shared" si="0"/>
        <v>626.86300000000006</v>
      </c>
      <c r="I6" s="30">
        <f t="shared" si="0"/>
        <v>1260.9400000000003</v>
      </c>
      <c r="J6" s="30">
        <f t="shared" si="0"/>
        <v>1405.8630000000001</v>
      </c>
      <c r="K6" s="30">
        <f t="shared" si="0"/>
        <v>2021.671</v>
      </c>
      <c r="L6" s="30">
        <f t="shared" si="0"/>
        <v>2395.1710000000003</v>
      </c>
      <c r="M6" s="30">
        <f t="shared" si="0"/>
        <v>3539.6900000000005</v>
      </c>
      <c r="N6" s="30">
        <f t="shared" si="0"/>
        <v>3098.0749999999998</v>
      </c>
      <c r="O6" s="30">
        <f t="shared" si="0"/>
        <v>1166.0359999999998</v>
      </c>
      <c r="P6" s="30">
        <f t="shared" si="0"/>
        <v>984.99800000000005</v>
      </c>
      <c r="Q6" s="30">
        <f t="shared" si="0"/>
        <v>570.94399999999996</v>
      </c>
    </row>
    <row r="7" spans="1:17" x14ac:dyDescent="0.2">
      <c r="A7" s="39" t="s">
        <v>61</v>
      </c>
      <c r="C7" s="30">
        <v>5.5940000000000003</v>
      </c>
      <c r="D7" s="30">
        <v>5.1580000000000004</v>
      </c>
      <c r="E7" s="30">
        <v>1.484</v>
      </c>
      <c r="F7" s="30">
        <v>1.419</v>
      </c>
      <c r="G7" s="30">
        <v>0.81399999999999995</v>
      </c>
      <c r="H7" s="30">
        <v>1.3939999999999999</v>
      </c>
      <c r="I7" s="30">
        <v>1.891</v>
      </c>
      <c r="J7" s="30">
        <v>2.6139999999999999</v>
      </c>
      <c r="K7" s="30">
        <v>2.1920000000000002</v>
      </c>
      <c r="L7" s="30">
        <v>2.871</v>
      </c>
      <c r="M7" s="30">
        <v>2.5510000000000002</v>
      </c>
      <c r="N7" s="30">
        <v>2.1230000000000002</v>
      </c>
      <c r="O7" s="30">
        <v>2.2989999999999999</v>
      </c>
      <c r="P7" s="30">
        <v>2.1749999999999998</v>
      </c>
      <c r="Q7" s="30">
        <v>1.8340000000000001</v>
      </c>
    </row>
    <row r="8" spans="1:17" x14ac:dyDescent="0.2">
      <c r="A8" s="39" t="s">
        <v>59</v>
      </c>
      <c r="J8" s="30">
        <f t="shared" ref="J8:Q8" si="1">J6/$E$2</f>
        <v>1.4002764221791633</v>
      </c>
      <c r="K8" s="30">
        <f t="shared" si="1"/>
        <v>2.0136373421189484</v>
      </c>
      <c r="L8" s="30">
        <f t="shared" si="1"/>
        <v>2.3856531385969251</v>
      </c>
      <c r="M8" s="30">
        <f t="shared" si="1"/>
        <v>3.5256240820217637</v>
      </c>
      <c r="N8" s="30">
        <f t="shared" si="1"/>
        <v>3.0857639589652126</v>
      </c>
      <c r="O8" s="30">
        <f t="shared" si="1"/>
        <v>1.161402439791148</v>
      </c>
      <c r="P8" s="30">
        <f t="shared" si="1"/>
        <v>0.98108384337138932</v>
      </c>
      <c r="Q8" s="30">
        <f t="shared" si="1"/>
        <v>0.56867519920835818</v>
      </c>
    </row>
    <row r="10" spans="1:17" x14ac:dyDescent="0.2">
      <c r="A10" s="41" t="s">
        <v>542</v>
      </c>
      <c r="C10" s="30">
        <v>1</v>
      </c>
      <c r="D10" s="30">
        <v>1</v>
      </c>
      <c r="E10" s="30">
        <v>1</v>
      </c>
      <c r="F10" s="30">
        <v>1</v>
      </c>
      <c r="G10" s="30">
        <v>1</v>
      </c>
      <c r="H10" s="30">
        <v>1</v>
      </c>
      <c r="I10" s="30">
        <v>1</v>
      </c>
      <c r="J10" s="30">
        <v>1</v>
      </c>
      <c r="K10" s="30">
        <v>1</v>
      </c>
    </row>
    <row r="11" spans="1:17" x14ac:dyDescent="0.2">
      <c r="A11" s="39" t="s">
        <v>63</v>
      </c>
      <c r="C11" s="30">
        <v>1504.038</v>
      </c>
      <c r="D11" s="30">
        <v>2455.9229999999998</v>
      </c>
      <c r="E11" s="30">
        <v>2434.096</v>
      </c>
      <c r="F11" s="30">
        <v>1387.154</v>
      </c>
      <c r="G11" s="30">
        <v>1885.885</v>
      </c>
      <c r="H11" s="30">
        <v>2866.9229999999998</v>
      </c>
      <c r="I11" s="30">
        <v>2337.1350000000002</v>
      </c>
      <c r="J11" s="30">
        <v>2005.981</v>
      </c>
      <c r="K11" s="30">
        <v>2700.7310000000002</v>
      </c>
      <c r="L11" s="30">
        <v>2408.5360000000001</v>
      </c>
      <c r="M11" s="30">
        <v>3207.904</v>
      </c>
      <c r="N11" s="30">
        <v>2626.8850000000002</v>
      </c>
    </row>
    <row r="12" spans="1:17" x14ac:dyDescent="0.2">
      <c r="A12" s="39" t="s">
        <v>62</v>
      </c>
      <c r="C12" s="30">
        <f t="shared" ref="C12:N12" si="2">C11-$B$5</f>
        <v>551.40100000000007</v>
      </c>
      <c r="D12" s="30">
        <f t="shared" si="2"/>
        <v>1503.2859999999998</v>
      </c>
      <c r="E12" s="30">
        <f t="shared" si="2"/>
        <v>1481.4590000000001</v>
      </c>
      <c r="F12" s="30">
        <f t="shared" si="2"/>
        <v>434.51700000000005</v>
      </c>
      <c r="G12" s="30">
        <f t="shared" si="2"/>
        <v>933.24800000000005</v>
      </c>
      <c r="H12" s="30">
        <f t="shared" si="2"/>
        <v>1914.2859999999998</v>
      </c>
      <c r="I12" s="30">
        <f t="shared" si="2"/>
        <v>1384.4980000000003</v>
      </c>
      <c r="J12" s="30">
        <f t="shared" si="2"/>
        <v>1053.3440000000001</v>
      </c>
      <c r="K12" s="30">
        <f t="shared" si="2"/>
        <v>1748.0940000000003</v>
      </c>
      <c r="L12" s="30">
        <f t="shared" si="2"/>
        <v>1455.8990000000001</v>
      </c>
      <c r="M12" s="30">
        <f t="shared" si="2"/>
        <v>2255.2669999999998</v>
      </c>
      <c r="N12" s="30">
        <f t="shared" si="2"/>
        <v>1674.2480000000003</v>
      </c>
    </row>
    <row r="13" spans="1:17" x14ac:dyDescent="0.2">
      <c r="A13" s="39" t="s">
        <v>61</v>
      </c>
      <c r="C13" s="30">
        <v>3.1659999999999999</v>
      </c>
      <c r="D13" s="30">
        <v>0.72599999999999998</v>
      </c>
      <c r="E13" s="30">
        <v>2.3690000000000002</v>
      </c>
      <c r="F13" s="30">
        <v>5.125</v>
      </c>
      <c r="G13" s="30">
        <v>1.458</v>
      </c>
      <c r="H13" s="30">
        <v>2.4260000000000002</v>
      </c>
      <c r="I13" s="30">
        <v>2.1720000000000002</v>
      </c>
      <c r="J13" s="30">
        <v>2.9129999999999998</v>
      </c>
      <c r="K13" s="30">
        <v>1.478</v>
      </c>
      <c r="L13" s="30">
        <v>1.7869999999999999</v>
      </c>
      <c r="M13" s="30">
        <v>2.5179999999999998</v>
      </c>
      <c r="N13" s="30">
        <v>2.2010000000000001</v>
      </c>
    </row>
    <row r="14" spans="1:17" x14ac:dyDescent="0.2">
      <c r="A14" s="39" t="s">
        <v>60</v>
      </c>
      <c r="C14" s="30">
        <f t="shared" ref="C14:N14" si="3">SQRT((C13^2)+1)</f>
        <v>3.32017409182109</v>
      </c>
      <c r="D14" s="30">
        <f t="shared" si="3"/>
        <v>1.2357491654862649</v>
      </c>
      <c r="E14" s="30">
        <f t="shared" si="3"/>
        <v>2.5714122578847602</v>
      </c>
      <c r="F14" s="30">
        <f t="shared" si="3"/>
        <v>5.2216496435513555</v>
      </c>
      <c r="G14" s="30">
        <f t="shared" si="3"/>
        <v>1.7679830315927807</v>
      </c>
      <c r="H14" s="30">
        <f t="shared" si="3"/>
        <v>2.6240190548088633</v>
      </c>
      <c r="I14" s="30">
        <f t="shared" si="3"/>
        <v>2.3911470051002719</v>
      </c>
      <c r="J14" s="30">
        <f t="shared" si="3"/>
        <v>3.0798650944481314</v>
      </c>
      <c r="K14" s="30">
        <f t="shared" si="3"/>
        <v>1.7845122582935651</v>
      </c>
      <c r="L14" s="30">
        <f t="shared" si="3"/>
        <v>2.0477717157925586</v>
      </c>
      <c r="M14" s="30">
        <f t="shared" si="3"/>
        <v>2.709303231460074</v>
      </c>
      <c r="N14" s="30">
        <f t="shared" si="3"/>
        <v>2.4175195966113701</v>
      </c>
    </row>
    <row r="15" spans="1:17" x14ac:dyDescent="0.2">
      <c r="A15" s="39" t="s">
        <v>59</v>
      </c>
      <c r="L15" s="30">
        <f>L12/$E$2</f>
        <v>1.450113590566237</v>
      </c>
      <c r="M15" s="30">
        <f>M12/$E$2</f>
        <v>2.2463050850749573</v>
      </c>
      <c r="N15" s="30">
        <f>N12/$E$2</f>
        <v>1.6675949216108683</v>
      </c>
    </row>
    <row r="17" spans="1:11" x14ac:dyDescent="0.2">
      <c r="A17" s="41" t="s">
        <v>543</v>
      </c>
      <c r="C17" s="30">
        <v>1</v>
      </c>
      <c r="D17" s="30">
        <v>1</v>
      </c>
      <c r="E17" s="30">
        <v>1</v>
      </c>
      <c r="F17" s="30">
        <v>1</v>
      </c>
    </row>
    <row r="18" spans="1:11" x14ac:dyDescent="0.2">
      <c r="A18" s="39" t="s">
        <v>63</v>
      </c>
      <c r="C18" s="30">
        <v>1411.25</v>
      </c>
      <c r="D18" s="30">
        <v>2125.962</v>
      </c>
      <c r="E18" s="30">
        <v>2624.596</v>
      </c>
      <c r="F18" s="30">
        <v>2449.558</v>
      </c>
      <c r="G18" s="30">
        <v>3431.308</v>
      </c>
      <c r="H18" s="30">
        <v>5863.9809999999998</v>
      </c>
      <c r="I18" s="30">
        <v>4139.3850000000002</v>
      </c>
      <c r="J18" s="30">
        <v>1190.577</v>
      </c>
      <c r="K18" s="30">
        <v>2248.692</v>
      </c>
    </row>
    <row r="19" spans="1:11" x14ac:dyDescent="0.2">
      <c r="A19" s="39" t="s">
        <v>62</v>
      </c>
      <c r="C19" s="30">
        <f t="shared" ref="C19:K19" si="4">C18-$B$5</f>
        <v>458.61300000000006</v>
      </c>
      <c r="D19" s="30">
        <f t="shared" si="4"/>
        <v>1173.325</v>
      </c>
      <c r="E19" s="30">
        <f t="shared" si="4"/>
        <v>1671.9590000000001</v>
      </c>
      <c r="F19" s="30">
        <f t="shared" si="4"/>
        <v>1496.921</v>
      </c>
      <c r="G19" s="30">
        <f t="shared" si="4"/>
        <v>2478.6710000000003</v>
      </c>
      <c r="H19" s="30">
        <f t="shared" si="4"/>
        <v>4911.3440000000001</v>
      </c>
      <c r="I19" s="30">
        <f t="shared" si="4"/>
        <v>3186.7480000000005</v>
      </c>
      <c r="J19" s="30">
        <f t="shared" si="4"/>
        <v>237.94000000000005</v>
      </c>
      <c r="K19" s="30">
        <f t="shared" si="4"/>
        <v>1296.0550000000001</v>
      </c>
    </row>
    <row r="20" spans="1:11" x14ac:dyDescent="0.2">
      <c r="A20" s="39" t="s">
        <v>61</v>
      </c>
      <c r="C20" s="30">
        <v>3.133</v>
      </c>
      <c r="D20" s="30">
        <v>1.5009999999999999</v>
      </c>
      <c r="E20" s="30">
        <v>0.84499999999999997</v>
      </c>
      <c r="F20" s="30">
        <v>1.272</v>
      </c>
      <c r="G20" s="30">
        <v>2.081</v>
      </c>
      <c r="H20" s="30">
        <v>1.857</v>
      </c>
      <c r="I20" s="30">
        <v>1.2669999999999999</v>
      </c>
      <c r="J20" s="30">
        <v>5.0609999999999999</v>
      </c>
      <c r="K20" s="30">
        <v>2.4060000000000001</v>
      </c>
    </row>
    <row r="21" spans="1:11" x14ac:dyDescent="0.2">
      <c r="A21" s="39" t="s">
        <v>60</v>
      </c>
      <c r="C21" s="30">
        <f t="shared" ref="C21:K21" si="5">SQRT((C20^2)+4)</f>
        <v>3.7169461927770762</v>
      </c>
      <c r="D21" s="30">
        <f t="shared" si="5"/>
        <v>2.500600127969284</v>
      </c>
      <c r="E21" s="30">
        <f t="shared" si="5"/>
        <v>2.1711805544449776</v>
      </c>
      <c r="F21" s="30">
        <f t="shared" si="5"/>
        <v>2.3702286809504267</v>
      </c>
      <c r="G21" s="30">
        <f t="shared" si="5"/>
        <v>2.8862711237858441</v>
      </c>
      <c r="H21" s="30">
        <f t="shared" si="5"/>
        <v>2.729184676785358</v>
      </c>
      <c r="I21" s="30">
        <f t="shared" si="5"/>
        <v>2.3675491547167504</v>
      </c>
      <c r="J21" s="30">
        <f t="shared" si="5"/>
        <v>5.4418490423752104</v>
      </c>
      <c r="K21" s="30">
        <f t="shared" si="5"/>
        <v>3.1287115558964524</v>
      </c>
    </row>
    <row r="22" spans="1:11" x14ac:dyDescent="0.2">
      <c r="A22" s="39" t="s">
        <v>59</v>
      </c>
      <c r="G22" s="30">
        <f>G19/$E$2</f>
        <v>2.4688213287064595</v>
      </c>
      <c r="H22" s="30">
        <f>H19/$E$2</f>
        <v>4.8918274429379682</v>
      </c>
      <c r="I22" s="30">
        <f>I19/$E$2</f>
        <v>3.1740845927566235</v>
      </c>
      <c r="J22" s="30">
        <f>J19/$E$2</f>
        <v>0.23699448089416264</v>
      </c>
      <c r="K22" s="30">
        <f>K19/$E$2</f>
        <v>1.290904774040867</v>
      </c>
    </row>
    <row r="24" spans="1:11" x14ac:dyDescent="0.2">
      <c r="A24" s="41" t="s">
        <v>544</v>
      </c>
    </row>
    <row r="25" spans="1:11" x14ac:dyDescent="0.2">
      <c r="A25" s="39" t="s">
        <v>63</v>
      </c>
      <c r="C25" s="30">
        <v>6599.7879999999996</v>
      </c>
      <c r="D25" s="30">
        <v>2672.3850000000002</v>
      </c>
    </row>
    <row r="26" spans="1:11" x14ac:dyDescent="0.2">
      <c r="A26" s="39" t="s">
        <v>62</v>
      </c>
      <c r="C26" s="30">
        <f>C25-$B$5</f>
        <v>5647.1509999999998</v>
      </c>
      <c r="D26" s="30">
        <f>D25-$B$5</f>
        <v>1719.7480000000003</v>
      </c>
    </row>
    <row r="27" spans="1:11" x14ac:dyDescent="0.2">
      <c r="A27" s="39" t="s">
        <v>61</v>
      </c>
      <c r="C27" s="30">
        <v>1.8140000000000001</v>
      </c>
      <c r="D27" s="30">
        <v>0.77800000000000002</v>
      </c>
    </row>
    <row r="28" spans="1:11" x14ac:dyDescent="0.2">
      <c r="A28" s="39" t="s">
        <v>60</v>
      </c>
      <c r="C28" s="30">
        <f>SQRT((C27^2)+9)</f>
        <v>3.505794631748985</v>
      </c>
      <c r="D28" s="30">
        <f>SQRT((D27^2)+9)</f>
        <v>3.0992392614962787</v>
      </c>
    </row>
    <row r="29" spans="1:11" x14ac:dyDescent="0.2">
      <c r="A29" s="39" t="s">
        <v>59</v>
      </c>
      <c r="C29" s="30">
        <f>C26/$E$2</f>
        <v>5.6247105143143274</v>
      </c>
      <c r="D29" s="30">
        <f>D26/$E$2</f>
        <v>1.712914115023848</v>
      </c>
    </row>
    <row r="31" spans="1:11" x14ac:dyDescent="0.2">
      <c r="A31" s="41" t="s">
        <v>545</v>
      </c>
    </row>
    <row r="32" spans="1:11" x14ac:dyDescent="0.2">
      <c r="A32" s="39" t="s">
        <v>63</v>
      </c>
      <c r="C32" s="30">
        <v>3274.096</v>
      </c>
      <c r="D32" s="30">
        <v>2839.288</v>
      </c>
    </row>
    <row r="33" spans="1:13" x14ac:dyDescent="0.2">
      <c r="A33" s="39" t="s">
        <v>62</v>
      </c>
      <c r="C33" s="30">
        <f>C32-$B$5</f>
        <v>2321.4589999999998</v>
      </c>
      <c r="D33" s="30">
        <f>D32-$B$5</f>
        <v>1886.6510000000001</v>
      </c>
    </row>
    <row r="34" spans="1:13" x14ac:dyDescent="0.2">
      <c r="A34" s="39" t="s">
        <v>61</v>
      </c>
      <c r="C34" s="30">
        <v>1.73</v>
      </c>
      <c r="D34" s="30">
        <v>2.2949999999999999</v>
      </c>
    </row>
    <row r="35" spans="1:13" x14ac:dyDescent="0.2">
      <c r="A35" s="39" t="s">
        <v>60</v>
      </c>
      <c r="C35" s="30">
        <f>SQRT((C34^2)+16)</f>
        <v>4.3580844415866933</v>
      </c>
      <c r="D35" s="30">
        <f>SQRT((D34^2)+16)</f>
        <v>4.6116184794494872</v>
      </c>
    </row>
    <row r="36" spans="1:13" x14ac:dyDescent="0.2">
      <c r="A36" s="39" t="s">
        <v>59</v>
      </c>
      <c r="C36" s="30">
        <f>C33/$E$2</f>
        <v>2.3122340532154397</v>
      </c>
      <c r="D36" s="30">
        <f>D33/$E$2</f>
        <v>1.8791538806987171</v>
      </c>
    </row>
    <row r="38" spans="1:13" x14ac:dyDescent="0.2">
      <c r="A38" s="41" t="s">
        <v>552</v>
      </c>
    </row>
    <row r="39" spans="1:13" x14ac:dyDescent="0.2">
      <c r="A39" s="39" t="s">
        <v>63</v>
      </c>
      <c r="C39" s="30">
        <v>1372.462</v>
      </c>
    </row>
    <row r="40" spans="1:13" x14ac:dyDescent="0.2">
      <c r="A40" s="39" t="s">
        <v>62</v>
      </c>
      <c r="C40" s="30">
        <f>C39-B5</f>
        <v>419.82500000000005</v>
      </c>
    </row>
    <row r="41" spans="1:13" x14ac:dyDescent="0.2">
      <c r="A41" s="39" t="s">
        <v>61</v>
      </c>
      <c r="C41" s="30">
        <v>3.04</v>
      </c>
    </row>
    <row r="42" spans="1:13" x14ac:dyDescent="0.2">
      <c r="A42" s="39" t="s">
        <v>60</v>
      </c>
      <c r="C42" s="30">
        <f>SQRT((C41^2)+36)</f>
        <v>6.7261876274751655</v>
      </c>
    </row>
    <row r="43" spans="1:13" x14ac:dyDescent="0.2">
      <c r="A43" s="39" t="s">
        <v>59</v>
      </c>
      <c r="C43" s="30">
        <f>C40/E2</f>
        <v>0.41815671152976303</v>
      </c>
    </row>
    <row r="45" spans="1:13" x14ac:dyDescent="0.2">
      <c r="A45" s="41" t="s">
        <v>540</v>
      </c>
      <c r="C45" s="30">
        <v>1</v>
      </c>
      <c r="D45" s="30">
        <v>1</v>
      </c>
      <c r="E45" s="30">
        <v>1</v>
      </c>
      <c r="F45" s="30">
        <v>1</v>
      </c>
    </row>
    <row r="46" spans="1:13" x14ac:dyDescent="0.2">
      <c r="A46" s="39" t="s">
        <v>63</v>
      </c>
      <c r="C46" s="30">
        <v>1438.519</v>
      </c>
      <c r="D46" s="30">
        <v>2231.9229999999998</v>
      </c>
      <c r="E46" s="30">
        <v>1733.269</v>
      </c>
      <c r="F46" s="30">
        <v>1366.154</v>
      </c>
      <c r="G46" s="30">
        <v>3869.3850000000002</v>
      </c>
      <c r="H46" s="30">
        <v>3608.538</v>
      </c>
      <c r="I46" s="30">
        <v>5286.4040000000005</v>
      </c>
      <c r="J46" s="30">
        <v>6652.0190000000002</v>
      </c>
      <c r="K46" s="30">
        <v>2205.308</v>
      </c>
      <c r="L46" s="30">
        <v>1534.731</v>
      </c>
      <c r="M46" s="30">
        <v>1649.192</v>
      </c>
    </row>
    <row r="47" spans="1:13" x14ac:dyDescent="0.2">
      <c r="A47" s="39" t="s">
        <v>62</v>
      </c>
      <c r="C47" s="30">
        <f t="shared" ref="C47:M47" si="6">C46-$B$5</f>
        <v>485.88200000000006</v>
      </c>
      <c r="D47" s="30">
        <f t="shared" si="6"/>
        <v>1279.2859999999998</v>
      </c>
      <c r="E47" s="30">
        <f t="shared" si="6"/>
        <v>780.63200000000006</v>
      </c>
      <c r="F47" s="30">
        <f t="shared" si="6"/>
        <v>413.51700000000005</v>
      </c>
      <c r="G47" s="30">
        <f t="shared" si="6"/>
        <v>2916.7480000000005</v>
      </c>
      <c r="H47" s="30">
        <f t="shared" si="6"/>
        <v>2655.9009999999998</v>
      </c>
      <c r="I47" s="30">
        <f t="shared" si="6"/>
        <v>4333.7670000000007</v>
      </c>
      <c r="J47" s="30">
        <f t="shared" si="6"/>
        <v>5699.3820000000005</v>
      </c>
      <c r="K47" s="30">
        <f t="shared" si="6"/>
        <v>1252.671</v>
      </c>
      <c r="L47" s="30">
        <f t="shared" si="6"/>
        <v>582.09400000000005</v>
      </c>
      <c r="M47" s="30">
        <f t="shared" si="6"/>
        <v>696.55500000000006</v>
      </c>
    </row>
    <row r="48" spans="1:13" x14ac:dyDescent="0.2">
      <c r="A48" s="39" t="s">
        <v>61</v>
      </c>
      <c r="C48" s="30">
        <v>1.611</v>
      </c>
      <c r="D48" s="30">
        <v>0.82799999999999996</v>
      </c>
      <c r="E48" s="30">
        <v>1.627</v>
      </c>
      <c r="F48" s="30">
        <v>3.9780000000000002</v>
      </c>
      <c r="G48" s="30">
        <v>2.2349999999999999</v>
      </c>
      <c r="H48" s="30">
        <v>2.786</v>
      </c>
      <c r="I48" s="30">
        <v>2.4420000000000002</v>
      </c>
      <c r="J48" s="30">
        <v>2.2450000000000001</v>
      </c>
      <c r="K48" s="30">
        <v>2.956</v>
      </c>
      <c r="L48" s="30">
        <v>0.72399999999999998</v>
      </c>
      <c r="M48" s="30">
        <v>1.236</v>
      </c>
    </row>
    <row r="49" spans="1:13" x14ac:dyDescent="0.2">
      <c r="A49" s="39" t="s">
        <v>60</v>
      </c>
      <c r="C49" s="30">
        <f t="shared" ref="C49:M49" si="7">SQRT((C48^2)+1)</f>
        <v>1.8961331704287017</v>
      </c>
      <c r="D49" s="30">
        <f t="shared" si="7"/>
        <v>1.2983004274820216</v>
      </c>
      <c r="E49" s="30">
        <f t="shared" si="7"/>
        <v>1.9097457946019936</v>
      </c>
      <c r="F49" s="30">
        <f t="shared" si="7"/>
        <v>4.1017659611440536</v>
      </c>
      <c r="G49" s="30">
        <f t="shared" si="7"/>
        <v>2.448514855989238</v>
      </c>
      <c r="H49" s="30">
        <f t="shared" si="7"/>
        <v>2.9600331079229503</v>
      </c>
      <c r="I49" s="30">
        <f t="shared" si="7"/>
        <v>2.6388186750892908</v>
      </c>
      <c r="J49" s="30">
        <f t="shared" si="7"/>
        <v>2.457646231661506</v>
      </c>
      <c r="K49" s="30">
        <f t="shared" si="7"/>
        <v>3.1205666152158971</v>
      </c>
      <c r="L49" s="30">
        <f t="shared" si="7"/>
        <v>1.2345752305955275</v>
      </c>
      <c r="M49" s="30">
        <f t="shared" si="7"/>
        <v>1.5898729508989073</v>
      </c>
    </row>
    <row r="50" spans="1:13" x14ac:dyDescent="0.2">
      <c r="A50" s="39" t="s">
        <v>59</v>
      </c>
      <c r="C50" s="30">
        <f t="shared" ref="C50:M50" si="8">C47/$E$2</f>
        <v>0.48395121612934994</v>
      </c>
      <c r="D50" s="30">
        <f t="shared" si="8"/>
        <v>1.2742024102091689</v>
      </c>
      <c r="E50" s="30">
        <f t="shared" si="8"/>
        <v>0.77752994708486145</v>
      </c>
      <c r="F50" s="30">
        <f t="shared" si="8"/>
        <v>0.41187377807813502</v>
      </c>
      <c r="G50" s="30">
        <f t="shared" si="8"/>
        <v>2.9051575109653149</v>
      </c>
      <c r="H50" s="30">
        <f t="shared" si="8"/>
        <v>2.6453470572467315</v>
      </c>
      <c r="I50" s="30">
        <f t="shared" si="8"/>
        <v>4.3165456017536039</v>
      </c>
      <c r="J50" s="30">
        <f t="shared" si="8"/>
        <v>5.6767339602737428</v>
      </c>
      <c r="K50" s="30">
        <f t="shared" si="8"/>
        <v>1.2476931721281481</v>
      </c>
      <c r="L50" s="30">
        <f t="shared" si="8"/>
        <v>0.57978089166011049</v>
      </c>
      <c r="M50" s="30">
        <f t="shared" si="8"/>
        <v>0.69378704984127693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25FF-2493-5544-A721-F22A06CB9F93}">
  <dimension ref="A1:R236"/>
  <sheetViews>
    <sheetView topLeftCell="A42" zoomScale="170" zoomScaleNormal="170" workbookViewId="0">
      <selection activeCell="D103" sqref="D103"/>
    </sheetView>
  </sheetViews>
  <sheetFormatPr baseColWidth="10" defaultRowHeight="16" x14ac:dyDescent="0.2"/>
  <cols>
    <col min="1" max="1" width="27.33203125" style="30" customWidth="1"/>
    <col min="2" max="16384" width="10.83203125" style="30"/>
  </cols>
  <sheetData>
    <row r="1" spans="1:18" x14ac:dyDescent="0.2">
      <c r="A1" s="37"/>
      <c r="B1" s="37"/>
      <c r="C1" s="36" t="s">
        <v>294</v>
      </c>
      <c r="D1" s="31"/>
      <c r="E1" s="36" t="s">
        <v>31</v>
      </c>
      <c r="F1" s="31"/>
      <c r="G1" s="31"/>
    </row>
    <row r="2" spans="1:18" x14ac:dyDescent="0.2">
      <c r="A2" s="31"/>
      <c r="B2" s="31"/>
      <c r="C2" s="31">
        <f>AVERAGE(C6:F6,C14,C22:D22,C30:D30,C46:D46,C62:E62,C70:G70,C78:G78,C86:D86,C94)</f>
        <v>175.70362962962966</v>
      </c>
      <c r="D2" s="31"/>
      <c r="E2" s="31">
        <v>50.386000000000003</v>
      </c>
      <c r="F2" s="31"/>
      <c r="G2" s="31"/>
    </row>
    <row r="3" spans="1:18" x14ac:dyDescent="0.2">
      <c r="A3" s="31"/>
      <c r="B3" s="31"/>
      <c r="C3" s="31"/>
      <c r="D3" s="31"/>
      <c r="E3" s="31"/>
      <c r="F3" s="31"/>
      <c r="G3" s="31"/>
    </row>
    <row r="4" spans="1:18" x14ac:dyDescent="0.2">
      <c r="A4" s="34" t="s">
        <v>487</v>
      </c>
      <c r="B4" s="35" t="s">
        <v>70</v>
      </c>
      <c r="C4" s="34">
        <v>1</v>
      </c>
      <c r="D4" s="34">
        <v>1</v>
      </c>
      <c r="E4" s="34">
        <v>1</v>
      </c>
      <c r="F4" s="34">
        <v>1</v>
      </c>
      <c r="G4" s="34" t="s">
        <v>283</v>
      </c>
      <c r="H4" s="34" t="s">
        <v>283</v>
      </c>
      <c r="I4" s="34" t="s">
        <v>283</v>
      </c>
      <c r="J4" s="34" t="s">
        <v>283</v>
      </c>
      <c r="K4" s="34" t="s">
        <v>283</v>
      </c>
      <c r="L4" s="34" t="s">
        <v>283</v>
      </c>
      <c r="M4" s="34" t="s">
        <v>283</v>
      </c>
      <c r="N4" s="34" t="s">
        <v>283</v>
      </c>
      <c r="O4" s="34" t="s">
        <v>283</v>
      </c>
      <c r="P4" s="34" t="s">
        <v>283</v>
      </c>
      <c r="Q4" s="34" t="s">
        <v>283</v>
      </c>
      <c r="R4" s="34" t="s">
        <v>283</v>
      </c>
    </row>
    <row r="5" spans="1:18" x14ac:dyDescent="0.2">
      <c r="A5" s="31" t="s">
        <v>63</v>
      </c>
      <c r="B5" s="31">
        <v>288.346</v>
      </c>
      <c r="C5" s="31">
        <v>439.71199999999999</v>
      </c>
      <c r="D5" s="31">
        <v>485.404</v>
      </c>
      <c r="E5" s="31">
        <v>417.86500000000001</v>
      </c>
      <c r="F5" s="31">
        <v>337.13499999999999</v>
      </c>
      <c r="G5" s="31">
        <v>435.86500000000001</v>
      </c>
      <c r="H5" s="31">
        <v>444.61500000000001</v>
      </c>
      <c r="I5" s="31">
        <v>472.48099999999999</v>
      </c>
      <c r="J5" s="31">
        <v>616</v>
      </c>
      <c r="K5" s="31">
        <v>522.13499999999999</v>
      </c>
      <c r="L5" s="31">
        <v>453.5</v>
      </c>
      <c r="M5" s="31">
        <v>494.827</v>
      </c>
      <c r="N5" s="31">
        <v>528.28800000000001</v>
      </c>
      <c r="O5" s="31">
        <v>593.51900000000001</v>
      </c>
      <c r="P5" s="31">
        <v>641.19200000000001</v>
      </c>
      <c r="Q5" s="31">
        <v>467.23099999999999</v>
      </c>
      <c r="R5" s="31">
        <v>523.846</v>
      </c>
    </row>
    <row r="6" spans="1:18" x14ac:dyDescent="0.2">
      <c r="A6" s="31" t="s">
        <v>62</v>
      </c>
      <c r="B6" s="31"/>
      <c r="C6" s="31">
        <f t="shared" ref="C6:R6" si="0">C5-$B$5</f>
        <v>151.36599999999999</v>
      </c>
      <c r="D6" s="31">
        <f t="shared" si="0"/>
        <v>197.05799999999999</v>
      </c>
      <c r="E6" s="31">
        <f t="shared" si="0"/>
        <v>129.51900000000001</v>
      </c>
      <c r="F6" s="31">
        <f t="shared" si="0"/>
        <v>48.788999999999987</v>
      </c>
      <c r="G6" s="31">
        <f t="shared" si="0"/>
        <v>147.51900000000001</v>
      </c>
      <c r="H6" s="31">
        <f t="shared" si="0"/>
        <v>156.26900000000001</v>
      </c>
      <c r="I6" s="31">
        <f t="shared" si="0"/>
        <v>184.13499999999999</v>
      </c>
      <c r="J6" s="31">
        <f t="shared" si="0"/>
        <v>327.654</v>
      </c>
      <c r="K6" s="31">
        <f t="shared" si="0"/>
        <v>233.78899999999999</v>
      </c>
      <c r="L6" s="31">
        <f t="shared" si="0"/>
        <v>165.154</v>
      </c>
      <c r="M6" s="31">
        <f t="shared" si="0"/>
        <v>206.48099999999999</v>
      </c>
      <c r="N6" s="31">
        <f t="shared" si="0"/>
        <v>239.94200000000001</v>
      </c>
      <c r="O6" s="31">
        <f t="shared" si="0"/>
        <v>305.173</v>
      </c>
      <c r="P6" s="31">
        <f t="shared" si="0"/>
        <v>352.846</v>
      </c>
      <c r="Q6" s="31">
        <f t="shared" si="0"/>
        <v>178.88499999999999</v>
      </c>
      <c r="R6" s="31">
        <f t="shared" si="0"/>
        <v>235.5</v>
      </c>
    </row>
    <row r="7" spans="1:18" x14ac:dyDescent="0.2">
      <c r="A7" s="31" t="s">
        <v>61</v>
      </c>
      <c r="B7" s="31"/>
      <c r="C7" s="31">
        <v>2.1230000000000002</v>
      </c>
      <c r="D7" s="31">
        <v>1.3360000000000001</v>
      </c>
      <c r="E7" s="31">
        <v>2.903</v>
      </c>
      <c r="F7" s="31">
        <v>7.7949999999999999</v>
      </c>
      <c r="G7" s="31">
        <v>2.9780000000000002</v>
      </c>
      <c r="H7" s="31">
        <v>2.347</v>
      </c>
      <c r="I7" s="31">
        <v>1.6140000000000001</v>
      </c>
      <c r="J7" s="31">
        <v>1.393</v>
      </c>
      <c r="K7" s="31">
        <v>2.0750000000000002</v>
      </c>
      <c r="L7" s="31">
        <v>2.81</v>
      </c>
      <c r="M7" s="31">
        <v>3.605</v>
      </c>
      <c r="N7" s="31">
        <v>2.875</v>
      </c>
      <c r="O7" s="31">
        <v>3.73</v>
      </c>
      <c r="P7" s="31">
        <v>2.0070000000000001</v>
      </c>
      <c r="Q7" s="31">
        <v>1.97</v>
      </c>
      <c r="R7" s="31">
        <v>2.9940000000000002</v>
      </c>
    </row>
    <row r="8" spans="1:18" x14ac:dyDescent="0.2">
      <c r="A8" s="31" t="s">
        <v>60</v>
      </c>
      <c r="B8" s="31"/>
      <c r="C8" s="31">
        <f t="shared" ref="C8:R8" si="1">(0+C7^2)^(1/2)</f>
        <v>2.1230000000000002</v>
      </c>
      <c r="D8" s="31">
        <f t="shared" si="1"/>
        <v>1.3360000000000001</v>
      </c>
      <c r="E8" s="31">
        <f t="shared" si="1"/>
        <v>2.903</v>
      </c>
      <c r="F8" s="31">
        <f t="shared" si="1"/>
        <v>7.7949999999999999</v>
      </c>
      <c r="G8" s="31">
        <f t="shared" si="1"/>
        <v>2.9780000000000002</v>
      </c>
      <c r="H8" s="31">
        <f t="shared" si="1"/>
        <v>2.347</v>
      </c>
      <c r="I8" s="31">
        <f t="shared" si="1"/>
        <v>1.6140000000000001</v>
      </c>
      <c r="J8" s="31">
        <f t="shared" si="1"/>
        <v>1.393</v>
      </c>
      <c r="K8" s="31">
        <f t="shared" si="1"/>
        <v>2.0750000000000002</v>
      </c>
      <c r="L8" s="31">
        <f t="shared" si="1"/>
        <v>2.81</v>
      </c>
      <c r="M8" s="31">
        <f t="shared" si="1"/>
        <v>3.605</v>
      </c>
      <c r="N8" s="31">
        <f t="shared" si="1"/>
        <v>2.875</v>
      </c>
      <c r="O8" s="31">
        <f t="shared" si="1"/>
        <v>3.73</v>
      </c>
      <c r="P8" s="31">
        <f t="shared" si="1"/>
        <v>2.0070000000000001</v>
      </c>
      <c r="Q8" s="31">
        <f t="shared" si="1"/>
        <v>1.97</v>
      </c>
      <c r="R8" s="31">
        <f t="shared" si="1"/>
        <v>2.9940000000000002</v>
      </c>
    </row>
    <row r="9" spans="1:18" x14ac:dyDescent="0.2">
      <c r="A9" s="31" t="s">
        <v>376</v>
      </c>
      <c r="B9" s="31"/>
      <c r="C9" s="31"/>
      <c r="D9" s="31"/>
      <c r="E9" s="31"/>
      <c r="F9" s="31"/>
      <c r="G9" s="31">
        <f t="shared" ref="G9:R9" si="2">G8/$E$2*100</f>
        <v>5.9103719287103562</v>
      </c>
      <c r="H9" s="31">
        <f t="shared" si="2"/>
        <v>4.6580399317270667</v>
      </c>
      <c r="I9" s="31">
        <f t="shared" si="2"/>
        <v>3.2032707498114559</v>
      </c>
      <c r="J9" s="31">
        <f t="shared" si="2"/>
        <v>2.7646568491247567</v>
      </c>
      <c r="K9" s="31">
        <f t="shared" si="2"/>
        <v>4.1182074385742071</v>
      </c>
      <c r="L9" s="31">
        <f t="shared" si="2"/>
        <v>5.576945977057119</v>
      </c>
      <c r="M9" s="31">
        <f t="shared" si="2"/>
        <v>7.1547652125590444</v>
      </c>
      <c r="N9" s="31">
        <f t="shared" si="2"/>
        <v>5.7059500654943829</v>
      </c>
      <c r="O9" s="31">
        <f t="shared" si="2"/>
        <v>7.4028499980153208</v>
      </c>
      <c r="P9" s="31">
        <f t="shared" si="2"/>
        <v>3.9832493152859922</v>
      </c>
      <c r="Q9" s="31">
        <f t="shared" si="2"/>
        <v>3.909816218790934</v>
      </c>
      <c r="R9" s="31">
        <f t="shared" si="2"/>
        <v>5.9421267812487599</v>
      </c>
    </row>
    <row r="10" spans="1:18" x14ac:dyDescent="0.2">
      <c r="A10" s="31" t="s">
        <v>59</v>
      </c>
      <c r="B10" s="31"/>
      <c r="C10" s="31"/>
      <c r="D10" s="31"/>
      <c r="E10" s="32"/>
      <c r="F10" s="32"/>
      <c r="G10" s="32">
        <f t="shared" ref="G10:R10" si="3">G6/$C$2</f>
        <v>0.83958994080520255</v>
      </c>
      <c r="H10" s="32">
        <f t="shared" si="3"/>
        <v>0.88938970884894963</v>
      </c>
      <c r="I10" s="32">
        <f t="shared" si="3"/>
        <v>1.0479863187126131</v>
      </c>
      <c r="J10" s="32">
        <f t="shared" si="3"/>
        <v>1.8648106512692455</v>
      </c>
      <c r="K10" s="32">
        <f t="shared" si="3"/>
        <v>1.3305871967062377</v>
      </c>
      <c r="L10" s="32">
        <f t="shared" si="3"/>
        <v>0.93995781617108587</v>
      </c>
      <c r="M10" s="32">
        <f t="shared" si="3"/>
        <v>1.1751663891932498</v>
      </c>
      <c r="N10" s="32">
        <f t="shared" si="3"/>
        <v>1.3656063935946008</v>
      </c>
      <c r="O10" s="32">
        <f t="shared" si="3"/>
        <v>1.7368622415102195</v>
      </c>
      <c r="P10" s="32">
        <f t="shared" si="3"/>
        <v>2.0081884520187399</v>
      </c>
      <c r="Q10" s="32">
        <f t="shared" si="3"/>
        <v>1.0181064578863648</v>
      </c>
      <c r="R10" s="32">
        <f t="shared" si="3"/>
        <v>1.3403251856345637</v>
      </c>
    </row>
    <row r="12" spans="1:18" x14ac:dyDescent="0.2">
      <c r="A12" s="34" t="s">
        <v>486</v>
      </c>
      <c r="B12" s="35"/>
      <c r="C12" s="34">
        <v>1</v>
      </c>
      <c r="D12" s="34" t="s">
        <v>283</v>
      </c>
      <c r="E12" s="34" t="s">
        <v>283</v>
      </c>
      <c r="F12" s="34" t="s">
        <v>283</v>
      </c>
      <c r="G12" s="34" t="s">
        <v>283</v>
      </c>
      <c r="H12" s="34" t="s">
        <v>283</v>
      </c>
      <c r="I12" s="34" t="s">
        <v>283</v>
      </c>
      <c r="J12" s="34" t="s">
        <v>283</v>
      </c>
      <c r="K12" s="34" t="s">
        <v>283</v>
      </c>
      <c r="L12" s="34" t="s">
        <v>283</v>
      </c>
      <c r="M12" s="34" t="s">
        <v>283</v>
      </c>
    </row>
    <row r="13" spans="1:18" x14ac:dyDescent="0.2">
      <c r="A13" s="31" t="s">
        <v>63</v>
      </c>
      <c r="B13" s="31"/>
      <c r="C13" s="31">
        <v>507.423</v>
      </c>
      <c r="D13" s="31">
        <v>454.78800000000001</v>
      </c>
      <c r="E13" s="31">
        <v>487.827</v>
      </c>
      <c r="F13" s="31">
        <v>472.98099999999999</v>
      </c>
      <c r="G13" s="31">
        <v>522.69200000000001</v>
      </c>
      <c r="H13" s="31">
        <v>568.76900000000001</v>
      </c>
      <c r="I13" s="31">
        <v>477.23099999999999</v>
      </c>
      <c r="J13" s="31">
        <v>538.404</v>
      </c>
      <c r="K13" s="31">
        <v>472.78800000000001</v>
      </c>
      <c r="L13" s="31">
        <v>464.827</v>
      </c>
      <c r="M13" s="31">
        <v>480.21199999999999</v>
      </c>
    </row>
    <row r="14" spans="1:18" x14ac:dyDescent="0.2">
      <c r="A14" s="31" t="s">
        <v>62</v>
      </c>
      <c r="B14" s="31"/>
      <c r="C14" s="31">
        <f t="shared" ref="C14:M14" si="4">C13-$B$5</f>
        <v>219.077</v>
      </c>
      <c r="D14" s="31">
        <f t="shared" si="4"/>
        <v>166.44200000000001</v>
      </c>
      <c r="E14" s="31">
        <f t="shared" si="4"/>
        <v>199.48099999999999</v>
      </c>
      <c r="F14" s="31">
        <f t="shared" si="4"/>
        <v>184.63499999999999</v>
      </c>
      <c r="G14" s="31">
        <f t="shared" si="4"/>
        <v>234.346</v>
      </c>
      <c r="H14" s="31">
        <f t="shared" si="4"/>
        <v>280.423</v>
      </c>
      <c r="I14" s="31">
        <f t="shared" si="4"/>
        <v>188.88499999999999</v>
      </c>
      <c r="J14" s="31">
        <f t="shared" si="4"/>
        <v>250.05799999999999</v>
      </c>
      <c r="K14" s="31">
        <f t="shared" si="4"/>
        <v>184.44200000000001</v>
      </c>
      <c r="L14" s="31">
        <f t="shared" si="4"/>
        <v>176.48099999999999</v>
      </c>
      <c r="M14" s="31">
        <f t="shared" si="4"/>
        <v>191.86599999999999</v>
      </c>
    </row>
    <row r="15" spans="1:18" x14ac:dyDescent="0.2">
      <c r="A15" s="31" t="s">
        <v>61</v>
      </c>
      <c r="B15" s="31"/>
      <c r="C15" s="31">
        <v>1.6719999999999999</v>
      </c>
      <c r="D15" s="31">
        <v>2.2149999999999999</v>
      </c>
      <c r="E15" s="31">
        <v>2.8959999999999999</v>
      </c>
      <c r="F15" s="31">
        <v>2.0779999999999998</v>
      </c>
      <c r="G15" s="31">
        <v>1.6879999999999999</v>
      </c>
      <c r="H15" s="31">
        <v>2.0790000000000002</v>
      </c>
      <c r="I15" s="31">
        <v>1.583</v>
      </c>
      <c r="J15" s="31">
        <v>2.5150000000000001</v>
      </c>
      <c r="K15" s="31">
        <v>3.157</v>
      </c>
      <c r="L15" s="31">
        <v>2.8180000000000001</v>
      </c>
      <c r="M15" s="31">
        <v>3.2930000000000001</v>
      </c>
    </row>
    <row r="16" spans="1:18" x14ac:dyDescent="0.2">
      <c r="A16" s="31" t="s">
        <v>60</v>
      </c>
      <c r="B16" s="31"/>
      <c r="C16" s="31">
        <f t="shared" ref="C16:M16" si="5">(1+C15^2)^(1/2)</f>
        <v>1.9482258595963662</v>
      </c>
      <c r="D16" s="31">
        <f t="shared" si="5"/>
        <v>2.4302726184525061</v>
      </c>
      <c r="E16" s="31">
        <f t="shared" si="5"/>
        <v>3.0637911155951869</v>
      </c>
      <c r="F16" s="31">
        <f t="shared" si="5"/>
        <v>2.3060971358552957</v>
      </c>
      <c r="G16" s="31">
        <f t="shared" si="5"/>
        <v>1.9619745156346959</v>
      </c>
      <c r="H16" s="31">
        <f t="shared" si="5"/>
        <v>2.3069982661458592</v>
      </c>
      <c r="I16" s="31">
        <f t="shared" si="5"/>
        <v>1.8724019333465771</v>
      </c>
      <c r="J16" s="31">
        <f t="shared" si="5"/>
        <v>2.7065152872282101</v>
      </c>
      <c r="K16" s="31">
        <f t="shared" si="5"/>
        <v>3.3115931211427529</v>
      </c>
      <c r="L16" s="31">
        <f t="shared" si="5"/>
        <v>2.9901712325550855</v>
      </c>
      <c r="M16" s="31">
        <f t="shared" si="5"/>
        <v>3.4414893578216974</v>
      </c>
    </row>
    <row r="17" spans="1:13" x14ac:dyDescent="0.2">
      <c r="A17" s="31" t="s">
        <v>376</v>
      </c>
      <c r="B17" s="31"/>
      <c r="C17" s="31"/>
      <c r="D17" s="31">
        <f t="shared" ref="D17:M17" si="6">D16/$E$2*100</f>
        <v>4.8233092891924461</v>
      </c>
      <c r="E17" s="31">
        <f t="shared" si="6"/>
        <v>6.080639692762249</v>
      </c>
      <c r="F17" s="31">
        <f t="shared" si="6"/>
        <v>4.5768609055199772</v>
      </c>
      <c r="G17" s="31">
        <f t="shared" si="6"/>
        <v>3.8938882142553406</v>
      </c>
      <c r="H17" s="31">
        <f t="shared" si="6"/>
        <v>4.5786493592383977</v>
      </c>
      <c r="I17" s="31">
        <f t="shared" si="6"/>
        <v>3.716115455377639</v>
      </c>
      <c r="J17" s="31">
        <f t="shared" si="6"/>
        <v>5.3715621149291666</v>
      </c>
      <c r="K17" s="31">
        <f t="shared" si="6"/>
        <v>6.5724469518174748</v>
      </c>
      <c r="L17" s="31">
        <f t="shared" si="6"/>
        <v>5.9345279096476906</v>
      </c>
      <c r="M17" s="31">
        <f t="shared" si="6"/>
        <v>6.8302491918820651</v>
      </c>
    </row>
    <row r="18" spans="1:13" x14ac:dyDescent="0.2">
      <c r="A18" s="31" t="s">
        <v>59</v>
      </c>
      <c r="B18" s="31"/>
      <c r="C18" s="31"/>
      <c r="D18" s="32">
        <f t="shared" ref="D18:M18" si="7">D14/$C$2</f>
        <v>0.94728834202712553</v>
      </c>
      <c r="E18" s="32">
        <f t="shared" si="7"/>
        <v>1.1353265747582522</v>
      </c>
      <c r="F18" s="32">
        <f t="shared" si="7"/>
        <v>1.0508320197436842</v>
      </c>
      <c r="G18" s="32">
        <f t="shared" si="7"/>
        <v>1.3337573076548512</v>
      </c>
      <c r="H18" s="32">
        <f t="shared" si="7"/>
        <v>1.5960000404721921</v>
      </c>
      <c r="I18" s="32">
        <f t="shared" si="7"/>
        <v>1.0750204785077899</v>
      </c>
      <c r="J18" s="32">
        <f t="shared" si="7"/>
        <v>1.4231806168552346</v>
      </c>
      <c r="K18" s="32">
        <f t="shared" si="7"/>
        <v>1.049733579145691</v>
      </c>
      <c r="L18" s="32">
        <f t="shared" si="7"/>
        <v>1.0044243273289741</v>
      </c>
      <c r="M18" s="32">
        <f t="shared" si="7"/>
        <v>1.0919865480550368</v>
      </c>
    </row>
    <row r="19" spans="1:13" x14ac:dyDescent="0.2">
      <c r="E19" s="31"/>
      <c r="F19" s="31"/>
    </row>
    <row r="20" spans="1:13" x14ac:dyDescent="0.2">
      <c r="A20" s="34" t="s">
        <v>485</v>
      </c>
      <c r="B20" s="35"/>
      <c r="C20" s="34">
        <v>1</v>
      </c>
      <c r="D20" s="34">
        <v>1</v>
      </c>
      <c r="E20" s="34" t="s">
        <v>283</v>
      </c>
      <c r="F20" s="34" t="s">
        <v>283</v>
      </c>
      <c r="G20" s="34" t="s">
        <v>283</v>
      </c>
    </row>
    <row r="21" spans="1:13" x14ac:dyDescent="0.2">
      <c r="A21" s="31" t="s">
        <v>63</v>
      </c>
      <c r="B21" s="31"/>
      <c r="C21" s="31">
        <v>540.76900000000001</v>
      </c>
      <c r="D21" s="31">
        <v>595.46199999999999</v>
      </c>
      <c r="E21" s="31">
        <v>441.28800000000001</v>
      </c>
      <c r="F21" s="31">
        <v>446.03800000000001</v>
      </c>
      <c r="G21" s="31">
        <v>547.25</v>
      </c>
    </row>
    <row r="22" spans="1:13" x14ac:dyDescent="0.2">
      <c r="A22" s="31" t="s">
        <v>62</v>
      </c>
      <c r="B22" s="31"/>
      <c r="C22" s="31">
        <f>C21-$B$5</f>
        <v>252.423</v>
      </c>
      <c r="D22" s="31">
        <f>D21-$B$5</f>
        <v>307.11599999999999</v>
      </c>
      <c r="E22" s="31">
        <f>E21-$B$5</f>
        <v>152.94200000000001</v>
      </c>
      <c r="F22" s="31">
        <f>F21-$B$5</f>
        <v>157.69200000000001</v>
      </c>
      <c r="G22" s="31">
        <f>G21-$B$5</f>
        <v>258.904</v>
      </c>
    </row>
    <row r="23" spans="1:13" x14ac:dyDescent="0.2">
      <c r="A23" s="31" t="s">
        <v>61</v>
      </c>
      <c r="B23" s="31"/>
      <c r="C23" s="31">
        <v>2.1190000000000002</v>
      </c>
      <c r="D23" s="31">
        <v>1.613</v>
      </c>
      <c r="E23" s="31">
        <v>2.9159999999999999</v>
      </c>
      <c r="F23" s="31">
        <v>1.1040000000000001</v>
      </c>
      <c r="G23" s="31">
        <v>2.069</v>
      </c>
    </row>
    <row r="24" spans="1:13" x14ac:dyDescent="0.2">
      <c r="A24" s="31" t="s">
        <v>60</v>
      </c>
      <c r="B24" s="31"/>
      <c r="C24" s="31">
        <f>(4+C23^2)^(1/2)</f>
        <v>2.9137880842641937</v>
      </c>
      <c r="D24" s="31">
        <f>(4+D23^2)^(1/2)</f>
        <v>2.5693907838240566</v>
      </c>
      <c r="E24" s="31">
        <f>(4+E23^2)^(1/2)</f>
        <v>3.5359660631855614</v>
      </c>
      <c r="F24" s="31">
        <f>(4+F23^2)^(1/2)</f>
        <v>2.284472805703758</v>
      </c>
      <c r="G24" s="31">
        <f>(4+G23^2)^(1/2)</f>
        <v>2.8776311438403637</v>
      </c>
    </row>
    <row r="25" spans="1:13" x14ac:dyDescent="0.2">
      <c r="A25" s="31" t="s">
        <v>376</v>
      </c>
      <c r="B25" s="31"/>
      <c r="C25" s="31"/>
      <c r="D25" s="31"/>
      <c r="E25" s="31">
        <f>E24/$E$2*100</f>
        <v>7.0177550573285465</v>
      </c>
      <c r="F25" s="31">
        <f>F24/$E$2*100</f>
        <v>4.5339435670697377</v>
      </c>
      <c r="G25" s="31">
        <f>G24/$E$2*100</f>
        <v>5.711172039535513</v>
      </c>
    </row>
    <row r="26" spans="1:13" x14ac:dyDescent="0.2">
      <c r="A26" s="31" t="s">
        <v>59</v>
      </c>
      <c r="B26" s="31"/>
      <c r="C26" s="31"/>
      <c r="D26" s="32"/>
      <c r="E26" s="32">
        <f>E22/$C$2</f>
        <v>0.87045441418820146</v>
      </c>
      <c r="F26" s="32">
        <f>F22/$C$2</f>
        <v>0.89748857398337845</v>
      </c>
      <c r="G26" s="32">
        <f>G22/$C$2</f>
        <v>1.4735267594969472</v>
      </c>
    </row>
    <row r="27" spans="1:13" x14ac:dyDescent="0.2">
      <c r="E27" s="31"/>
      <c r="F27" s="31"/>
    </row>
    <row r="28" spans="1:13" x14ac:dyDescent="0.2">
      <c r="A28" s="34" t="s">
        <v>484</v>
      </c>
      <c r="B28" s="35"/>
      <c r="C28" s="34">
        <v>1</v>
      </c>
      <c r="D28" s="34">
        <v>1</v>
      </c>
      <c r="E28" s="34" t="s">
        <v>283</v>
      </c>
      <c r="F28" s="34" t="s">
        <v>283</v>
      </c>
      <c r="G28" s="34" t="s">
        <v>283</v>
      </c>
    </row>
    <row r="29" spans="1:13" x14ac:dyDescent="0.2">
      <c r="A29" s="31" t="s">
        <v>63</v>
      </c>
      <c r="B29" s="31"/>
      <c r="C29" s="31">
        <v>484.44200000000001</v>
      </c>
      <c r="D29" s="31">
        <v>533.404</v>
      </c>
      <c r="E29" s="31">
        <v>590.96199999999999</v>
      </c>
      <c r="F29" s="31">
        <v>447.76900000000001</v>
      </c>
      <c r="G29" s="31">
        <v>440.923</v>
      </c>
    </row>
    <row r="30" spans="1:13" x14ac:dyDescent="0.2">
      <c r="A30" s="31" t="s">
        <v>62</v>
      </c>
      <c r="B30" s="31"/>
      <c r="C30" s="31">
        <f>C29-$B$5</f>
        <v>196.096</v>
      </c>
      <c r="D30" s="31">
        <f>D29-$B$5</f>
        <v>245.05799999999999</v>
      </c>
      <c r="E30" s="31">
        <f>E29-$B$5</f>
        <v>302.61599999999999</v>
      </c>
      <c r="F30" s="31">
        <f>F29-$B$5</f>
        <v>159.423</v>
      </c>
      <c r="G30" s="31">
        <f>G29-$B$5</f>
        <v>152.577</v>
      </c>
    </row>
    <row r="31" spans="1:13" x14ac:dyDescent="0.2">
      <c r="A31" s="31" t="s">
        <v>61</v>
      </c>
      <c r="B31" s="31"/>
      <c r="C31" s="31">
        <v>2.9630000000000001</v>
      </c>
      <c r="D31" s="31">
        <v>2.3340000000000001</v>
      </c>
      <c r="E31" s="31">
        <v>1.375</v>
      </c>
      <c r="F31" s="31">
        <v>1.8680000000000001</v>
      </c>
      <c r="G31" s="31">
        <v>2.0019999999999998</v>
      </c>
    </row>
    <row r="32" spans="1:13" x14ac:dyDescent="0.2">
      <c r="A32" s="31" t="s">
        <v>60</v>
      </c>
      <c r="B32" s="31"/>
      <c r="C32" s="31">
        <f>(9+C31^2)^(1/2)</f>
        <v>4.2165589050788803</v>
      </c>
      <c r="D32" s="31">
        <f>(9+D31^2)^(1/2)</f>
        <v>3.8009940805005211</v>
      </c>
      <c r="E32" s="31">
        <f>(9+E31^2)^(1/2)</f>
        <v>3.3000946956110213</v>
      </c>
      <c r="F32" s="31">
        <f>(9+F31^2)^(1/2)</f>
        <v>3.5340379171706688</v>
      </c>
      <c r="G32" s="31">
        <f>(9+G31^2)^(1/2)</f>
        <v>3.6066610597615072</v>
      </c>
    </row>
    <row r="33" spans="1:7" x14ac:dyDescent="0.2">
      <c r="A33" s="31" t="s">
        <v>376</v>
      </c>
      <c r="B33" s="31"/>
      <c r="C33" s="31"/>
      <c r="D33" s="31"/>
      <c r="E33" s="31">
        <f>E32/$E$2*100</f>
        <v>6.5496262763684783</v>
      </c>
      <c r="F33" s="31">
        <f>F32/$E$2*100</f>
        <v>7.0139283078050827</v>
      </c>
      <c r="G33" s="31">
        <f>G32/$E$2*100</f>
        <v>7.1580618817955521</v>
      </c>
    </row>
    <row r="34" spans="1:7" x14ac:dyDescent="0.2">
      <c r="A34" s="31" t="s">
        <v>59</v>
      </c>
      <c r="B34" s="31"/>
      <c r="C34" s="31"/>
      <c r="D34" s="32"/>
      <c r="E34" s="32">
        <f>E30/$C$2</f>
        <v>1.722309326437321</v>
      </c>
      <c r="F34" s="32">
        <f>F30/$C$2</f>
        <v>0.90734039095294716</v>
      </c>
      <c r="G34" s="32">
        <f>G30/$C$2</f>
        <v>0.86837705243551944</v>
      </c>
    </row>
    <row r="35" spans="1:7" x14ac:dyDescent="0.2">
      <c r="E35" s="31"/>
      <c r="F35" s="31"/>
    </row>
    <row r="36" spans="1:7" x14ac:dyDescent="0.2">
      <c r="A36" s="34" t="s">
        <v>483</v>
      </c>
      <c r="B36" s="35"/>
      <c r="C36" s="34" t="s">
        <v>283</v>
      </c>
      <c r="D36" s="34" t="s">
        <v>283</v>
      </c>
      <c r="E36" s="34" t="s">
        <v>283</v>
      </c>
      <c r="F36" s="31"/>
    </row>
    <row r="37" spans="1:7" x14ac:dyDescent="0.2">
      <c r="A37" s="31" t="s">
        <v>63</v>
      </c>
      <c r="B37" s="31"/>
      <c r="C37" s="31">
        <v>370.28800000000001</v>
      </c>
      <c r="D37" s="31">
        <v>475.05799999999999</v>
      </c>
      <c r="E37" s="31">
        <v>457.904</v>
      </c>
      <c r="F37" s="31"/>
    </row>
    <row r="38" spans="1:7" x14ac:dyDescent="0.2">
      <c r="A38" s="31" t="s">
        <v>62</v>
      </c>
      <c r="B38" s="31"/>
      <c r="C38" s="31">
        <f>C37-$B$5</f>
        <v>81.942000000000007</v>
      </c>
      <c r="D38" s="31">
        <f>D37-$B$5</f>
        <v>186.71199999999999</v>
      </c>
      <c r="E38" s="31">
        <f>E37-$B$5</f>
        <v>169.55799999999999</v>
      </c>
      <c r="F38" s="31"/>
    </row>
    <row r="39" spans="1:7" x14ac:dyDescent="0.2">
      <c r="A39" s="31" t="s">
        <v>61</v>
      </c>
      <c r="B39" s="31"/>
      <c r="C39" s="31">
        <v>13.427</v>
      </c>
      <c r="D39" s="31">
        <v>2.5209999999999999</v>
      </c>
      <c r="E39" s="31">
        <v>1.2450000000000001</v>
      </c>
      <c r="F39" s="31"/>
    </row>
    <row r="40" spans="1:7" x14ac:dyDescent="0.2">
      <c r="A40" s="31" t="s">
        <v>60</v>
      </c>
      <c r="B40" s="31"/>
      <c r="C40" s="31">
        <f>(16+C39^2)^(1/2)</f>
        <v>14.010150927095681</v>
      </c>
      <c r="D40" s="31">
        <f>(16+D39^2)^(1/2)</f>
        <v>4.7281540795536685</v>
      </c>
      <c r="E40" s="31">
        <f>(16+E39^2)^(1/2)</f>
        <v>4.1892749969415952</v>
      </c>
      <c r="F40" s="31"/>
    </row>
    <row r="41" spans="1:7" x14ac:dyDescent="0.2">
      <c r="A41" s="31" t="s">
        <v>376</v>
      </c>
      <c r="B41" s="31"/>
      <c r="C41" s="31">
        <f>C40/$E$2*100</f>
        <v>27.805642295668797</v>
      </c>
      <c r="D41" s="31">
        <f>D40/$E$2*100</f>
        <v>9.3838647234423611</v>
      </c>
      <c r="E41" s="31">
        <f>E40/$E$2*100</f>
        <v>8.3143631106688272</v>
      </c>
      <c r="F41" s="31"/>
    </row>
    <row r="42" spans="1:7" x14ac:dyDescent="0.2">
      <c r="A42" s="31" t="s">
        <v>59</v>
      </c>
      <c r="B42" s="31"/>
      <c r="C42" s="32">
        <f>C38/$C$2</f>
        <v>0.46636486777608249</v>
      </c>
      <c r="D42" s="32">
        <f>D38/$C$2</f>
        <v>1.0626530618267542</v>
      </c>
      <c r="E42" s="32">
        <f>E38/$C$2</f>
        <v>0.96502275085276157</v>
      </c>
      <c r="F42" s="31"/>
    </row>
    <row r="43" spans="1:7" x14ac:dyDescent="0.2">
      <c r="E43" s="31"/>
      <c r="F43" s="31"/>
    </row>
    <row r="44" spans="1:7" x14ac:dyDescent="0.2">
      <c r="A44" s="34" t="s">
        <v>482</v>
      </c>
      <c r="B44" s="35"/>
      <c r="C44" s="34">
        <v>1</v>
      </c>
      <c r="D44" s="34">
        <v>1</v>
      </c>
      <c r="E44" s="31"/>
      <c r="F44" s="31"/>
    </row>
    <row r="45" spans="1:7" x14ac:dyDescent="0.2">
      <c r="A45" s="31" t="s">
        <v>63</v>
      </c>
      <c r="B45" s="31"/>
      <c r="C45" s="31">
        <v>383.673</v>
      </c>
      <c r="D45" s="31">
        <v>418.38499999999999</v>
      </c>
      <c r="E45" s="31"/>
      <c r="F45" s="31"/>
    </row>
    <row r="46" spans="1:7" x14ac:dyDescent="0.2">
      <c r="A46" s="31" t="s">
        <v>62</v>
      </c>
      <c r="B46" s="31"/>
      <c r="C46" s="31">
        <f>C45-$B$5</f>
        <v>95.326999999999998</v>
      </c>
      <c r="D46" s="31">
        <f>D45-$B$5</f>
        <v>130.03899999999999</v>
      </c>
      <c r="E46" s="31"/>
      <c r="F46" s="31"/>
    </row>
    <row r="47" spans="1:7" x14ac:dyDescent="0.2">
      <c r="A47" s="31" t="s">
        <v>61</v>
      </c>
      <c r="B47" s="31"/>
      <c r="C47" s="31">
        <v>13.374000000000001</v>
      </c>
      <c r="D47" s="31">
        <v>0.28199999999999997</v>
      </c>
      <c r="E47" s="31"/>
      <c r="F47" s="31"/>
    </row>
    <row r="48" spans="1:7" x14ac:dyDescent="0.2">
      <c r="A48" s="31" t="s">
        <v>60</v>
      </c>
      <c r="B48" s="31"/>
      <c r="C48" s="31">
        <f>(25+C47^2)^(1/2)</f>
        <v>14.278090768726749</v>
      </c>
      <c r="D48" s="31">
        <f>(25+D47^2)^(1/2)</f>
        <v>5.0079460859717733</v>
      </c>
      <c r="E48" s="31"/>
      <c r="F48" s="31"/>
    </row>
    <row r="49" spans="1:13" x14ac:dyDescent="0.2">
      <c r="A49" s="31" t="s">
        <v>376</v>
      </c>
      <c r="B49" s="31"/>
      <c r="C49" s="31"/>
      <c r="D49" s="31"/>
      <c r="E49" s="31"/>
      <c r="F49" s="31"/>
    </row>
    <row r="50" spans="1:13" x14ac:dyDescent="0.2">
      <c r="A50" s="31" t="s">
        <v>59</v>
      </c>
      <c r="B50" s="31"/>
      <c r="C50" s="31"/>
      <c r="D50" s="32"/>
      <c r="E50" s="31"/>
      <c r="F50" s="31"/>
    </row>
    <row r="51" spans="1:13" x14ac:dyDescent="0.2">
      <c r="E51" s="31"/>
      <c r="F51" s="31"/>
    </row>
    <row r="52" spans="1:13" x14ac:dyDescent="0.2">
      <c r="A52" s="34" t="s">
        <v>481</v>
      </c>
      <c r="B52" s="35"/>
      <c r="C52" s="34" t="s">
        <v>283</v>
      </c>
      <c r="D52" s="34" t="s">
        <v>283</v>
      </c>
      <c r="E52" s="31"/>
      <c r="F52" s="31"/>
    </row>
    <row r="53" spans="1:13" x14ac:dyDescent="0.2">
      <c r="A53" s="31" t="s">
        <v>63</v>
      </c>
      <c r="B53" s="31"/>
      <c r="C53" s="31">
        <v>326.5</v>
      </c>
      <c r="D53" s="31">
        <v>341.86500000000001</v>
      </c>
      <c r="E53" s="31"/>
      <c r="F53" s="31"/>
    </row>
    <row r="54" spans="1:13" x14ac:dyDescent="0.2">
      <c r="A54" s="31" t="s">
        <v>62</v>
      </c>
      <c r="B54" s="31"/>
      <c r="C54" s="31">
        <f>C53-$B$5</f>
        <v>38.153999999999996</v>
      </c>
      <c r="D54" s="31">
        <f>D53-$B$5</f>
        <v>53.519000000000005</v>
      </c>
      <c r="E54" s="31"/>
      <c r="F54" s="31"/>
    </row>
    <row r="55" spans="1:13" x14ac:dyDescent="0.2">
      <c r="A55" s="31" t="s">
        <v>61</v>
      </c>
      <c r="B55" s="31"/>
      <c r="C55" s="31">
        <v>10.218999999999999</v>
      </c>
      <c r="D55" s="31">
        <v>8.2010000000000005</v>
      </c>
      <c r="E55" s="31"/>
      <c r="F55" s="31"/>
    </row>
    <row r="56" spans="1:13" x14ac:dyDescent="0.2">
      <c r="A56" s="31" t="s">
        <v>60</v>
      </c>
      <c r="B56" s="31"/>
      <c r="C56" s="31">
        <f>(36+C55^2)^(1/2)</f>
        <v>11.850230419700706</v>
      </c>
      <c r="D56" s="31">
        <f>(36+D55^2)^(1/2)</f>
        <v>10.161515684188064</v>
      </c>
      <c r="E56" s="31"/>
      <c r="F56" s="31"/>
    </row>
    <row r="57" spans="1:13" x14ac:dyDescent="0.2">
      <c r="A57" s="31" t="s">
        <v>376</v>
      </c>
      <c r="B57" s="31"/>
      <c r="C57" s="31">
        <f>C56/$E$2*100</f>
        <v>23.518894970231223</v>
      </c>
      <c r="D57" s="31">
        <f>D56/$E$2*100</f>
        <v>20.167339507379157</v>
      </c>
      <c r="E57" s="31"/>
      <c r="F57" s="31"/>
    </row>
    <row r="58" spans="1:13" x14ac:dyDescent="0.2">
      <c r="A58" s="31" t="s">
        <v>59</v>
      </c>
      <c r="B58" s="31"/>
      <c r="C58" s="32">
        <f>C54/$C$2</f>
        <v>0.21714975427898572</v>
      </c>
      <c r="D58" s="32">
        <f>D54/$C$2</f>
        <v>0.3045981469638056</v>
      </c>
      <c r="E58" s="31"/>
      <c r="F58" s="31"/>
    </row>
    <row r="59" spans="1:13" x14ac:dyDescent="0.2">
      <c r="E59" s="31"/>
      <c r="F59" s="31"/>
    </row>
    <row r="60" spans="1:13" x14ac:dyDescent="0.2">
      <c r="A60" s="34" t="s">
        <v>480</v>
      </c>
      <c r="B60" s="35"/>
      <c r="C60" s="34">
        <v>1</v>
      </c>
      <c r="D60" s="34">
        <v>1</v>
      </c>
      <c r="E60" s="34">
        <v>1</v>
      </c>
      <c r="F60" s="34" t="s">
        <v>283</v>
      </c>
      <c r="G60" s="34" t="s">
        <v>283</v>
      </c>
      <c r="H60" s="34" t="s">
        <v>283</v>
      </c>
      <c r="I60" s="34" t="s">
        <v>283</v>
      </c>
      <c r="J60" s="34" t="s">
        <v>283</v>
      </c>
      <c r="K60" s="34" t="s">
        <v>283</v>
      </c>
      <c r="L60" s="34" t="s">
        <v>283</v>
      </c>
      <c r="M60" s="34" t="s">
        <v>283</v>
      </c>
    </row>
    <row r="61" spans="1:13" x14ac:dyDescent="0.2">
      <c r="A61" s="31" t="s">
        <v>63</v>
      </c>
      <c r="B61" s="31"/>
      <c r="C61" s="31">
        <v>474.23099999999999</v>
      </c>
      <c r="D61" s="31">
        <v>587.44200000000001</v>
      </c>
      <c r="E61" s="31">
        <v>527.25</v>
      </c>
      <c r="F61" s="31">
        <v>490</v>
      </c>
      <c r="G61" s="31">
        <v>396.98099999999999</v>
      </c>
      <c r="H61" s="31">
        <v>405.23099999999999</v>
      </c>
      <c r="I61" s="31">
        <v>414.61500000000001</v>
      </c>
      <c r="J61" s="31">
        <v>429.23099999999999</v>
      </c>
      <c r="K61" s="31">
        <v>467.80799999999999</v>
      </c>
      <c r="L61" s="31">
        <v>519.36500000000001</v>
      </c>
      <c r="M61" s="31">
        <v>437.327</v>
      </c>
    </row>
    <row r="62" spans="1:13" x14ac:dyDescent="0.2">
      <c r="A62" s="31" t="s">
        <v>62</v>
      </c>
      <c r="B62" s="31"/>
      <c r="C62" s="31">
        <f t="shared" ref="C62:M62" si="8">C61-$B$5</f>
        <v>185.88499999999999</v>
      </c>
      <c r="D62" s="31">
        <f t="shared" si="8"/>
        <v>299.096</v>
      </c>
      <c r="E62" s="31">
        <f t="shared" si="8"/>
        <v>238.904</v>
      </c>
      <c r="F62" s="31">
        <f t="shared" si="8"/>
        <v>201.654</v>
      </c>
      <c r="G62" s="31">
        <f t="shared" si="8"/>
        <v>108.63499999999999</v>
      </c>
      <c r="H62" s="31">
        <f t="shared" si="8"/>
        <v>116.88499999999999</v>
      </c>
      <c r="I62" s="31">
        <f t="shared" si="8"/>
        <v>126.26900000000001</v>
      </c>
      <c r="J62" s="31">
        <f t="shared" si="8"/>
        <v>140.88499999999999</v>
      </c>
      <c r="K62" s="31">
        <f t="shared" si="8"/>
        <v>179.46199999999999</v>
      </c>
      <c r="L62" s="31">
        <f t="shared" si="8"/>
        <v>231.01900000000001</v>
      </c>
      <c r="M62" s="31">
        <f t="shared" si="8"/>
        <v>148.98099999999999</v>
      </c>
    </row>
    <row r="63" spans="1:13" x14ac:dyDescent="0.2">
      <c r="A63" s="31" t="s">
        <v>61</v>
      </c>
      <c r="B63" s="31"/>
      <c r="C63" s="31">
        <v>1.8640000000000001</v>
      </c>
      <c r="D63" s="31">
        <v>1.76</v>
      </c>
      <c r="E63" s="31">
        <v>3.9319999999999999</v>
      </c>
      <c r="F63" s="31">
        <v>1.4370000000000001</v>
      </c>
      <c r="G63" s="31">
        <v>2.2160000000000002</v>
      </c>
      <c r="H63" s="31">
        <v>1.448</v>
      </c>
      <c r="I63" s="31">
        <v>2.109</v>
      </c>
      <c r="J63" s="31">
        <v>2.0939999999999999</v>
      </c>
      <c r="K63" s="31">
        <v>2.754</v>
      </c>
      <c r="L63" s="31">
        <v>3.0259999999999998</v>
      </c>
      <c r="M63" s="31">
        <v>3.8460000000000001</v>
      </c>
    </row>
    <row r="64" spans="1:13" x14ac:dyDescent="0.2">
      <c r="A64" s="31" t="s">
        <v>60</v>
      </c>
      <c r="B64" s="31"/>
      <c r="C64" s="31">
        <f t="shared" ref="C64:M64" si="9">(1+C63^2)^(1/2)</f>
        <v>2.1153004514725562</v>
      </c>
      <c r="D64" s="31">
        <f t="shared" si="9"/>
        <v>2.0242529486207994</v>
      </c>
      <c r="E64" s="31">
        <f t="shared" si="9"/>
        <v>4.0571694566532468</v>
      </c>
      <c r="F64" s="31">
        <f t="shared" si="9"/>
        <v>1.7507052864488644</v>
      </c>
      <c r="G64" s="31">
        <f t="shared" si="9"/>
        <v>2.4311840736562917</v>
      </c>
      <c r="H64" s="31">
        <f t="shared" si="9"/>
        <v>1.7597454361355793</v>
      </c>
      <c r="I64" s="31">
        <f t="shared" si="9"/>
        <v>2.3340696219264756</v>
      </c>
      <c r="J64" s="31">
        <f t="shared" si="9"/>
        <v>2.3205249406114987</v>
      </c>
      <c r="K64" s="31">
        <f t="shared" si="9"/>
        <v>2.9299344702569714</v>
      </c>
      <c r="L64" s="31">
        <f t="shared" si="9"/>
        <v>3.1869540316735034</v>
      </c>
      <c r="M64" s="31">
        <f t="shared" si="9"/>
        <v>3.9738792130612124</v>
      </c>
    </row>
    <row r="65" spans="1:13" x14ac:dyDescent="0.2">
      <c r="A65" s="31" t="s">
        <v>376</v>
      </c>
      <c r="B65" s="31"/>
      <c r="C65" s="31"/>
      <c r="D65" s="31"/>
      <c r="E65" s="31"/>
      <c r="F65" s="31">
        <f t="shared" ref="F65:M65" si="10">F64/$E$2*100</f>
        <v>3.4745867630866991</v>
      </c>
      <c r="G65" s="31">
        <f t="shared" si="10"/>
        <v>4.8251182345419199</v>
      </c>
      <c r="H65" s="31">
        <f t="shared" si="10"/>
        <v>3.4925285518508695</v>
      </c>
      <c r="I65" s="31">
        <f t="shared" si="10"/>
        <v>4.632377291165156</v>
      </c>
      <c r="J65" s="31">
        <f t="shared" si="10"/>
        <v>4.6054954563003587</v>
      </c>
      <c r="K65" s="31">
        <f t="shared" si="10"/>
        <v>5.8149773156372229</v>
      </c>
      <c r="L65" s="31">
        <f t="shared" si="10"/>
        <v>6.3250784576539179</v>
      </c>
      <c r="M65" s="31">
        <f t="shared" si="10"/>
        <v>7.8868717760116143</v>
      </c>
    </row>
    <row r="66" spans="1:13" x14ac:dyDescent="0.2">
      <c r="A66" s="31" t="s">
        <v>59</v>
      </c>
      <c r="B66" s="31"/>
      <c r="C66" s="31"/>
      <c r="D66" s="32"/>
      <c r="E66" s="32"/>
      <c r="F66" s="32">
        <f t="shared" ref="F66:M66" si="11">F62/$C$2</f>
        <v>1.1476939914392879</v>
      </c>
      <c r="G66" s="32">
        <f t="shared" si="11"/>
        <v>0.61828546302085274</v>
      </c>
      <c r="H66" s="32">
        <f t="shared" si="11"/>
        <v>0.66523953003352854</v>
      </c>
      <c r="I66" s="32">
        <f t="shared" si="11"/>
        <v>0.71864764698467398</v>
      </c>
      <c r="J66" s="32">
        <f t="shared" si="11"/>
        <v>0.80183317952494904</v>
      </c>
      <c r="K66" s="32">
        <f t="shared" si="11"/>
        <v>1.021390396876221</v>
      </c>
      <c r="L66" s="32">
        <f t="shared" si="11"/>
        <v>1.3148220129941031</v>
      </c>
      <c r="M66" s="32">
        <f t="shared" si="11"/>
        <v>0.84791077062005493</v>
      </c>
    </row>
    <row r="67" spans="1:13" x14ac:dyDescent="0.2">
      <c r="E67" s="31"/>
      <c r="F67" s="31"/>
    </row>
    <row r="68" spans="1:13" x14ac:dyDescent="0.2">
      <c r="A68" s="34" t="s">
        <v>479</v>
      </c>
      <c r="B68" s="35"/>
      <c r="C68" s="34">
        <v>1</v>
      </c>
      <c r="D68" s="34">
        <v>1</v>
      </c>
      <c r="E68" s="34">
        <v>1</v>
      </c>
      <c r="F68" s="34">
        <v>1</v>
      </c>
      <c r="G68" s="34">
        <v>1</v>
      </c>
      <c r="H68" s="34" t="s">
        <v>283</v>
      </c>
      <c r="I68" s="34" t="s">
        <v>283</v>
      </c>
      <c r="J68" s="34" t="s">
        <v>283</v>
      </c>
      <c r="K68" s="34" t="s">
        <v>283</v>
      </c>
      <c r="L68" s="31"/>
    </row>
    <row r="69" spans="1:13" x14ac:dyDescent="0.2">
      <c r="A69" s="31" t="s">
        <v>63</v>
      </c>
      <c r="B69" s="31"/>
      <c r="C69" s="31">
        <v>469.01900000000001</v>
      </c>
      <c r="D69" s="31">
        <v>514.596</v>
      </c>
      <c r="E69" s="31">
        <v>460.673</v>
      </c>
      <c r="F69" s="31">
        <v>457.673</v>
      </c>
      <c r="G69" s="31">
        <v>457.44200000000001</v>
      </c>
      <c r="H69" s="31">
        <v>388.05799999999999</v>
      </c>
      <c r="I69" s="31">
        <v>359.346</v>
      </c>
      <c r="J69" s="31">
        <v>405.36500000000001</v>
      </c>
      <c r="K69" s="31">
        <v>425.51900000000001</v>
      </c>
    </row>
    <row r="70" spans="1:13" x14ac:dyDescent="0.2">
      <c r="A70" s="31" t="s">
        <v>62</v>
      </c>
      <c r="B70" s="31"/>
      <c r="C70" s="31">
        <f t="shared" ref="C70:K70" si="12">C69-$B$5</f>
        <v>180.673</v>
      </c>
      <c r="D70" s="31">
        <f t="shared" si="12"/>
        <v>226.25</v>
      </c>
      <c r="E70" s="31">
        <f t="shared" si="12"/>
        <v>172.327</v>
      </c>
      <c r="F70" s="31">
        <f t="shared" si="12"/>
        <v>169.327</v>
      </c>
      <c r="G70" s="31">
        <f t="shared" si="12"/>
        <v>169.096</v>
      </c>
      <c r="H70" s="31">
        <f t="shared" si="12"/>
        <v>99.711999999999989</v>
      </c>
      <c r="I70" s="31">
        <f t="shared" si="12"/>
        <v>71</v>
      </c>
      <c r="J70" s="31">
        <f t="shared" si="12"/>
        <v>117.01900000000001</v>
      </c>
      <c r="K70" s="31">
        <f t="shared" si="12"/>
        <v>137.173</v>
      </c>
    </row>
    <row r="71" spans="1:13" x14ac:dyDescent="0.2">
      <c r="A71" s="31" t="s">
        <v>61</v>
      </c>
      <c r="B71" s="31"/>
      <c r="C71" s="31">
        <v>1.5529999999999999</v>
      </c>
      <c r="D71" s="31">
        <v>0.73099999999999998</v>
      </c>
      <c r="E71" s="31">
        <v>1.3779999999999999</v>
      </c>
      <c r="F71" s="31">
        <v>1.921</v>
      </c>
      <c r="G71" s="31">
        <v>2.3109999999999999</v>
      </c>
      <c r="H71" s="31">
        <v>7.5380000000000003</v>
      </c>
      <c r="I71" s="31">
        <v>5.9980000000000002</v>
      </c>
      <c r="J71" s="31">
        <v>1.83</v>
      </c>
      <c r="K71" s="31">
        <v>3.665</v>
      </c>
    </row>
    <row r="72" spans="1:13" x14ac:dyDescent="0.2">
      <c r="A72" s="31" t="s">
        <v>60</v>
      </c>
      <c r="B72" s="31"/>
      <c r="C72" s="31">
        <f t="shared" ref="C72:K72" si="13">(4+C71^2)^(1/2)</f>
        <v>2.5321550110528381</v>
      </c>
      <c r="D72" s="31">
        <f t="shared" si="13"/>
        <v>2.1294039072003224</v>
      </c>
      <c r="E72" s="31">
        <f t="shared" si="13"/>
        <v>2.4287618244694147</v>
      </c>
      <c r="F72" s="31">
        <f t="shared" si="13"/>
        <v>2.7731283778433338</v>
      </c>
      <c r="G72" s="31">
        <f t="shared" si="13"/>
        <v>3.0562593149142301</v>
      </c>
      <c r="H72" s="31">
        <f t="shared" si="13"/>
        <v>7.7988104221092591</v>
      </c>
      <c r="I72" s="31">
        <f t="shared" si="13"/>
        <v>6.3226579853729241</v>
      </c>
      <c r="J72" s="31">
        <f t="shared" si="13"/>
        <v>2.7108854641979989</v>
      </c>
      <c r="K72" s="31">
        <f t="shared" si="13"/>
        <v>4.1751916123694253</v>
      </c>
    </row>
    <row r="73" spans="1:13" x14ac:dyDescent="0.2">
      <c r="A73" s="31" t="s">
        <v>376</v>
      </c>
      <c r="B73" s="31"/>
      <c r="C73" s="31"/>
      <c r="D73" s="31"/>
      <c r="E73" s="31"/>
      <c r="F73" s="31"/>
      <c r="G73" s="31"/>
      <c r="H73" s="31">
        <f>H72/$E$2*100</f>
        <v>15.478129683065253</v>
      </c>
      <c r="I73" s="31">
        <f>I72/$E$2*100</f>
        <v>12.548441998517292</v>
      </c>
      <c r="J73" s="31">
        <f>J72/$E$2*100</f>
        <v>5.3802355102568153</v>
      </c>
      <c r="K73" s="31">
        <f>K72/$E$2*100</f>
        <v>8.2864121231481462</v>
      </c>
    </row>
    <row r="74" spans="1:13" x14ac:dyDescent="0.2">
      <c r="A74" s="31" t="s">
        <v>59</v>
      </c>
      <c r="B74" s="31"/>
      <c r="C74" s="31"/>
      <c r="D74" s="32"/>
      <c r="E74" s="32"/>
      <c r="F74" s="32"/>
      <c r="G74" s="32"/>
      <c r="H74" s="32">
        <f>H70/$C$2</f>
        <v>0.56750108242035502</v>
      </c>
      <c r="I74" s="32">
        <f>I70/$C$2</f>
        <v>0.40408954641211897</v>
      </c>
      <c r="J74" s="32">
        <f>J70/$C$2</f>
        <v>0.66600217790985572</v>
      </c>
      <c r="K74" s="32">
        <f>K70/$C$2</f>
        <v>0.78070669507027601</v>
      </c>
    </row>
    <row r="75" spans="1:13" x14ac:dyDescent="0.2">
      <c r="E75" s="31"/>
      <c r="F75" s="31"/>
    </row>
    <row r="76" spans="1:13" x14ac:dyDescent="0.2">
      <c r="A76" s="34" t="s">
        <v>478</v>
      </c>
      <c r="B76" s="35"/>
      <c r="C76" s="34">
        <v>1</v>
      </c>
      <c r="D76" s="34">
        <v>1</v>
      </c>
      <c r="E76" s="34">
        <v>1</v>
      </c>
      <c r="F76" s="34">
        <v>1</v>
      </c>
      <c r="G76" s="34">
        <v>1</v>
      </c>
    </row>
    <row r="77" spans="1:13" x14ac:dyDescent="0.2">
      <c r="A77" s="31" t="s">
        <v>63</v>
      </c>
      <c r="B77" s="31"/>
      <c r="C77" s="31">
        <v>465.096</v>
      </c>
      <c r="D77" s="31">
        <v>381.827</v>
      </c>
      <c r="E77" s="31">
        <v>466.28800000000001</v>
      </c>
      <c r="F77" s="31">
        <v>481.71199999999999</v>
      </c>
      <c r="G77" s="31">
        <v>460.53800000000001</v>
      </c>
    </row>
    <row r="78" spans="1:13" x14ac:dyDescent="0.2">
      <c r="A78" s="31" t="s">
        <v>62</v>
      </c>
      <c r="B78" s="31"/>
      <c r="C78" s="31">
        <f>C77-$B$5</f>
        <v>176.75</v>
      </c>
      <c r="D78" s="31">
        <f>D77-$B$5</f>
        <v>93.480999999999995</v>
      </c>
      <c r="E78" s="31">
        <f>E77-$B$5</f>
        <v>177.94200000000001</v>
      </c>
      <c r="F78" s="31">
        <f>F77-$B$5</f>
        <v>193.36599999999999</v>
      </c>
      <c r="G78" s="31">
        <f>G77-$B$5</f>
        <v>172.19200000000001</v>
      </c>
    </row>
    <row r="79" spans="1:13" x14ac:dyDescent="0.2">
      <c r="A79" s="31" t="s">
        <v>61</v>
      </c>
      <c r="B79" s="31"/>
      <c r="C79" s="31">
        <v>7.6150000000000002</v>
      </c>
      <c r="D79" s="31">
        <v>6.3179999999999996</v>
      </c>
      <c r="E79" s="31">
        <v>1.883</v>
      </c>
      <c r="F79" s="31">
        <v>1.6779999999999999</v>
      </c>
      <c r="G79" s="31">
        <v>0.77900000000000003</v>
      </c>
    </row>
    <row r="80" spans="1:13" x14ac:dyDescent="0.2">
      <c r="A80" s="31" t="s">
        <v>60</v>
      </c>
      <c r="B80" s="31"/>
      <c r="C80" s="31">
        <f>(9+C79^2)^(1/2)</f>
        <v>8.1846334676636552</v>
      </c>
      <c r="D80" s="31">
        <f>(9+D79^2)^(1/2)</f>
        <v>6.9940777805226038</v>
      </c>
      <c r="E80" s="31">
        <f>(9+E79^2)^(1/2)</f>
        <v>3.5419894127453286</v>
      </c>
      <c r="F80" s="31">
        <f>(9+F79^2)^(1/2)</f>
        <v>3.4373949438491933</v>
      </c>
      <c r="G80" s="31">
        <f>(9+G79^2)^(1/2)</f>
        <v>3.0994904419920379</v>
      </c>
    </row>
    <row r="81" spans="1:5" x14ac:dyDescent="0.2">
      <c r="A81" s="31" t="s">
        <v>376</v>
      </c>
      <c r="B81" s="31"/>
      <c r="C81" s="31"/>
      <c r="D81" s="31"/>
    </row>
    <row r="82" spans="1:5" x14ac:dyDescent="0.2">
      <c r="A82" s="31" t="s">
        <v>59</v>
      </c>
      <c r="B82" s="31"/>
      <c r="C82" s="31"/>
      <c r="D82" s="32"/>
    </row>
    <row r="84" spans="1:5" x14ac:dyDescent="0.2">
      <c r="A84" s="34" t="s">
        <v>477</v>
      </c>
      <c r="B84" s="35"/>
      <c r="C84" s="34">
        <v>1</v>
      </c>
      <c r="D84" s="34">
        <v>1</v>
      </c>
      <c r="E84" s="34" t="s">
        <v>283</v>
      </c>
    </row>
    <row r="85" spans="1:5" x14ac:dyDescent="0.2">
      <c r="A85" s="31" t="s">
        <v>63</v>
      </c>
      <c r="B85" s="31"/>
      <c r="C85" s="31">
        <v>397.51900000000001</v>
      </c>
      <c r="D85" s="31">
        <v>456.11500000000001</v>
      </c>
      <c r="E85" s="31">
        <v>388.69200000000001</v>
      </c>
    </row>
    <row r="86" spans="1:5" x14ac:dyDescent="0.2">
      <c r="A86" s="31" t="s">
        <v>62</v>
      </c>
      <c r="B86" s="31"/>
      <c r="C86" s="31">
        <f>C85-$B$5</f>
        <v>109.173</v>
      </c>
      <c r="D86" s="31">
        <f>D85-$B$5</f>
        <v>167.76900000000001</v>
      </c>
      <c r="E86" s="31">
        <f>E85-$B$5</f>
        <v>100.346</v>
      </c>
    </row>
    <row r="87" spans="1:5" x14ac:dyDescent="0.2">
      <c r="A87" s="31" t="s">
        <v>61</v>
      </c>
      <c r="B87" s="31"/>
      <c r="C87" s="31">
        <v>7.7519999999999998</v>
      </c>
      <c r="D87" s="31">
        <v>1.883</v>
      </c>
      <c r="E87" s="31">
        <v>11.852</v>
      </c>
    </row>
    <row r="88" spans="1:5" x14ac:dyDescent="0.2">
      <c r="A88" s="31" t="s">
        <v>60</v>
      </c>
      <c r="B88" s="31"/>
      <c r="C88" s="31">
        <f>(16+C87^2)^(1/2)</f>
        <v>8.7231590607990181</v>
      </c>
      <c r="D88" s="31">
        <f>(16+D87^2)^(1/2)</f>
        <v>4.4210506669795135</v>
      </c>
      <c r="E88" s="31">
        <f>(16+E87^2)^(1/2)</f>
        <v>12.508793067278713</v>
      </c>
    </row>
    <row r="89" spans="1:5" x14ac:dyDescent="0.2">
      <c r="A89" s="31" t="s">
        <v>376</v>
      </c>
      <c r="B89" s="31"/>
      <c r="C89" s="31"/>
      <c r="D89" s="31"/>
      <c r="E89" s="31">
        <f>E88/$E$2*100</f>
        <v>24.825929955302488</v>
      </c>
    </row>
    <row r="90" spans="1:5" x14ac:dyDescent="0.2">
      <c r="A90" s="31" t="s">
        <v>59</v>
      </c>
      <c r="B90" s="31"/>
      <c r="C90" s="31"/>
      <c r="D90" s="32"/>
      <c r="E90" s="32">
        <f>E86/$C$2</f>
        <v>0.57110943132775338</v>
      </c>
    </row>
    <row r="91" spans="1:5" x14ac:dyDescent="0.2">
      <c r="E91" s="31"/>
    </row>
    <row r="92" spans="1:5" x14ac:dyDescent="0.2">
      <c r="A92" s="34" t="s">
        <v>476</v>
      </c>
      <c r="B92" s="35"/>
      <c r="C92" s="34">
        <v>1</v>
      </c>
      <c r="E92" s="31"/>
    </row>
    <row r="93" spans="1:5" x14ac:dyDescent="0.2">
      <c r="A93" s="31" t="s">
        <v>63</v>
      </c>
      <c r="B93" s="31"/>
      <c r="C93" s="31">
        <v>328.245</v>
      </c>
      <c r="E93" s="31"/>
    </row>
    <row r="94" spans="1:5" x14ac:dyDescent="0.2">
      <c r="A94" s="31" t="s">
        <v>62</v>
      </c>
      <c r="B94" s="31"/>
      <c r="C94" s="31">
        <f>C93-$B$5</f>
        <v>39.899000000000001</v>
      </c>
      <c r="E94" s="31"/>
    </row>
    <row r="95" spans="1:5" x14ac:dyDescent="0.2">
      <c r="A95" s="31" t="s">
        <v>61</v>
      </c>
      <c r="B95" s="31"/>
      <c r="C95" s="31">
        <v>11.852</v>
      </c>
      <c r="E95" s="31"/>
    </row>
    <row r="96" spans="1:5" x14ac:dyDescent="0.2">
      <c r="A96" s="31" t="s">
        <v>60</v>
      </c>
      <c r="B96" s="31"/>
      <c r="C96" s="31">
        <f>(25+C95^2)^(1/2)</f>
        <v>12.863510562828486</v>
      </c>
      <c r="E96" s="31"/>
    </row>
    <row r="97" spans="1:5" x14ac:dyDescent="0.2">
      <c r="A97" s="31" t="s">
        <v>376</v>
      </c>
      <c r="B97" s="31"/>
      <c r="C97" s="31"/>
      <c r="E97" s="31"/>
    </row>
    <row r="98" spans="1:5" x14ac:dyDescent="0.2">
      <c r="A98" s="31" t="s">
        <v>59</v>
      </c>
      <c r="B98" s="31"/>
      <c r="C98" s="31"/>
      <c r="E98" s="31"/>
    </row>
    <row r="99" spans="1:5" x14ac:dyDescent="0.2">
      <c r="E99" s="31"/>
    </row>
    <row r="100" spans="1:5" x14ac:dyDescent="0.2">
      <c r="E100" s="31"/>
    </row>
    <row r="111" spans="1:5" x14ac:dyDescent="0.2">
      <c r="E111" s="31"/>
    </row>
    <row r="112" spans="1:5" x14ac:dyDescent="0.2">
      <c r="E112" s="31"/>
    </row>
    <row r="113" spans="5:5" x14ac:dyDescent="0.2">
      <c r="E113" s="31"/>
    </row>
    <row r="114" spans="5:5" x14ac:dyDescent="0.2">
      <c r="E114" s="31"/>
    </row>
    <row r="115" spans="5:5" x14ac:dyDescent="0.2">
      <c r="E115" s="31"/>
    </row>
    <row r="116" spans="5:5" x14ac:dyDescent="0.2">
      <c r="E116" s="31"/>
    </row>
    <row r="117" spans="5:5" x14ac:dyDescent="0.2">
      <c r="E117" s="31"/>
    </row>
    <row r="118" spans="5:5" x14ac:dyDescent="0.2">
      <c r="E118" s="31"/>
    </row>
    <row r="119" spans="5:5" x14ac:dyDescent="0.2">
      <c r="E119" s="31"/>
    </row>
    <row r="120" spans="5:5" x14ac:dyDescent="0.2">
      <c r="E120" s="31"/>
    </row>
    <row r="121" spans="5:5" x14ac:dyDescent="0.2">
      <c r="E121" s="31"/>
    </row>
    <row r="122" spans="5:5" x14ac:dyDescent="0.2">
      <c r="E122" s="31"/>
    </row>
    <row r="123" spans="5:5" x14ac:dyDescent="0.2">
      <c r="E123" s="31"/>
    </row>
    <row r="124" spans="5:5" x14ac:dyDescent="0.2">
      <c r="E124" s="31"/>
    </row>
    <row r="125" spans="5:5" x14ac:dyDescent="0.2">
      <c r="E125" s="31"/>
    </row>
    <row r="126" spans="5:5" x14ac:dyDescent="0.2">
      <c r="E126" s="31"/>
    </row>
    <row r="127" spans="5:5" x14ac:dyDescent="0.2">
      <c r="E127" s="31"/>
    </row>
    <row r="128" spans="5:5" x14ac:dyDescent="0.2">
      <c r="E128" s="31"/>
    </row>
    <row r="129" spans="5:5" x14ac:dyDescent="0.2">
      <c r="E129" s="31"/>
    </row>
    <row r="130" spans="5:5" x14ac:dyDescent="0.2">
      <c r="E130" s="31"/>
    </row>
    <row r="131" spans="5:5" x14ac:dyDescent="0.2">
      <c r="E131" s="31"/>
    </row>
    <row r="132" spans="5:5" x14ac:dyDescent="0.2">
      <c r="E132" s="31"/>
    </row>
    <row r="133" spans="5:5" x14ac:dyDescent="0.2">
      <c r="E133" s="31"/>
    </row>
    <row r="134" spans="5:5" x14ac:dyDescent="0.2">
      <c r="E134" s="31"/>
    </row>
    <row r="135" spans="5:5" x14ac:dyDescent="0.2">
      <c r="E135" s="31"/>
    </row>
    <row r="136" spans="5:5" x14ac:dyDescent="0.2">
      <c r="E136" s="31"/>
    </row>
    <row r="137" spans="5:5" x14ac:dyDescent="0.2">
      <c r="E137" s="31"/>
    </row>
    <row r="138" spans="5:5" x14ac:dyDescent="0.2">
      <c r="E138" s="31"/>
    </row>
    <row r="139" spans="5:5" x14ac:dyDescent="0.2">
      <c r="E139" s="31"/>
    </row>
    <row r="140" spans="5:5" x14ac:dyDescent="0.2">
      <c r="E140" s="31"/>
    </row>
    <row r="141" spans="5:5" x14ac:dyDescent="0.2">
      <c r="E141" s="31"/>
    </row>
    <row r="142" spans="5:5" x14ac:dyDescent="0.2">
      <c r="E142" s="31"/>
    </row>
    <row r="143" spans="5:5" x14ac:dyDescent="0.2">
      <c r="E143" s="31"/>
    </row>
    <row r="144" spans="5:5" x14ac:dyDescent="0.2">
      <c r="E144" s="31"/>
    </row>
    <row r="145" spans="5:5" x14ac:dyDescent="0.2">
      <c r="E145" s="31"/>
    </row>
    <row r="146" spans="5:5" x14ac:dyDescent="0.2">
      <c r="E146" s="31"/>
    </row>
    <row r="147" spans="5:5" x14ac:dyDescent="0.2">
      <c r="E147" s="31"/>
    </row>
    <row r="148" spans="5:5" x14ac:dyDescent="0.2">
      <c r="E148" s="31"/>
    </row>
    <row r="149" spans="5:5" x14ac:dyDescent="0.2">
      <c r="E149" s="31"/>
    </row>
    <row r="150" spans="5:5" x14ac:dyDescent="0.2">
      <c r="E150" s="31"/>
    </row>
    <row r="151" spans="5:5" x14ac:dyDescent="0.2">
      <c r="E151" s="31"/>
    </row>
    <row r="152" spans="5:5" x14ac:dyDescent="0.2">
      <c r="E152" s="31"/>
    </row>
    <row r="153" spans="5:5" x14ac:dyDescent="0.2">
      <c r="E153" s="31"/>
    </row>
    <row r="154" spans="5:5" x14ac:dyDescent="0.2">
      <c r="E154" s="31"/>
    </row>
    <row r="155" spans="5:5" x14ac:dyDescent="0.2">
      <c r="E155" s="31"/>
    </row>
    <row r="156" spans="5:5" x14ac:dyDescent="0.2">
      <c r="E156" s="31"/>
    </row>
    <row r="157" spans="5:5" x14ac:dyDescent="0.2">
      <c r="E157" s="31"/>
    </row>
    <row r="158" spans="5:5" x14ac:dyDescent="0.2">
      <c r="E158" s="31"/>
    </row>
    <row r="159" spans="5:5" x14ac:dyDescent="0.2">
      <c r="E159" s="31"/>
    </row>
    <row r="160" spans="5:5" x14ac:dyDescent="0.2">
      <c r="E160" s="31"/>
    </row>
    <row r="161" spans="5:5" x14ac:dyDescent="0.2">
      <c r="E161" s="31"/>
    </row>
    <row r="162" spans="5:5" x14ac:dyDescent="0.2">
      <c r="E162" s="31"/>
    </row>
    <row r="163" spans="5:5" x14ac:dyDescent="0.2">
      <c r="E163" s="31"/>
    </row>
    <row r="164" spans="5:5" x14ac:dyDescent="0.2">
      <c r="E164" s="31"/>
    </row>
    <row r="165" spans="5:5" x14ac:dyDescent="0.2">
      <c r="E165" s="31"/>
    </row>
    <row r="166" spans="5:5" x14ac:dyDescent="0.2">
      <c r="E166" s="31"/>
    </row>
    <row r="167" spans="5:5" x14ac:dyDescent="0.2">
      <c r="E167" s="31"/>
    </row>
    <row r="168" spans="5:5" x14ac:dyDescent="0.2">
      <c r="E168" s="31"/>
    </row>
    <row r="169" spans="5:5" x14ac:dyDescent="0.2">
      <c r="E169" s="31"/>
    </row>
    <row r="170" spans="5:5" x14ac:dyDescent="0.2">
      <c r="E170" s="31"/>
    </row>
    <row r="171" spans="5:5" x14ac:dyDescent="0.2">
      <c r="E171" s="31"/>
    </row>
    <row r="172" spans="5:5" x14ac:dyDescent="0.2">
      <c r="E172" s="31"/>
    </row>
    <row r="173" spans="5:5" x14ac:dyDescent="0.2">
      <c r="E173" s="31"/>
    </row>
    <row r="174" spans="5:5" x14ac:dyDescent="0.2">
      <c r="E174" s="31"/>
    </row>
    <row r="175" spans="5:5" x14ac:dyDescent="0.2">
      <c r="E175" s="31"/>
    </row>
    <row r="176" spans="5:5" x14ac:dyDescent="0.2">
      <c r="E176" s="31"/>
    </row>
    <row r="177" spans="5:5" x14ac:dyDescent="0.2">
      <c r="E177" s="31"/>
    </row>
    <row r="178" spans="5:5" x14ac:dyDescent="0.2">
      <c r="E178" s="31"/>
    </row>
    <row r="179" spans="5:5" x14ac:dyDescent="0.2">
      <c r="E179" s="31"/>
    </row>
    <row r="180" spans="5:5" x14ac:dyDescent="0.2">
      <c r="E180" s="31"/>
    </row>
    <row r="181" spans="5:5" x14ac:dyDescent="0.2">
      <c r="E181" s="31"/>
    </row>
    <row r="182" spans="5:5" x14ac:dyDescent="0.2">
      <c r="E182" s="31"/>
    </row>
    <row r="183" spans="5:5" x14ac:dyDescent="0.2">
      <c r="E183" s="31"/>
    </row>
    <row r="184" spans="5:5" x14ac:dyDescent="0.2">
      <c r="E184" s="31"/>
    </row>
    <row r="185" spans="5:5" x14ac:dyDescent="0.2">
      <c r="E185" s="31"/>
    </row>
    <row r="186" spans="5:5" x14ac:dyDescent="0.2">
      <c r="E186" s="31"/>
    </row>
    <row r="187" spans="5:5" x14ac:dyDescent="0.2">
      <c r="E187" s="31"/>
    </row>
    <row r="188" spans="5:5" x14ac:dyDescent="0.2">
      <c r="E188" s="31"/>
    </row>
    <row r="189" spans="5:5" x14ac:dyDescent="0.2">
      <c r="E189" s="31"/>
    </row>
    <row r="190" spans="5:5" x14ac:dyDescent="0.2">
      <c r="E190" s="31"/>
    </row>
    <row r="191" spans="5:5" x14ac:dyDescent="0.2">
      <c r="E191" s="31"/>
    </row>
    <row r="192" spans="5:5" x14ac:dyDescent="0.2">
      <c r="E192" s="31"/>
    </row>
    <row r="193" spans="5:5" x14ac:dyDescent="0.2">
      <c r="E193" s="31"/>
    </row>
    <row r="194" spans="5:5" x14ac:dyDescent="0.2">
      <c r="E194" s="31"/>
    </row>
    <row r="195" spans="5:5" x14ac:dyDescent="0.2">
      <c r="E195" s="31"/>
    </row>
    <row r="196" spans="5:5" x14ac:dyDescent="0.2">
      <c r="E196" s="31"/>
    </row>
    <row r="197" spans="5:5" x14ac:dyDescent="0.2">
      <c r="E197" s="31"/>
    </row>
    <row r="198" spans="5:5" x14ac:dyDescent="0.2">
      <c r="E198" s="31"/>
    </row>
    <row r="199" spans="5:5" x14ac:dyDescent="0.2">
      <c r="E199" s="31"/>
    </row>
    <row r="200" spans="5:5" x14ac:dyDescent="0.2">
      <c r="E200" s="31"/>
    </row>
    <row r="201" spans="5:5" x14ac:dyDescent="0.2">
      <c r="E201" s="31"/>
    </row>
    <row r="202" spans="5:5" x14ac:dyDescent="0.2">
      <c r="E202" s="31"/>
    </row>
    <row r="203" spans="5:5" x14ac:dyDescent="0.2">
      <c r="E203" s="31"/>
    </row>
    <row r="204" spans="5:5" x14ac:dyDescent="0.2">
      <c r="E204" s="31"/>
    </row>
    <row r="205" spans="5:5" x14ac:dyDescent="0.2">
      <c r="E205" s="31"/>
    </row>
    <row r="206" spans="5:5" x14ac:dyDescent="0.2">
      <c r="E206" s="31"/>
    </row>
    <row r="207" spans="5:5" x14ac:dyDescent="0.2">
      <c r="E207" s="31"/>
    </row>
    <row r="208" spans="5:5" x14ac:dyDescent="0.2">
      <c r="E208" s="31"/>
    </row>
    <row r="209" spans="5:5" x14ac:dyDescent="0.2">
      <c r="E209" s="31"/>
    </row>
    <row r="210" spans="5:5" x14ac:dyDescent="0.2">
      <c r="E210" s="31"/>
    </row>
    <row r="211" spans="5:5" x14ac:dyDescent="0.2">
      <c r="E211" s="31"/>
    </row>
    <row r="212" spans="5:5" x14ac:dyDescent="0.2">
      <c r="E212" s="31"/>
    </row>
    <row r="213" spans="5:5" x14ac:dyDescent="0.2">
      <c r="E213" s="31"/>
    </row>
    <row r="214" spans="5:5" x14ac:dyDescent="0.2">
      <c r="E214" s="31"/>
    </row>
    <row r="215" spans="5:5" x14ac:dyDescent="0.2">
      <c r="E215" s="31"/>
    </row>
    <row r="216" spans="5:5" x14ac:dyDescent="0.2">
      <c r="E216" s="31"/>
    </row>
    <row r="217" spans="5:5" x14ac:dyDescent="0.2">
      <c r="E217" s="31"/>
    </row>
    <row r="218" spans="5:5" x14ac:dyDescent="0.2">
      <c r="E218" s="31"/>
    </row>
    <row r="219" spans="5:5" x14ac:dyDescent="0.2">
      <c r="E219" s="31"/>
    </row>
    <row r="220" spans="5:5" x14ac:dyDescent="0.2">
      <c r="E220" s="31"/>
    </row>
    <row r="221" spans="5:5" x14ac:dyDescent="0.2">
      <c r="E221" s="31"/>
    </row>
    <row r="222" spans="5:5" x14ac:dyDescent="0.2">
      <c r="E222" s="31"/>
    </row>
    <row r="223" spans="5:5" x14ac:dyDescent="0.2">
      <c r="E223" s="31"/>
    </row>
    <row r="224" spans="5:5" x14ac:dyDescent="0.2">
      <c r="E224" s="31"/>
    </row>
    <row r="225" spans="5:5" x14ac:dyDescent="0.2">
      <c r="E225" s="31"/>
    </row>
    <row r="226" spans="5:5" x14ac:dyDescent="0.2">
      <c r="E226" s="31"/>
    </row>
    <row r="227" spans="5:5" x14ac:dyDescent="0.2">
      <c r="E227" s="31"/>
    </row>
    <row r="228" spans="5:5" x14ac:dyDescent="0.2">
      <c r="E228" s="31"/>
    </row>
    <row r="229" spans="5:5" x14ac:dyDescent="0.2">
      <c r="E229" s="31"/>
    </row>
    <row r="230" spans="5:5" x14ac:dyDescent="0.2">
      <c r="E230" s="31"/>
    </row>
    <row r="231" spans="5:5" x14ac:dyDescent="0.2">
      <c r="E231" s="31"/>
    </row>
    <row r="232" spans="5:5" x14ac:dyDescent="0.2">
      <c r="E232" s="31"/>
    </row>
    <row r="233" spans="5:5" x14ac:dyDescent="0.2">
      <c r="E233" s="31"/>
    </row>
    <row r="234" spans="5:5" x14ac:dyDescent="0.2">
      <c r="E234" s="31"/>
    </row>
    <row r="235" spans="5:5" x14ac:dyDescent="0.2">
      <c r="E235" s="31"/>
    </row>
    <row r="236" spans="5:5" x14ac:dyDescent="0.2">
      <c r="E236" s="3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D063-7C52-A648-84A2-13C01753AB2C}">
  <dimension ref="A1:AF37"/>
  <sheetViews>
    <sheetView workbookViewId="0">
      <selection activeCell="F46" sqref="F46"/>
    </sheetView>
  </sheetViews>
  <sheetFormatPr baseColWidth="10" defaultRowHeight="15" x14ac:dyDescent="0.2"/>
  <cols>
    <col min="1" max="1" width="25.5" customWidth="1"/>
    <col min="2" max="2" width="16.83203125" customWidth="1"/>
  </cols>
  <sheetData>
    <row r="1" spans="1:32" x14ac:dyDescent="0.2">
      <c r="C1" t="s">
        <v>294</v>
      </c>
      <c r="E1" t="s">
        <v>31</v>
      </c>
    </row>
    <row r="2" spans="1:32" x14ac:dyDescent="0.2">
      <c r="C2">
        <v>373.71418181818188</v>
      </c>
      <c r="E2">
        <v>45.27</v>
      </c>
    </row>
    <row r="4" spans="1:32" s="1" customFormat="1" x14ac:dyDescent="0.2">
      <c r="A4" s="1" t="s">
        <v>393</v>
      </c>
      <c r="B4" s="1" t="s">
        <v>70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 t="s">
        <v>283</v>
      </c>
      <c r="M4" s="1" t="s">
        <v>283</v>
      </c>
      <c r="N4" s="1" t="s">
        <v>283</v>
      </c>
      <c r="O4" s="1" t="s">
        <v>283</v>
      </c>
      <c r="P4" s="1" t="s">
        <v>283</v>
      </c>
      <c r="Q4" s="1" t="s">
        <v>283</v>
      </c>
      <c r="R4" s="1" t="s">
        <v>283</v>
      </c>
      <c r="S4" s="1" t="s">
        <v>283</v>
      </c>
      <c r="T4" s="1" t="s">
        <v>283</v>
      </c>
      <c r="U4" s="1" t="s">
        <v>283</v>
      </c>
      <c r="V4" s="1" t="s">
        <v>283</v>
      </c>
      <c r="W4" s="1" t="s">
        <v>283</v>
      </c>
      <c r="X4" s="1" t="s">
        <v>283</v>
      </c>
      <c r="Y4" s="1" t="s">
        <v>283</v>
      </c>
      <c r="Z4" s="1" t="s">
        <v>283</v>
      </c>
      <c r="AA4" s="1" t="s">
        <v>283</v>
      </c>
      <c r="AB4" s="1" t="s">
        <v>283</v>
      </c>
      <c r="AC4" s="1" t="s">
        <v>283</v>
      </c>
      <c r="AD4" s="1" t="s">
        <v>283</v>
      </c>
      <c r="AE4" s="1" t="s">
        <v>283</v>
      </c>
      <c r="AF4" s="1" t="s">
        <v>283</v>
      </c>
    </row>
    <row r="5" spans="1:32" x14ac:dyDescent="0.2">
      <c r="A5" t="s">
        <v>63</v>
      </c>
      <c r="B5">
        <v>212.22800000000001</v>
      </c>
      <c r="C5">
        <v>458.40199999999999</v>
      </c>
      <c r="D5">
        <v>495.84800000000001</v>
      </c>
      <c r="E5">
        <v>528.40200000000004</v>
      </c>
      <c r="F5">
        <v>490.26600000000002</v>
      </c>
      <c r="G5">
        <v>544.81600000000003</v>
      </c>
      <c r="H5">
        <v>557.54700000000003</v>
      </c>
      <c r="I5">
        <v>825.56200000000001</v>
      </c>
      <c r="J5">
        <v>914.23400000000004</v>
      </c>
      <c r="K5">
        <v>856.96500000000003</v>
      </c>
      <c r="L5">
        <v>740.69500000000005</v>
      </c>
      <c r="M5">
        <v>1067.9880000000001</v>
      </c>
      <c r="N5">
        <v>422.60500000000002</v>
      </c>
      <c r="O5">
        <v>762.80499999999995</v>
      </c>
      <c r="P5">
        <v>653.70299999999997</v>
      </c>
      <c r="Q5">
        <v>1211.902</v>
      </c>
      <c r="R5">
        <v>651.11699999999996</v>
      </c>
      <c r="S5">
        <v>643.67600000000004</v>
      </c>
      <c r="T5">
        <v>1244.941</v>
      </c>
      <c r="U5">
        <v>621.07000000000005</v>
      </c>
      <c r="V5">
        <v>660.97699999999998</v>
      </c>
      <c r="W5">
        <v>1399.441</v>
      </c>
      <c r="X5">
        <v>843.62900000000002</v>
      </c>
      <c r="Y5">
        <v>1161.18</v>
      </c>
      <c r="Z5">
        <v>1516.77</v>
      </c>
      <c r="AA5">
        <v>1371.8119999999999</v>
      </c>
      <c r="AB5">
        <v>1439.5</v>
      </c>
      <c r="AC5">
        <v>893.92600000000004</v>
      </c>
      <c r="AD5">
        <v>1411.894</v>
      </c>
      <c r="AE5">
        <v>1261.5309999999999</v>
      </c>
      <c r="AF5">
        <v>1349.1479999999999</v>
      </c>
    </row>
    <row r="6" spans="1:32" x14ac:dyDescent="0.2">
      <c r="A6" t="s">
        <v>62</v>
      </c>
      <c r="C6">
        <v>246.17399999999998</v>
      </c>
      <c r="D6">
        <v>283.62</v>
      </c>
      <c r="E6">
        <v>316.17400000000004</v>
      </c>
      <c r="F6">
        <v>278.03800000000001</v>
      </c>
      <c r="G6">
        <v>332.58800000000002</v>
      </c>
      <c r="H6">
        <v>345.31900000000002</v>
      </c>
      <c r="I6">
        <v>613.33400000000006</v>
      </c>
      <c r="J6">
        <v>702.00600000000009</v>
      </c>
      <c r="K6">
        <v>644.73700000000008</v>
      </c>
      <c r="L6">
        <v>528.4670000000001</v>
      </c>
      <c r="M6">
        <v>855.76</v>
      </c>
      <c r="N6">
        <v>210.37700000000001</v>
      </c>
      <c r="O6">
        <v>550.577</v>
      </c>
      <c r="P6">
        <v>441.47499999999997</v>
      </c>
      <c r="Q6">
        <v>999.67399999999998</v>
      </c>
      <c r="R6">
        <v>438.88899999999995</v>
      </c>
      <c r="S6">
        <v>431.44800000000004</v>
      </c>
      <c r="T6">
        <v>1032.713</v>
      </c>
      <c r="U6">
        <v>408.84200000000004</v>
      </c>
      <c r="V6">
        <v>448.74899999999997</v>
      </c>
      <c r="W6">
        <v>1187.213</v>
      </c>
      <c r="X6">
        <v>631.40100000000007</v>
      </c>
      <c r="Y6">
        <v>948.952</v>
      </c>
      <c r="Z6">
        <v>1304.5419999999999</v>
      </c>
      <c r="AA6">
        <v>1159.5839999999998</v>
      </c>
      <c r="AB6">
        <v>1227.2719999999999</v>
      </c>
      <c r="AC6">
        <v>681.69800000000009</v>
      </c>
      <c r="AD6">
        <v>1199.6659999999999</v>
      </c>
      <c r="AE6">
        <v>1049.3029999999999</v>
      </c>
      <c r="AF6">
        <v>1136.9199999999998</v>
      </c>
    </row>
    <row r="7" spans="1:32" x14ac:dyDescent="0.2">
      <c r="A7" t="s">
        <v>61</v>
      </c>
      <c r="C7">
        <v>10.805</v>
      </c>
      <c r="D7">
        <v>12.327999999999999</v>
      </c>
      <c r="E7">
        <v>2.899</v>
      </c>
      <c r="F7">
        <v>2.4449999999999998</v>
      </c>
      <c r="G7">
        <v>1.498</v>
      </c>
      <c r="H7">
        <v>5.8010000000000002</v>
      </c>
      <c r="I7">
        <v>2.6539999999999999</v>
      </c>
      <c r="J7">
        <v>2.927</v>
      </c>
      <c r="K7">
        <v>3.4380000000000002</v>
      </c>
      <c r="L7">
        <v>2.6019999999999999</v>
      </c>
      <c r="M7">
        <v>3.22</v>
      </c>
      <c r="N7">
        <v>3.4249999999999998</v>
      </c>
      <c r="O7">
        <v>3.0790000000000002</v>
      </c>
      <c r="P7">
        <v>3.3769999999999998</v>
      </c>
      <c r="Q7">
        <v>3.8290000000000002</v>
      </c>
      <c r="R7">
        <v>5.1689999999999996</v>
      </c>
      <c r="S7">
        <v>4.3129999999999997</v>
      </c>
      <c r="T7">
        <v>2.0819999999999999</v>
      </c>
      <c r="U7">
        <v>1.9870000000000001</v>
      </c>
      <c r="V7">
        <v>1.0740000000000001</v>
      </c>
      <c r="W7">
        <v>1.151</v>
      </c>
      <c r="X7">
        <v>1.786</v>
      </c>
      <c r="Y7">
        <v>2.1560000000000001</v>
      </c>
      <c r="Z7">
        <v>3.9039999999999999</v>
      </c>
      <c r="AA7">
        <v>4.2670000000000003</v>
      </c>
      <c r="AB7">
        <v>4.5679999999999996</v>
      </c>
      <c r="AC7">
        <v>4.9889999999999999</v>
      </c>
      <c r="AD7">
        <v>5.6909999999999998</v>
      </c>
      <c r="AE7">
        <v>5.74</v>
      </c>
      <c r="AF7">
        <v>6.306</v>
      </c>
    </row>
    <row r="8" spans="1:32" x14ac:dyDescent="0.2">
      <c r="A8" t="s">
        <v>60</v>
      </c>
      <c r="C8">
        <v>10.805</v>
      </c>
      <c r="D8">
        <v>12.327999999999999</v>
      </c>
      <c r="E8">
        <v>2.899</v>
      </c>
      <c r="F8">
        <v>2.4449999999999998</v>
      </c>
      <c r="G8">
        <v>1.498</v>
      </c>
      <c r="H8">
        <v>5.8010000000000002</v>
      </c>
      <c r="I8">
        <v>2.6539999999999999</v>
      </c>
      <c r="J8">
        <v>2.927</v>
      </c>
      <c r="K8">
        <v>3.4380000000000002</v>
      </c>
      <c r="L8">
        <v>2.6019999999999999</v>
      </c>
      <c r="M8">
        <v>3.22</v>
      </c>
      <c r="N8">
        <v>3.4249999999999998</v>
      </c>
      <c r="O8">
        <v>3.0790000000000002</v>
      </c>
      <c r="P8">
        <v>3.3769999999999998</v>
      </c>
      <c r="Q8">
        <v>3.8290000000000002</v>
      </c>
      <c r="R8">
        <v>5.1689999999999996</v>
      </c>
      <c r="S8">
        <v>4.3129999999999997</v>
      </c>
      <c r="T8">
        <v>2.0819999999999999</v>
      </c>
      <c r="U8">
        <v>1.9870000000000001</v>
      </c>
      <c r="V8">
        <v>1.0740000000000001</v>
      </c>
      <c r="W8">
        <v>1.151</v>
      </c>
      <c r="X8">
        <v>1.786</v>
      </c>
      <c r="Y8">
        <v>2.1560000000000001</v>
      </c>
      <c r="Z8">
        <v>3.9039999999999999</v>
      </c>
      <c r="AA8">
        <v>4.2670000000000003</v>
      </c>
      <c r="AB8">
        <v>4.5679999999999996</v>
      </c>
      <c r="AC8">
        <v>4.9889999999999999</v>
      </c>
      <c r="AD8">
        <v>5.6909999999999998</v>
      </c>
      <c r="AE8">
        <v>5.74</v>
      </c>
      <c r="AF8">
        <v>6.306</v>
      </c>
    </row>
    <row r="9" spans="1:32" x14ac:dyDescent="0.2">
      <c r="A9" t="s">
        <v>59</v>
      </c>
      <c r="L9">
        <v>1.4140940475657624</v>
      </c>
      <c r="M9">
        <v>2.2898783124487938</v>
      </c>
      <c r="N9">
        <v>0.56293555405492179</v>
      </c>
      <c r="O9">
        <v>1.473256908050294</v>
      </c>
      <c r="P9">
        <v>1.1813172244418191</v>
      </c>
      <c r="Q9">
        <v>2.6749693981010276</v>
      </c>
      <c r="R9">
        <v>1.1743974977474274</v>
      </c>
      <c r="S9">
        <v>1.154486559490286</v>
      </c>
      <c r="T9">
        <v>2.7633765327707898</v>
      </c>
      <c r="U9">
        <v>1.0939964815113932</v>
      </c>
      <c r="V9">
        <v>1.2007812971313028</v>
      </c>
      <c r="W9">
        <v>3.1767940788974358</v>
      </c>
      <c r="X9">
        <v>1.6895291394298413</v>
      </c>
      <c r="Y9">
        <v>2.5392453542522526</v>
      </c>
      <c r="Z9">
        <v>3.4907479123569387</v>
      </c>
      <c r="AA9">
        <v>3.102863247946412</v>
      </c>
      <c r="AB9">
        <v>3.2839856224591659</v>
      </c>
      <c r="AC9">
        <v>1.8241159505465527</v>
      </c>
      <c r="AD9">
        <v>3.21011633586776</v>
      </c>
      <c r="AE9">
        <v>2.8077687469471071</v>
      </c>
      <c r="AF9">
        <v>3.0422179711476138</v>
      </c>
    </row>
    <row r="11" spans="1:32" s="1" customFormat="1" x14ac:dyDescent="0.2">
      <c r="A11" s="1" t="s">
        <v>394</v>
      </c>
      <c r="C11" s="1">
        <v>1</v>
      </c>
      <c r="D11" s="1">
        <v>1</v>
      </c>
      <c r="E11" s="1">
        <v>1</v>
      </c>
      <c r="F11" s="1">
        <v>1</v>
      </c>
      <c r="G11" s="1" t="s">
        <v>283</v>
      </c>
      <c r="H11" s="1" t="s">
        <v>283</v>
      </c>
      <c r="I11" s="1" t="s">
        <v>283</v>
      </c>
      <c r="J11" s="1" t="s">
        <v>283</v>
      </c>
      <c r="K11" s="1" t="s">
        <v>283</v>
      </c>
      <c r="L11" s="1" t="s">
        <v>283</v>
      </c>
      <c r="M11" s="1" t="s">
        <v>283</v>
      </c>
      <c r="N11" s="1" t="s">
        <v>283</v>
      </c>
      <c r="O11" s="1" t="s">
        <v>283</v>
      </c>
      <c r="P11" s="1" t="s">
        <v>283</v>
      </c>
    </row>
    <row r="12" spans="1:32" x14ac:dyDescent="0.2">
      <c r="A12" t="s">
        <v>63</v>
      </c>
      <c r="C12">
        <v>458.54700000000003</v>
      </c>
      <c r="D12">
        <v>712.52300000000002</v>
      </c>
      <c r="E12">
        <v>516.07000000000005</v>
      </c>
      <c r="F12">
        <v>456.34800000000001</v>
      </c>
      <c r="G12">
        <v>662.27700000000004</v>
      </c>
      <c r="H12">
        <v>1602.75</v>
      </c>
      <c r="I12">
        <v>712.94100000000003</v>
      </c>
      <c r="J12">
        <v>1865.027</v>
      </c>
      <c r="K12">
        <v>1685.59</v>
      </c>
      <c r="L12">
        <v>1895.2619999999999</v>
      </c>
      <c r="M12">
        <v>729.91800000000001</v>
      </c>
      <c r="N12">
        <v>898.68</v>
      </c>
      <c r="O12">
        <v>782.03099999999995</v>
      </c>
      <c r="P12">
        <v>503.875</v>
      </c>
    </row>
    <row r="13" spans="1:32" x14ac:dyDescent="0.2">
      <c r="A13" t="s">
        <v>62</v>
      </c>
      <c r="C13">
        <v>246.31900000000002</v>
      </c>
      <c r="D13">
        <v>500.29500000000002</v>
      </c>
      <c r="E13">
        <v>303.84200000000004</v>
      </c>
      <c r="F13">
        <v>244.12</v>
      </c>
      <c r="G13">
        <v>450.04900000000004</v>
      </c>
      <c r="H13">
        <v>1390.5219999999999</v>
      </c>
      <c r="I13">
        <v>500.71300000000002</v>
      </c>
      <c r="J13">
        <v>1652.799</v>
      </c>
      <c r="K13">
        <v>1473.3619999999999</v>
      </c>
      <c r="L13">
        <v>1683.0339999999999</v>
      </c>
      <c r="M13">
        <v>517.69000000000005</v>
      </c>
      <c r="N13">
        <v>686.452</v>
      </c>
      <c r="O13">
        <v>569.80299999999988</v>
      </c>
      <c r="P13">
        <v>291.64699999999999</v>
      </c>
    </row>
    <row r="14" spans="1:32" x14ac:dyDescent="0.2">
      <c r="A14" t="s">
        <v>61</v>
      </c>
      <c r="C14">
        <v>1.4330000000000001</v>
      </c>
      <c r="D14">
        <v>2.31</v>
      </c>
      <c r="E14">
        <v>5.6909999999999998</v>
      </c>
      <c r="F14">
        <v>9.1690000000000005</v>
      </c>
      <c r="G14">
        <v>4.5609999999999999</v>
      </c>
      <c r="H14">
        <v>1.708</v>
      </c>
      <c r="I14">
        <v>3.2909999999999999</v>
      </c>
      <c r="J14">
        <v>4.1740000000000004</v>
      </c>
      <c r="K14">
        <v>4.0759999999999996</v>
      </c>
      <c r="L14">
        <v>4.6769999999999996</v>
      </c>
      <c r="M14">
        <v>5.54</v>
      </c>
      <c r="N14">
        <v>5.4589999999999996</v>
      </c>
      <c r="O14">
        <v>6.2279999999999998</v>
      </c>
      <c r="P14">
        <v>7.7480000000000002</v>
      </c>
    </row>
    <row r="15" spans="1:32" x14ac:dyDescent="0.2">
      <c r="A15" t="s">
        <v>60</v>
      </c>
      <c r="C15">
        <v>1.7474235319463911</v>
      </c>
      <c r="D15">
        <v>2.5171610993339302</v>
      </c>
      <c r="E15">
        <v>5.7781901145600951</v>
      </c>
      <c r="F15">
        <v>9.2233703709652701</v>
      </c>
      <c r="G15">
        <v>4.6693383899648992</v>
      </c>
      <c r="H15">
        <v>1.97920792237703</v>
      </c>
      <c r="I15">
        <v>3.4395757005770347</v>
      </c>
      <c r="J15">
        <v>4.2921178921367016</v>
      </c>
      <c r="K15">
        <v>4.1968769341023089</v>
      </c>
      <c r="L15">
        <v>4.7827114694491026</v>
      </c>
      <c r="M15">
        <v>5.6295292876047816</v>
      </c>
      <c r="N15">
        <v>5.5498361237067169</v>
      </c>
      <c r="O15">
        <v>6.3077717143219436</v>
      </c>
      <c r="P15">
        <v>7.812266252503175</v>
      </c>
    </row>
    <row r="16" spans="1:32" x14ac:dyDescent="0.2">
      <c r="A16" t="s">
        <v>59</v>
      </c>
      <c r="G16">
        <v>1.2042598913705562</v>
      </c>
      <c r="H16">
        <v>3.7208167836577095</v>
      </c>
      <c r="I16">
        <v>1.3398287363994261</v>
      </c>
      <c r="J16">
        <v>4.4226285231105145</v>
      </c>
      <c r="K16">
        <v>3.9424835119498214</v>
      </c>
      <c r="L16">
        <v>4.5035325975903788</v>
      </c>
      <c r="M16">
        <v>1.3852565013223521</v>
      </c>
      <c r="N16">
        <v>1.8368369020953297</v>
      </c>
      <c r="O16">
        <v>1.5247026410071278</v>
      </c>
      <c r="P16">
        <v>0.78040121084270508</v>
      </c>
    </row>
    <row r="18" spans="1:27" s="1" customFormat="1" x14ac:dyDescent="0.2">
      <c r="A18" s="1" t="s">
        <v>395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 t="s">
        <v>283</v>
      </c>
      <c r="I18" s="1" t="s">
        <v>283</v>
      </c>
      <c r="J18" s="1" t="s">
        <v>283</v>
      </c>
      <c r="K18" s="1" t="s">
        <v>283</v>
      </c>
      <c r="L18" s="1" t="s">
        <v>283</v>
      </c>
      <c r="M18" s="1" t="s">
        <v>283</v>
      </c>
      <c r="N18" s="1" t="s">
        <v>283</v>
      </c>
      <c r="O18" s="1" t="s">
        <v>283</v>
      </c>
      <c r="P18" s="1" t="s">
        <v>283</v>
      </c>
      <c r="Q18" s="1" t="s">
        <v>283</v>
      </c>
      <c r="R18" s="1" t="s">
        <v>283</v>
      </c>
      <c r="S18" s="1" t="s">
        <v>283</v>
      </c>
      <c r="T18" s="1" t="s">
        <v>283</v>
      </c>
      <c r="U18" s="1" t="s">
        <v>283</v>
      </c>
      <c r="V18" s="1" t="s">
        <v>283</v>
      </c>
      <c r="W18" s="1" t="s">
        <v>283</v>
      </c>
      <c r="X18" s="1" t="s">
        <v>283</v>
      </c>
      <c r="Y18" s="1" t="s">
        <v>283</v>
      </c>
      <c r="Z18" s="1" t="s">
        <v>283</v>
      </c>
      <c r="AA18" s="1" t="s">
        <v>283</v>
      </c>
    </row>
    <row r="19" spans="1:27" x14ac:dyDescent="0.2">
      <c r="A19" t="s">
        <v>63</v>
      </c>
      <c r="C19">
        <v>696.15200000000004</v>
      </c>
      <c r="D19">
        <v>526.12900000000002</v>
      </c>
      <c r="E19">
        <v>789.32</v>
      </c>
      <c r="F19">
        <v>577.85900000000004</v>
      </c>
      <c r="G19">
        <v>488.43</v>
      </c>
      <c r="H19">
        <v>1333.6289999999999</v>
      </c>
      <c r="I19">
        <v>810.96900000000005</v>
      </c>
      <c r="J19">
        <v>1025.434</v>
      </c>
      <c r="K19">
        <v>977.60199999999998</v>
      </c>
      <c r="L19">
        <v>823.91800000000001</v>
      </c>
      <c r="M19">
        <v>496.89800000000002</v>
      </c>
      <c r="N19">
        <v>408.31200000000001</v>
      </c>
      <c r="O19">
        <v>774.83199999999999</v>
      </c>
      <c r="P19">
        <v>364.64499999999998</v>
      </c>
      <c r="Q19">
        <v>511.41399999999999</v>
      </c>
      <c r="R19">
        <v>497.09300000000002</v>
      </c>
      <c r="S19">
        <v>602.84400000000005</v>
      </c>
      <c r="T19">
        <v>1587.2619999999999</v>
      </c>
      <c r="U19">
        <v>617.18799999999999</v>
      </c>
      <c r="V19">
        <v>1123.547</v>
      </c>
      <c r="W19">
        <v>1859.18</v>
      </c>
      <c r="X19">
        <v>519.46600000000001</v>
      </c>
      <c r="Y19">
        <v>584.91800000000001</v>
      </c>
      <c r="Z19">
        <v>695.03800000000001</v>
      </c>
      <c r="AA19">
        <v>533.86500000000001</v>
      </c>
    </row>
    <row r="20" spans="1:27" x14ac:dyDescent="0.2">
      <c r="A20" t="s">
        <v>62</v>
      </c>
      <c r="C20">
        <v>483.92400000000004</v>
      </c>
      <c r="D20">
        <v>313.90100000000001</v>
      </c>
      <c r="E20">
        <v>577.0920000000001</v>
      </c>
      <c r="F20">
        <v>365.63100000000003</v>
      </c>
      <c r="G20">
        <v>276.202</v>
      </c>
      <c r="H20">
        <v>1121.4009999999998</v>
      </c>
      <c r="I20">
        <v>598.74099999999999</v>
      </c>
      <c r="J20">
        <v>813.2059999999999</v>
      </c>
      <c r="K20">
        <v>765.37400000000002</v>
      </c>
      <c r="L20">
        <v>611.69000000000005</v>
      </c>
      <c r="M20">
        <v>284.67</v>
      </c>
      <c r="N20">
        <v>196.084</v>
      </c>
      <c r="O20">
        <v>562.60400000000004</v>
      </c>
      <c r="P20">
        <v>152.41699999999997</v>
      </c>
      <c r="Q20">
        <v>299.18599999999998</v>
      </c>
      <c r="R20">
        <v>284.86500000000001</v>
      </c>
      <c r="S20">
        <v>390.61600000000004</v>
      </c>
      <c r="T20">
        <v>1375.0339999999999</v>
      </c>
      <c r="U20">
        <v>404.96</v>
      </c>
      <c r="V20">
        <v>911.31899999999996</v>
      </c>
      <c r="W20">
        <v>1646.952</v>
      </c>
      <c r="X20">
        <v>307.238</v>
      </c>
      <c r="Y20">
        <v>372.69</v>
      </c>
      <c r="Z20">
        <v>482.81</v>
      </c>
      <c r="AA20">
        <v>321.637</v>
      </c>
    </row>
    <row r="21" spans="1:27" x14ac:dyDescent="0.2">
      <c r="A21" t="s">
        <v>61</v>
      </c>
      <c r="C21">
        <v>12.237</v>
      </c>
      <c r="D21">
        <v>2.6789999999999998</v>
      </c>
      <c r="E21">
        <v>5.9450000000000003</v>
      </c>
      <c r="F21">
        <v>5.2910000000000004</v>
      </c>
      <c r="G21">
        <v>5.2140000000000004</v>
      </c>
      <c r="H21">
        <v>3.786</v>
      </c>
      <c r="I21">
        <v>3.004</v>
      </c>
      <c r="J21">
        <v>3.7040000000000002</v>
      </c>
      <c r="K21">
        <v>3.0790000000000002</v>
      </c>
      <c r="L21">
        <v>2.99</v>
      </c>
      <c r="M21">
        <v>3.5529999999999999</v>
      </c>
      <c r="N21">
        <v>2.4359999999999999</v>
      </c>
      <c r="O21">
        <v>3.738</v>
      </c>
      <c r="P21">
        <v>2.944</v>
      </c>
      <c r="Q21">
        <v>2.7170000000000001</v>
      </c>
      <c r="R21">
        <v>2.3420000000000001</v>
      </c>
      <c r="S21">
        <v>1.4550000000000001</v>
      </c>
      <c r="T21">
        <v>1.2989999999999999</v>
      </c>
      <c r="U21">
        <v>0.78200000000000003</v>
      </c>
      <c r="V21">
        <v>1.849</v>
      </c>
      <c r="W21">
        <v>2.2650000000000001</v>
      </c>
      <c r="X21">
        <v>3.6629999999999998</v>
      </c>
      <c r="Y21">
        <v>4.4809999999999999</v>
      </c>
      <c r="Z21">
        <v>5.4850000000000003</v>
      </c>
      <c r="AA21">
        <v>6.3209999999999997</v>
      </c>
    </row>
    <row r="22" spans="1:27" x14ac:dyDescent="0.2">
      <c r="A22" t="s">
        <v>60</v>
      </c>
      <c r="C22">
        <v>12.277791698835747</v>
      </c>
      <c r="D22">
        <v>2.8595525873814593</v>
      </c>
      <c r="E22">
        <v>6.028517645325425</v>
      </c>
      <c r="F22">
        <v>5.3846709277355105</v>
      </c>
      <c r="G22">
        <v>5.3090296665209928</v>
      </c>
      <c r="H22">
        <v>3.9158391182478374</v>
      </c>
      <c r="I22">
        <v>3.1660726460395692</v>
      </c>
      <c r="J22">
        <v>3.8366151748644275</v>
      </c>
      <c r="K22">
        <v>3.2373200336080461</v>
      </c>
      <c r="L22">
        <v>3.1527924130839953</v>
      </c>
      <c r="M22">
        <v>3.6910444321357065</v>
      </c>
      <c r="N22">
        <v>2.6332671721646475</v>
      </c>
      <c r="O22">
        <v>3.8694500901290874</v>
      </c>
      <c r="P22">
        <v>3.1092018268359483</v>
      </c>
      <c r="Q22">
        <v>2.8951837592802292</v>
      </c>
      <c r="R22">
        <v>2.5465592472982048</v>
      </c>
      <c r="S22">
        <v>1.7655098413772721</v>
      </c>
      <c r="T22">
        <v>1.6393294360804969</v>
      </c>
      <c r="U22">
        <v>1.2694581521263315</v>
      </c>
      <c r="V22">
        <v>2.1020944317513428</v>
      </c>
      <c r="W22">
        <v>2.475929118533081</v>
      </c>
      <c r="X22">
        <v>3.7970474055507917</v>
      </c>
      <c r="Y22">
        <v>4.5912265245792439</v>
      </c>
      <c r="Z22">
        <v>5.5754125407901434</v>
      </c>
      <c r="AA22">
        <v>6.3996125663980621</v>
      </c>
    </row>
    <row r="23" spans="1:27" x14ac:dyDescent="0.2">
      <c r="A23" t="s">
        <v>59</v>
      </c>
      <c r="H23">
        <v>3.0006915834560965</v>
      </c>
      <c r="I23">
        <v>1.6021361487729073</v>
      </c>
      <c r="J23">
        <v>2.1760105437894195</v>
      </c>
      <c r="K23">
        <v>2.0480196825186772</v>
      </c>
      <c r="L23">
        <v>1.6367856232375932</v>
      </c>
      <c r="M23">
        <v>0.76173186314480479</v>
      </c>
      <c r="N23">
        <v>0.52468974831519266</v>
      </c>
      <c r="O23">
        <v>1.5054392564468324</v>
      </c>
      <c r="P23">
        <v>0.40784376781867315</v>
      </c>
      <c r="Q23">
        <v>0.80057438158865191</v>
      </c>
      <c r="R23">
        <v>0.76225365228069275</v>
      </c>
      <c r="S23">
        <v>1.0452265902770614</v>
      </c>
      <c r="T23">
        <v>3.6793733470595895</v>
      </c>
      <c r="U23">
        <v>1.083608863944638</v>
      </c>
      <c r="V23">
        <v>2.4385454027093134</v>
      </c>
      <c r="W23">
        <v>4.4069828765590415</v>
      </c>
      <c r="X23">
        <v>0.8221202591382426</v>
      </c>
      <c r="Y23">
        <v>0.99725945155948037</v>
      </c>
      <c r="Z23">
        <v>1.2919231420414627</v>
      </c>
      <c r="AA23">
        <v>0.86064970410055697</v>
      </c>
    </row>
    <row r="25" spans="1:27" s="1" customFormat="1" x14ac:dyDescent="0.2">
      <c r="A25" s="1" t="s">
        <v>396</v>
      </c>
      <c r="C25" s="1">
        <v>1</v>
      </c>
      <c r="D25" s="1">
        <v>1</v>
      </c>
      <c r="E25" s="1">
        <v>1</v>
      </c>
      <c r="F25" s="1" t="s">
        <v>283</v>
      </c>
      <c r="G25" s="1" t="s">
        <v>283</v>
      </c>
      <c r="H25" s="1" t="s">
        <v>283</v>
      </c>
      <c r="I25" s="1" t="s">
        <v>283</v>
      </c>
    </row>
    <row r="26" spans="1:27" x14ac:dyDescent="0.2">
      <c r="A26" t="s">
        <v>63</v>
      </c>
      <c r="C26">
        <v>614.60900000000004</v>
      </c>
      <c r="D26">
        <v>454.71100000000001</v>
      </c>
      <c r="E26">
        <v>397.40199999999999</v>
      </c>
      <c r="F26">
        <v>601.71100000000001</v>
      </c>
      <c r="G26">
        <v>440.99200000000002</v>
      </c>
      <c r="H26">
        <v>1636.8440000000001</v>
      </c>
      <c r="I26">
        <v>667.59</v>
      </c>
    </row>
    <row r="27" spans="1:27" x14ac:dyDescent="0.2">
      <c r="A27" t="s">
        <v>62</v>
      </c>
      <c r="C27">
        <v>402.38100000000003</v>
      </c>
      <c r="D27">
        <v>242.483</v>
      </c>
      <c r="E27">
        <v>185.17399999999998</v>
      </c>
      <c r="F27">
        <v>389.483</v>
      </c>
      <c r="G27">
        <v>228.76400000000001</v>
      </c>
      <c r="H27">
        <v>1424.616</v>
      </c>
      <c r="I27">
        <v>455.36200000000002</v>
      </c>
    </row>
    <row r="28" spans="1:27" x14ac:dyDescent="0.2">
      <c r="A28" t="s">
        <v>61</v>
      </c>
      <c r="C28">
        <v>2.9620000000000002</v>
      </c>
      <c r="D28">
        <v>3.456</v>
      </c>
      <c r="E28">
        <v>4.8760000000000003</v>
      </c>
      <c r="F28">
        <v>3.7040000000000002</v>
      </c>
      <c r="G28">
        <v>3.5379999999999998</v>
      </c>
      <c r="H28">
        <v>0.71899999999999997</v>
      </c>
      <c r="I28">
        <v>1.976</v>
      </c>
    </row>
    <row r="29" spans="1:27" x14ac:dyDescent="0.2">
      <c r="A29" t="s">
        <v>60</v>
      </c>
      <c r="C29">
        <v>3.5739955232204754</v>
      </c>
      <c r="D29">
        <v>3.9929858502128455</v>
      </c>
      <c r="E29">
        <v>5.2702349093754828</v>
      </c>
      <c r="F29">
        <v>4.2094674247462711</v>
      </c>
      <c r="G29">
        <v>4.0641658430728436</v>
      </c>
      <c r="H29">
        <v>2.1253143296933752</v>
      </c>
      <c r="I29">
        <v>2.8115077805334279</v>
      </c>
    </row>
    <row r="30" spans="1:27" x14ac:dyDescent="0.2">
      <c r="A30" t="s">
        <v>59</v>
      </c>
      <c r="F30">
        <v>1.0421948616054659</v>
      </c>
      <c r="G30">
        <v>0.61213625580657649</v>
      </c>
      <c r="H30">
        <v>3.8120469313447121</v>
      </c>
      <c r="I30">
        <v>1.2184766384422123</v>
      </c>
    </row>
    <row r="32" spans="1:27" s="1" customFormat="1" x14ac:dyDescent="0.2">
      <c r="A32" s="1" t="s">
        <v>397</v>
      </c>
      <c r="C32" s="1">
        <v>1</v>
      </c>
      <c r="D32" s="1" t="s">
        <v>283</v>
      </c>
      <c r="E32" s="1" t="s">
        <v>283</v>
      </c>
    </row>
    <row r="33" spans="1:5" x14ac:dyDescent="0.2">
      <c r="A33" t="s">
        <v>63</v>
      </c>
      <c r="C33">
        <v>530.58600000000001</v>
      </c>
      <c r="D33">
        <v>435.14800000000002</v>
      </c>
      <c r="E33">
        <v>718.19899999999996</v>
      </c>
    </row>
    <row r="34" spans="1:5" x14ac:dyDescent="0.2">
      <c r="A34" t="s">
        <v>62</v>
      </c>
      <c r="C34">
        <v>318.358</v>
      </c>
      <c r="D34">
        <v>222.92000000000002</v>
      </c>
      <c r="E34">
        <v>505.97099999999995</v>
      </c>
    </row>
    <row r="35" spans="1:5" x14ac:dyDescent="0.2">
      <c r="A35" t="s">
        <v>61</v>
      </c>
      <c r="C35">
        <v>3.5590000000000002</v>
      </c>
      <c r="D35">
        <v>2.9340000000000002</v>
      </c>
      <c r="E35">
        <v>0.754</v>
      </c>
    </row>
    <row r="36" spans="1:5" x14ac:dyDescent="0.2">
      <c r="A36" t="s">
        <v>60</v>
      </c>
      <c r="C36">
        <v>4.6547267374143457</v>
      </c>
      <c r="D36">
        <v>4.196231166177574</v>
      </c>
      <c r="E36">
        <v>3.0933017958162443</v>
      </c>
    </row>
    <row r="37" spans="1:5" x14ac:dyDescent="0.2">
      <c r="A37" t="s">
        <v>59</v>
      </c>
      <c r="D37">
        <v>0.59649863678027149</v>
      </c>
      <c r="E37">
        <v>1.3538983121763444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0D80-E208-BD45-BE76-EAFB83084B43}">
  <dimension ref="A1:O30"/>
  <sheetViews>
    <sheetView workbookViewId="0">
      <selection activeCell="E39" sqref="E39"/>
    </sheetView>
  </sheetViews>
  <sheetFormatPr baseColWidth="10" defaultRowHeight="15" x14ac:dyDescent="0.2"/>
  <cols>
    <col min="1" max="1" width="26.1640625" customWidth="1"/>
    <col min="2" max="2" width="19.33203125" customWidth="1"/>
  </cols>
  <sheetData>
    <row r="1" spans="1:15" x14ac:dyDescent="0.2">
      <c r="C1" t="s">
        <v>294</v>
      </c>
    </row>
    <row r="2" spans="1:15" x14ac:dyDescent="0.2">
      <c r="C2">
        <v>71.841499999999996</v>
      </c>
    </row>
    <row r="4" spans="1:15" s="1" customFormat="1" x14ac:dyDescent="0.2">
      <c r="A4" s="1" t="s">
        <v>382</v>
      </c>
      <c r="B4" s="1" t="s">
        <v>70</v>
      </c>
      <c r="C4" s="1">
        <v>1</v>
      </c>
      <c r="D4" s="1" t="s">
        <v>283</v>
      </c>
      <c r="E4" s="1" t="s">
        <v>283</v>
      </c>
      <c r="F4" s="1" t="s">
        <v>283</v>
      </c>
      <c r="G4" s="1" t="s">
        <v>283</v>
      </c>
      <c r="H4" s="1" t="s">
        <v>283</v>
      </c>
      <c r="I4" s="1" t="s">
        <v>283</v>
      </c>
      <c r="J4" s="1" t="s">
        <v>283</v>
      </c>
      <c r="K4" s="1" t="s">
        <v>283</v>
      </c>
      <c r="L4" s="1" t="s">
        <v>283</v>
      </c>
      <c r="M4" s="1" t="s">
        <v>283</v>
      </c>
      <c r="N4" s="1" t="s">
        <v>283</v>
      </c>
      <c r="O4" s="1" t="s">
        <v>283</v>
      </c>
    </row>
    <row r="5" spans="1:15" x14ac:dyDescent="0.2">
      <c r="A5" t="s">
        <v>63</v>
      </c>
      <c r="B5">
        <v>206.16200000000001</v>
      </c>
      <c r="C5">
        <v>299.64800000000002</v>
      </c>
      <c r="D5">
        <v>304.75799999999998</v>
      </c>
      <c r="E5">
        <v>302.16399999999999</v>
      </c>
      <c r="F5">
        <v>433.13299999999998</v>
      </c>
      <c r="G5">
        <v>364.34399999999999</v>
      </c>
      <c r="H5">
        <v>379.25400000000002</v>
      </c>
      <c r="I5">
        <v>433.95299999999997</v>
      </c>
      <c r="J5">
        <v>574.07000000000005</v>
      </c>
      <c r="K5">
        <v>444.80500000000001</v>
      </c>
      <c r="L5">
        <v>454.89499999999998</v>
      </c>
      <c r="M5">
        <v>273.05099999999999</v>
      </c>
      <c r="N5">
        <v>331.31599999999997</v>
      </c>
      <c r="O5">
        <v>341.95100000000002</v>
      </c>
    </row>
    <row r="6" spans="1:15" x14ac:dyDescent="0.2">
      <c r="A6" t="s">
        <v>62</v>
      </c>
      <c r="C6">
        <v>93.486000000000018</v>
      </c>
      <c r="D6">
        <v>98.595999999999975</v>
      </c>
      <c r="E6">
        <v>96.001999999999981</v>
      </c>
      <c r="F6">
        <v>226.97099999999998</v>
      </c>
      <c r="G6">
        <v>158.18199999999999</v>
      </c>
      <c r="H6">
        <v>173.09200000000001</v>
      </c>
      <c r="I6">
        <v>227.79099999999997</v>
      </c>
      <c r="J6">
        <v>367.90800000000002</v>
      </c>
      <c r="K6">
        <v>238.643</v>
      </c>
      <c r="L6">
        <v>248.73299999999998</v>
      </c>
      <c r="M6">
        <v>66.888999999999982</v>
      </c>
      <c r="N6">
        <v>125.15399999999997</v>
      </c>
      <c r="O6">
        <v>135.78900000000002</v>
      </c>
    </row>
    <row r="7" spans="1:15" x14ac:dyDescent="0.2">
      <c r="A7" t="s">
        <v>61</v>
      </c>
      <c r="C7">
        <v>1.99</v>
      </c>
      <c r="D7">
        <v>1.093</v>
      </c>
      <c r="E7">
        <v>1.9410000000000001</v>
      </c>
      <c r="F7">
        <v>1.8540000000000001</v>
      </c>
      <c r="G7">
        <v>2.6619999999999999</v>
      </c>
      <c r="H7">
        <v>2.76</v>
      </c>
      <c r="I7">
        <v>2.2309999999999999</v>
      </c>
      <c r="J7">
        <v>2.4990000000000001</v>
      </c>
      <c r="K7">
        <v>1.82</v>
      </c>
      <c r="L7">
        <v>2.52</v>
      </c>
      <c r="M7">
        <v>2.899</v>
      </c>
      <c r="N7">
        <v>4.5629999999999997</v>
      </c>
      <c r="O7">
        <v>5.6609999999999996</v>
      </c>
    </row>
    <row r="8" spans="1:15" x14ac:dyDescent="0.2">
      <c r="A8" t="s">
        <v>60</v>
      </c>
      <c r="C8">
        <v>1.99</v>
      </c>
      <c r="D8">
        <v>1.093</v>
      </c>
      <c r="E8">
        <v>1.9410000000000001</v>
      </c>
      <c r="F8">
        <v>1.8540000000000001</v>
      </c>
      <c r="G8">
        <v>2.6619999999999999</v>
      </c>
      <c r="H8">
        <v>2.76</v>
      </c>
      <c r="I8">
        <v>2.2309999999999999</v>
      </c>
      <c r="J8">
        <v>2.4990000000000001</v>
      </c>
      <c r="K8">
        <v>1.82</v>
      </c>
      <c r="L8">
        <v>2.52</v>
      </c>
      <c r="M8">
        <v>2.899</v>
      </c>
      <c r="N8">
        <v>4.5629999999999997</v>
      </c>
      <c r="O8">
        <v>5.6609999999999996</v>
      </c>
    </row>
    <row r="9" spans="1:15" x14ac:dyDescent="0.2">
      <c r="A9" t="s">
        <v>59</v>
      </c>
      <c r="D9">
        <v>1.3724100972279252</v>
      </c>
      <c r="E9">
        <v>1.3363028333205735</v>
      </c>
      <c r="F9">
        <v>3.159329913768504</v>
      </c>
      <c r="G9">
        <v>2.2018192827265577</v>
      </c>
      <c r="H9">
        <v>2.4093594927722837</v>
      </c>
      <c r="I9">
        <v>3.1707439293444595</v>
      </c>
      <c r="J9">
        <v>5.1211068811202445</v>
      </c>
      <c r="K9">
        <v>3.3217986818203964</v>
      </c>
      <c r="L9">
        <v>3.4622467515294084</v>
      </c>
      <c r="M9">
        <v>0.93106352178058627</v>
      </c>
      <c r="N9">
        <v>1.7420850065769782</v>
      </c>
      <c r="O9">
        <v>1.8901192207846442</v>
      </c>
    </row>
    <row r="11" spans="1:15" s="1" customFormat="1" x14ac:dyDescent="0.2">
      <c r="A11" s="1" t="s">
        <v>383</v>
      </c>
      <c r="C11" s="1">
        <v>1</v>
      </c>
      <c r="D11" s="1" t="s">
        <v>283</v>
      </c>
      <c r="E11" s="1" t="s">
        <v>283</v>
      </c>
      <c r="F11" s="1" t="s">
        <v>283</v>
      </c>
      <c r="G11" s="1" t="s">
        <v>283</v>
      </c>
      <c r="H11" s="1" t="s">
        <v>283</v>
      </c>
      <c r="I11" s="1" t="s">
        <v>283</v>
      </c>
      <c r="J11" s="1" t="s">
        <v>283</v>
      </c>
      <c r="K11" s="1" t="s">
        <v>283</v>
      </c>
      <c r="L11" s="1" t="s">
        <v>283</v>
      </c>
      <c r="M11" s="1" t="s">
        <v>283</v>
      </c>
      <c r="N11" s="1" t="s">
        <v>283</v>
      </c>
      <c r="O11" s="1" t="s">
        <v>283</v>
      </c>
    </row>
    <row r="12" spans="1:15" x14ac:dyDescent="0.2">
      <c r="A12" t="s">
        <v>63</v>
      </c>
      <c r="C12">
        <v>256.35899999999998</v>
      </c>
      <c r="D12">
        <v>491.40600000000001</v>
      </c>
      <c r="E12">
        <v>410.70699999999999</v>
      </c>
      <c r="F12">
        <v>587.11699999999996</v>
      </c>
      <c r="G12">
        <v>703.80100000000004</v>
      </c>
      <c r="H12">
        <v>532.01199999999994</v>
      </c>
      <c r="I12">
        <v>453.64499999999998</v>
      </c>
      <c r="J12">
        <v>387.55900000000003</v>
      </c>
      <c r="K12">
        <v>453.96100000000001</v>
      </c>
      <c r="L12">
        <v>612.35900000000004</v>
      </c>
      <c r="M12">
        <v>423.637</v>
      </c>
      <c r="N12">
        <v>534.78899999999999</v>
      </c>
      <c r="O12">
        <v>400.93</v>
      </c>
    </row>
    <row r="13" spans="1:15" x14ac:dyDescent="0.2">
      <c r="A13" t="s">
        <v>62</v>
      </c>
      <c r="C13">
        <v>50.196999999999974</v>
      </c>
      <c r="D13">
        <v>285.24400000000003</v>
      </c>
      <c r="E13">
        <v>204.54499999999999</v>
      </c>
      <c r="F13">
        <v>380.95499999999993</v>
      </c>
      <c r="G13">
        <v>497.63900000000001</v>
      </c>
      <c r="H13">
        <v>325.84999999999991</v>
      </c>
      <c r="I13">
        <v>247.48299999999998</v>
      </c>
      <c r="J13">
        <v>181.39700000000002</v>
      </c>
      <c r="K13">
        <v>247.79900000000001</v>
      </c>
      <c r="L13">
        <v>406.197</v>
      </c>
      <c r="M13">
        <v>217.47499999999999</v>
      </c>
      <c r="N13">
        <v>328.62699999999995</v>
      </c>
      <c r="O13">
        <v>194.768</v>
      </c>
    </row>
    <row r="14" spans="1:15" x14ac:dyDescent="0.2">
      <c r="A14" t="s">
        <v>61</v>
      </c>
      <c r="C14">
        <v>0.58899999999999997</v>
      </c>
      <c r="D14">
        <v>0.97599999999999998</v>
      </c>
      <c r="E14">
        <v>1.6739999999999999</v>
      </c>
      <c r="F14">
        <v>1.633</v>
      </c>
      <c r="G14">
        <v>2.6789999999999998</v>
      </c>
      <c r="H14">
        <v>2.5299999999999998</v>
      </c>
      <c r="I14">
        <v>3.1819999999999999</v>
      </c>
      <c r="J14">
        <v>1.9650000000000001</v>
      </c>
      <c r="K14">
        <v>1.732</v>
      </c>
      <c r="L14">
        <v>2.4540000000000002</v>
      </c>
      <c r="M14">
        <v>2.2650000000000001</v>
      </c>
      <c r="N14">
        <v>2.839</v>
      </c>
      <c r="O14">
        <v>2.91</v>
      </c>
    </row>
    <row r="15" spans="1:15" x14ac:dyDescent="0.2">
      <c r="A15" t="s">
        <v>60</v>
      </c>
      <c r="C15">
        <v>1.1605692568735397</v>
      </c>
      <c r="D15">
        <v>1.3973460559217248</v>
      </c>
      <c r="E15">
        <v>1.949942563256672</v>
      </c>
      <c r="F15">
        <v>1.9148600471052708</v>
      </c>
      <c r="G15">
        <v>2.8595525873814593</v>
      </c>
      <c r="H15">
        <v>2.7204595200076032</v>
      </c>
      <c r="I15">
        <v>3.3354346043656737</v>
      </c>
      <c r="J15">
        <v>2.2048185866415406</v>
      </c>
      <c r="K15">
        <v>1.9999559995159892</v>
      </c>
      <c r="L15">
        <v>2.6499275461793292</v>
      </c>
      <c r="M15">
        <v>2.475929118533081</v>
      </c>
      <c r="N15">
        <v>3.0099702656338647</v>
      </c>
      <c r="O15">
        <v>3.0770277866798672</v>
      </c>
    </row>
    <row r="16" spans="1:15" x14ac:dyDescent="0.2">
      <c r="A16" t="s">
        <v>59</v>
      </c>
      <c r="D16">
        <v>3.9704627548144185</v>
      </c>
      <c r="E16">
        <v>2.8471705072973141</v>
      </c>
      <c r="F16">
        <v>5.302715004558646</v>
      </c>
      <c r="G16">
        <v>6.9269015819547199</v>
      </c>
      <c r="H16">
        <v>4.5356792383232518</v>
      </c>
      <c r="I16">
        <v>3.4448473375416713</v>
      </c>
      <c r="J16">
        <v>2.5249611993068077</v>
      </c>
      <c r="K16">
        <v>3.4492459093977716</v>
      </c>
      <c r="L16">
        <v>5.6540718108614101</v>
      </c>
      <c r="M16">
        <v>3.0271500455864646</v>
      </c>
      <c r="N16">
        <v>4.5743337764384089</v>
      </c>
      <c r="O16">
        <v>2.7110792508508315</v>
      </c>
    </row>
    <row r="18" spans="1:9" s="1" customFormat="1" x14ac:dyDescent="0.2">
      <c r="A18" s="1" t="s">
        <v>384</v>
      </c>
      <c r="C18" s="1" t="s">
        <v>283</v>
      </c>
      <c r="D18" s="1" t="s">
        <v>283</v>
      </c>
      <c r="E18" s="1" t="s">
        <v>283</v>
      </c>
      <c r="F18" s="1" t="s">
        <v>283</v>
      </c>
      <c r="G18" s="1" t="s">
        <v>283</v>
      </c>
      <c r="H18" s="1" t="s">
        <v>283</v>
      </c>
      <c r="I18" s="1" t="s">
        <v>283</v>
      </c>
    </row>
    <row r="19" spans="1:9" x14ac:dyDescent="0.2">
      <c r="A19" t="s">
        <v>63</v>
      </c>
      <c r="C19">
        <v>344.14800000000002</v>
      </c>
      <c r="D19">
        <v>338.28899999999999</v>
      </c>
      <c r="E19">
        <v>386.89800000000002</v>
      </c>
      <c r="F19">
        <v>376.69099999999997</v>
      </c>
      <c r="G19">
        <v>425.98399999999998</v>
      </c>
      <c r="H19">
        <v>430.28899999999999</v>
      </c>
      <c r="I19">
        <v>350.85500000000002</v>
      </c>
    </row>
    <row r="20" spans="1:9" x14ac:dyDescent="0.2">
      <c r="A20" t="s">
        <v>62</v>
      </c>
      <c r="C20">
        <v>137.98600000000002</v>
      </c>
      <c r="D20">
        <v>132.12699999999998</v>
      </c>
      <c r="E20">
        <v>180.73600000000002</v>
      </c>
      <c r="F20">
        <v>170.52899999999997</v>
      </c>
      <c r="G20">
        <v>219.82199999999997</v>
      </c>
      <c r="H20">
        <v>224.12699999999998</v>
      </c>
      <c r="I20">
        <v>144.69300000000001</v>
      </c>
    </row>
    <row r="21" spans="1:9" x14ac:dyDescent="0.2">
      <c r="A21" t="s">
        <v>61</v>
      </c>
      <c r="C21">
        <v>2.2999999999999998</v>
      </c>
      <c r="D21">
        <v>2.5649999999999999</v>
      </c>
      <c r="E21">
        <v>0.75900000000000001</v>
      </c>
      <c r="F21">
        <v>1.8640000000000001</v>
      </c>
      <c r="G21">
        <v>2.7229999999999999</v>
      </c>
      <c r="H21">
        <v>2.6240000000000001</v>
      </c>
      <c r="I21">
        <v>3.3050000000000002</v>
      </c>
    </row>
    <row r="22" spans="1:9" x14ac:dyDescent="0.2">
      <c r="A22" t="s">
        <v>60</v>
      </c>
      <c r="C22">
        <v>3.047950130825634</v>
      </c>
      <c r="D22">
        <v>3.2525720591556464</v>
      </c>
      <c r="E22">
        <v>2.1391776457321163</v>
      </c>
      <c r="F22">
        <v>2.7339524502083061</v>
      </c>
      <c r="G22">
        <v>3.3785690758070936</v>
      </c>
      <c r="H22">
        <v>3.2992993195525622</v>
      </c>
      <c r="I22">
        <v>3.8630331347271669</v>
      </c>
    </row>
    <row r="23" spans="1:9" x14ac:dyDescent="0.2">
      <c r="A23" t="s">
        <v>59</v>
      </c>
      <c r="C23">
        <v>1.9207004308094906</v>
      </c>
      <c r="D23">
        <v>1.8391458975661699</v>
      </c>
      <c r="E23">
        <v>2.5157603891900924</v>
      </c>
      <c r="F23">
        <v>2.3736837343318276</v>
      </c>
      <c r="G23">
        <v>3.0598191852898391</v>
      </c>
      <c r="H23">
        <v>3.1197427670636051</v>
      </c>
      <c r="I23">
        <v>2.0140587265020917</v>
      </c>
    </row>
    <row r="25" spans="1:9" s="1" customFormat="1" x14ac:dyDescent="0.2">
      <c r="A25" s="1" t="s">
        <v>385</v>
      </c>
      <c r="C25" s="1" t="s">
        <v>283</v>
      </c>
      <c r="D25" s="1" t="s">
        <v>283</v>
      </c>
      <c r="E25" s="1" t="s">
        <v>283</v>
      </c>
      <c r="F25" s="1" t="s">
        <v>283</v>
      </c>
      <c r="G25" s="1" t="s">
        <v>283</v>
      </c>
    </row>
    <row r="26" spans="1:9" x14ac:dyDescent="0.2">
      <c r="A26" t="s">
        <v>63</v>
      </c>
      <c r="C26">
        <v>260.97300000000001</v>
      </c>
      <c r="D26">
        <v>310.33199999999999</v>
      </c>
      <c r="E26">
        <v>261.77699999999999</v>
      </c>
      <c r="F26">
        <v>268.27699999999999</v>
      </c>
      <c r="G26">
        <v>251.41</v>
      </c>
    </row>
    <row r="27" spans="1:9" x14ac:dyDescent="0.2">
      <c r="A27" t="s">
        <v>62</v>
      </c>
      <c r="C27">
        <v>54.811000000000007</v>
      </c>
      <c r="D27">
        <v>104.16999999999999</v>
      </c>
      <c r="E27">
        <v>55.614999999999981</v>
      </c>
      <c r="F27">
        <v>62.114999999999981</v>
      </c>
      <c r="G27">
        <v>45.24799999999999</v>
      </c>
    </row>
    <row r="28" spans="1:9" x14ac:dyDescent="0.2">
      <c r="A28" t="s">
        <v>61</v>
      </c>
      <c r="C28">
        <v>2.12</v>
      </c>
      <c r="D28">
        <v>2.4660000000000002</v>
      </c>
      <c r="E28">
        <v>1.6870000000000001</v>
      </c>
      <c r="F28">
        <v>4.7569999999999997</v>
      </c>
      <c r="G28">
        <v>5.431</v>
      </c>
    </row>
    <row r="29" spans="1:9" x14ac:dyDescent="0.2">
      <c r="A29" t="s">
        <v>60</v>
      </c>
      <c r="C29">
        <v>2.3440136518373782</v>
      </c>
      <c r="D29">
        <v>2.6610441559658495</v>
      </c>
      <c r="E29">
        <v>1.9611142241083257</v>
      </c>
      <c r="F29">
        <v>4.860972022137136</v>
      </c>
      <c r="G29">
        <v>5.5222967142304116</v>
      </c>
    </row>
    <row r="30" spans="1:9" x14ac:dyDescent="0.2">
      <c r="A30" t="s">
        <v>59</v>
      </c>
      <c r="C30">
        <v>0.76294342406547766</v>
      </c>
      <c r="D30">
        <v>1.4499975640820417</v>
      </c>
      <c r="E30">
        <v>0.77413472714238962</v>
      </c>
      <c r="F30">
        <v>0.86461167987862142</v>
      </c>
      <c r="G30">
        <v>0.62983094729369504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0848-CA38-3947-9C52-172AB115D094}">
  <dimension ref="A1:U65"/>
  <sheetViews>
    <sheetView workbookViewId="0">
      <selection activeCell="P39" sqref="P39"/>
    </sheetView>
  </sheetViews>
  <sheetFormatPr baseColWidth="10" defaultColWidth="8.83203125" defaultRowHeight="15" x14ac:dyDescent="0.2"/>
  <cols>
    <col min="1" max="1" width="17.83203125" customWidth="1"/>
    <col min="2" max="2" width="10.83203125" customWidth="1"/>
  </cols>
  <sheetData>
    <row r="1" spans="1:4" x14ac:dyDescent="0.2">
      <c r="A1" t="s">
        <v>369</v>
      </c>
    </row>
    <row r="2" spans="1:4" s="1" customFormat="1" x14ac:dyDescent="0.2">
      <c r="A2" s="1" t="s">
        <v>11</v>
      </c>
      <c r="B2" s="1" t="s">
        <v>2</v>
      </c>
    </row>
    <row r="3" spans="1:4" x14ac:dyDescent="0.2">
      <c r="A3" t="s">
        <v>9</v>
      </c>
    </row>
    <row r="4" spans="1:4" x14ac:dyDescent="0.2">
      <c r="A4" t="s">
        <v>4</v>
      </c>
    </row>
    <row r="5" spans="1:4" x14ac:dyDescent="0.2">
      <c r="A5" t="s">
        <v>31</v>
      </c>
    </row>
    <row r="6" spans="1:4" x14ac:dyDescent="0.2">
      <c r="A6" t="s">
        <v>6</v>
      </c>
    </row>
    <row r="7" spans="1:4" x14ac:dyDescent="0.2">
      <c r="A7" t="s">
        <v>10</v>
      </c>
    </row>
    <row r="9" spans="1:4" s="1" customFormat="1" x14ac:dyDescent="0.2">
      <c r="A9" s="1" t="s">
        <v>29</v>
      </c>
      <c r="C9" s="1" t="s">
        <v>25</v>
      </c>
    </row>
    <row r="10" spans="1:4" x14ac:dyDescent="0.2">
      <c r="A10" t="s">
        <v>9</v>
      </c>
      <c r="B10">
        <v>214.53899999999999</v>
      </c>
      <c r="C10">
        <v>707.32799999999997</v>
      </c>
    </row>
    <row r="11" spans="1:4" x14ac:dyDescent="0.2">
      <c r="A11" t="s">
        <v>4</v>
      </c>
      <c r="C11">
        <f>C10-B10</f>
        <v>492.78899999999999</v>
      </c>
    </row>
    <row r="12" spans="1:4" x14ac:dyDescent="0.2">
      <c r="A12" t="s">
        <v>5</v>
      </c>
      <c r="C12">
        <v>9.2579999999999991</v>
      </c>
    </row>
    <row r="13" spans="1:4" x14ac:dyDescent="0.2">
      <c r="A13" t="s">
        <v>6</v>
      </c>
      <c r="C13">
        <f>SQRT(25+C12^2)</f>
        <v>10.521908762197095</v>
      </c>
    </row>
    <row r="14" spans="1:4" x14ac:dyDescent="0.2">
      <c r="A14" t="s">
        <v>10</v>
      </c>
      <c r="C14">
        <f>C11/242.87</f>
        <v>2.0290237575657759</v>
      </c>
    </row>
    <row r="16" spans="1:4" s="1" customFormat="1" x14ac:dyDescent="0.2">
      <c r="A16" s="1" t="s">
        <v>13</v>
      </c>
      <c r="C16" s="1" t="s">
        <v>23</v>
      </c>
      <c r="D16" s="1" t="s">
        <v>25</v>
      </c>
    </row>
    <row r="17" spans="1:8" x14ac:dyDescent="0.2">
      <c r="A17" t="s">
        <v>9</v>
      </c>
      <c r="B17">
        <v>214.53899999999999</v>
      </c>
      <c r="C17">
        <v>418.12900000000002</v>
      </c>
      <c r="D17">
        <v>624.12400000000002</v>
      </c>
      <c r="E17">
        <v>525.90200000000004</v>
      </c>
    </row>
    <row r="18" spans="1:8" x14ac:dyDescent="0.2">
      <c r="A18" t="s">
        <v>4</v>
      </c>
      <c r="C18">
        <f>C17-B17</f>
        <v>203.59000000000003</v>
      </c>
      <c r="D18">
        <f>D17-B17</f>
        <v>409.58500000000004</v>
      </c>
      <c r="E18">
        <f>E17-B17</f>
        <v>311.36300000000006</v>
      </c>
    </row>
    <row r="19" spans="1:8" x14ac:dyDescent="0.2">
      <c r="A19" t="s">
        <v>5</v>
      </c>
      <c r="C19">
        <v>8.5559999999999992</v>
      </c>
      <c r="D19">
        <v>4.3410000000000002</v>
      </c>
      <c r="E19">
        <v>3.6110000000000002</v>
      </c>
    </row>
    <row r="20" spans="1:8" x14ac:dyDescent="0.2">
      <c r="A20" t="s">
        <v>6</v>
      </c>
      <c r="C20">
        <f>SQRT(16+C19^2)</f>
        <v>9.4448470606992885</v>
      </c>
      <c r="D20">
        <f>SQRT(16+D19^2)</f>
        <v>5.9029044545884357</v>
      </c>
      <c r="E20">
        <f>SQRT(16+E19^2)</f>
        <v>5.388814433620813</v>
      </c>
    </row>
    <row r="21" spans="1:8" x14ac:dyDescent="0.2">
      <c r="A21" t="s">
        <v>10</v>
      </c>
      <c r="D21">
        <f>D18/242.87</f>
        <v>1.686437188619426</v>
      </c>
      <c r="E21">
        <f>E18/242.87</f>
        <v>1.2820150697904231</v>
      </c>
    </row>
    <row r="23" spans="1:8" s="1" customFormat="1" x14ac:dyDescent="0.2">
      <c r="A23" s="1" t="s">
        <v>14</v>
      </c>
      <c r="C23" s="1" t="s">
        <v>23</v>
      </c>
      <c r="F23" s="1" t="s">
        <v>25</v>
      </c>
    </row>
    <row r="24" spans="1:8" x14ac:dyDescent="0.2">
      <c r="A24" t="s">
        <v>9</v>
      </c>
      <c r="B24">
        <v>214.53899999999999</v>
      </c>
      <c r="C24">
        <v>453.41800000000001</v>
      </c>
      <c r="D24">
        <v>561.02700000000004</v>
      </c>
      <c r="E24">
        <v>399.67200000000003</v>
      </c>
      <c r="F24">
        <v>1106.441</v>
      </c>
      <c r="G24">
        <v>872.09400000000005</v>
      </c>
      <c r="H24">
        <v>581.89800000000002</v>
      </c>
    </row>
    <row r="25" spans="1:8" x14ac:dyDescent="0.2">
      <c r="A25" t="s">
        <v>4</v>
      </c>
      <c r="C25">
        <f>C24-B24</f>
        <v>238.87900000000002</v>
      </c>
      <c r="D25">
        <f>D24-B24</f>
        <v>346.48800000000006</v>
      </c>
      <c r="E25">
        <f>E24-B24</f>
        <v>185.13300000000004</v>
      </c>
      <c r="F25">
        <f>F24-B24</f>
        <v>891.90200000000004</v>
      </c>
      <c r="G25">
        <f>G24-B24</f>
        <v>657.55500000000006</v>
      </c>
      <c r="H25">
        <f>H24-B24</f>
        <v>367.35900000000004</v>
      </c>
    </row>
    <row r="26" spans="1:8" x14ac:dyDescent="0.2">
      <c r="A26" t="s">
        <v>31</v>
      </c>
      <c r="C26">
        <v>4.4210000000000003</v>
      </c>
      <c r="D26">
        <v>2.2429999999999999</v>
      </c>
      <c r="E26">
        <v>5.9</v>
      </c>
      <c r="F26">
        <v>3.5790000000000002</v>
      </c>
      <c r="G26">
        <v>8.4870000000000001</v>
      </c>
      <c r="H26">
        <v>6.6740000000000004</v>
      </c>
    </row>
    <row r="27" spans="1:8" x14ac:dyDescent="0.2">
      <c r="A27" t="s">
        <v>6</v>
      </c>
      <c r="C27">
        <f t="shared" ref="C27:H27" si="0">SQRT(9+C26^2)</f>
        <v>5.3427746536794904</v>
      </c>
      <c r="D27">
        <f t="shared" si="0"/>
        <v>3.7458041860193387</v>
      </c>
      <c r="E27">
        <f t="shared" si="0"/>
        <v>6.6189122973491648</v>
      </c>
      <c r="F27">
        <f t="shared" si="0"/>
        <v>4.6700365094932605</v>
      </c>
      <c r="G27">
        <f t="shared" si="0"/>
        <v>9.0016203541362483</v>
      </c>
      <c r="H27">
        <f t="shared" si="0"/>
        <v>7.3172587763451427</v>
      </c>
    </row>
    <row r="28" spans="1:8" x14ac:dyDescent="0.2">
      <c r="A28" t="s">
        <v>10</v>
      </c>
      <c r="F28">
        <f>F25/242.87</f>
        <v>3.6723432288878826</v>
      </c>
      <c r="G28">
        <f>G25/242.87</f>
        <v>2.7074360769135755</v>
      </c>
      <c r="H28">
        <f>H25/242.87</f>
        <v>1.5125746284020258</v>
      </c>
    </row>
    <row r="30" spans="1:8" s="1" customFormat="1" x14ac:dyDescent="0.2">
      <c r="A30" s="1" t="s">
        <v>15</v>
      </c>
      <c r="C30" s="1" t="s">
        <v>25</v>
      </c>
    </row>
    <row r="31" spans="1:8" x14ac:dyDescent="0.2">
      <c r="A31" t="s">
        <v>9</v>
      </c>
      <c r="B31">
        <v>214.53899999999999</v>
      </c>
      <c r="C31">
        <v>651.69899999999996</v>
      </c>
      <c r="D31">
        <v>687.96900000000005</v>
      </c>
      <c r="E31">
        <v>939.27</v>
      </c>
      <c r="F31">
        <v>865.86300000000006</v>
      </c>
      <c r="G31">
        <v>1061.27</v>
      </c>
      <c r="H31">
        <v>920.10199999999998</v>
      </c>
    </row>
    <row r="32" spans="1:8" x14ac:dyDescent="0.2">
      <c r="A32" t="s">
        <v>4</v>
      </c>
      <c r="C32">
        <f>C31-B31</f>
        <v>437.15999999999997</v>
      </c>
      <c r="D32">
        <f>D31-B31</f>
        <v>473.43000000000006</v>
      </c>
      <c r="E32">
        <f>E31-B31</f>
        <v>724.73099999999999</v>
      </c>
      <c r="F32">
        <f>F31-B31</f>
        <v>651.32400000000007</v>
      </c>
      <c r="G32">
        <f>G31-B31</f>
        <v>846.73099999999999</v>
      </c>
      <c r="H32">
        <f>H31-B31</f>
        <v>705.56299999999999</v>
      </c>
    </row>
    <row r="33" spans="1:21" x14ac:dyDescent="0.2">
      <c r="A33" t="s">
        <v>31</v>
      </c>
      <c r="C33">
        <v>6.6859999999999999</v>
      </c>
      <c r="D33">
        <v>2.3570000000000002</v>
      </c>
      <c r="E33">
        <v>1.611</v>
      </c>
      <c r="F33">
        <v>1.0289999999999999</v>
      </c>
      <c r="G33">
        <v>1.276</v>
      </c>
      <c r="H33">
        <v>0.82799999999999996</v>
      </c>
    </row>
    <row r="34" spans="1:21" x14ac:dyDescent="0.2">
      <c r="A34" t="s">
        <v>6</v>
      </c>
      <c r="C34">
        <f t="shared" ref="C34:H34" si="1">SQRT(4+C33^2)</f>
        <v>6.9787245252983015</v>
      </c>
      <c r="D34">
        <f t="shared" si="1"/>
        <v>3.0911889298456026</v>
      </c>
      <c r="E34">
        <f t="shared" si="1"/>
        <v>2.5681357051370943</v>
      </c>
      <c r="F34">
        <f t="shared" si="1"/>
        <v>2.2491867419136189</v>
      </c>
      <c r="G34">
        <f t="shared" si="1"/>
        <v>2.3723777102308139</v>
      </c>
      <c r="H34">
        <f t="shared" si="1"/>
        <v>2.1646209829898631</v>
      </c>
    </row>
    <row r="35" spans="1:21" x14ac:dyDescent="0.2">
      <c r="A35" t="s">
        <v>10</v>
      </c>
      <c r="C35">
        <f t="shared" ref="C35:H35" si="2">C32/242.87</f>
        <v>1.7999752954255361</v>
      </c>
      <c r="D35">
        <f t="shared" si="2"/>
        <v>1.9493144480586324</v>
      </c>
      <c r="E35">
        <f t="shared" si="2"/>
        <v>2.9840284926092147</v>
      </c>
      <c r="F35">
        <f t="shared" si="2"/>
        <v>2.6817803763330179</v>
      </c>
      <c r="G35">
        <f t="shared" si="2"/>
        <v>3.4863548400378801</v>
      </c>
      <c r="H35">
        <f t="shared" si="2"/>
        <v>2.9051056120558321</v>
      </c>
    </row>
    <row r="37" spans="1:21" s="1" customFormat="1" x14ac:dyDescent="0.2">
      <c r="A37" s="1" t="s">
        <v>16</v>
      </c>
      <c r="C37" s="1" t="s">
        <v>23</v>
      </c>
      <c r="F37" s="1" t="s">
        <v>25</v>
      </c>
    </row>
    <row r="38" spans="1:21" x14ac:dyDescent="0.2">
      <c r="A38" t="s">
        <v>9</v>
      </c>
      <c r="B38">
        <v>214.53899999999999</v>
      </c>
      <c r="C38">
        <v>440.53899999999999</v>
      </c>
      <c r="D38">
        <v>442.20299999999997</v>
      </c>
      <c r="E38">
        <v>541.52700000000004</v>
      </c>
      <c r="F38">
        <v>524.30499999999995</v>
      </c>
      <c r="G38">
        <v>625.59</v>
      </c>
      <c r="H38">
        <v>630.52300000000002</v>
      </c>
      <c r="I38">
        <v>457.57</v>
      </c>
      <c r="J38">
        <v>742.03499999999997</v>
      </c>
      <c r="K38">
        <v>695.44100000000003</v>
      </c>
      <c r="L38">
        <v>562.73400000000004</v>
      </c>
      <c r="M38">
        <v>785.74599999999998</v>
      </c>
      <c r="N38">
        <v>601.73800000000006</v>
      </c>
      <c r="O38">
        <v>680.49199999999996</v>
      </c>
      <c r="P38">
        <v>1000.957</v>
      </c>
      <c r="Q38">
        <v>700.69500000000005</v>
      </c>
      <c r="R38">
        <v>1582.5740000000001</v>
      </c>
      <c r="S38">
        <v>2128.6990000000001</v>
      </c>
      <c r="T38">
        <v>1240.883</v>
      </c>
      <c r="U38">
        <v>1361.098</v>
      </c>
    </row>
    <row r="39" spans="1:21" x14ac:dyDescent="0.2">
      <c r="A39" t="s">
        <v>21</v>
      </c>
      <c r="C39">
        <f>C38-B38</f>
        <v>226</v>
      </c>
      <c r="D39">
        <f>D38-B38</f>
        <v>227.66399999999999</v>
      </c>
      <c r="E39">
        <f>E38-B38</f>
        <v>326.98800000000006</v>
      </c>
      <c r="F39">
        <f>F38-B38</f>
        <v>309.76599999999996</v>
      </c>
      <c r="G39">
        <f>G38-B38</f>
        <v>411.05100000000004</v>
      </c>
      <c r="H39">
        <f>H38-B38</f>
        <v>415.98400000000004</v>
      </c>
      <c r="I39">
        <f>I38-B38</f>
        <v>243.03100000000001</v>
      </c>
      <c r="J39">
        <f>J38-B38</f>
        <v>527.49599999999998</v>
      </c>
      <c r="K39">
        <f>K38-B38</f>
        <v>480.90200000000004</v>
      </c>
      <c r="L39">
        <f>L38-B38</f>
        <v>348.19500000000005</v>
      </c>
      <c r="M39">
        <f>M38-B38</f>
        <v>571.20699999999999</v>
      </c>
      <c r="N39">
        <f>N38-B38</f>
        <v>387.19900000000007</v>
      </c>
      <c r="O39">
        <f>O38-B38</f>
        <v>465.95299999999997</v>
      </c>
      <c r="P39">
        <f>P38-B38</f>
        <v>786.41800000000001</v>
      </c>
      <c r="Q39">
        <f>Q38-B38</f>
        <v>486.15600000000006</v>
      </c>
      <c r="R39">
        <f>R38-B38</f>
        <v>1368.0350000000001</v>
      </c>
      <c r="S39">
        <f>S38-B38</f>
        <v>1914.16</v>
      </c>
      <c r="T39">
        <f>T38-B38</f>
        <v>1026.3440000000001</v>
      </c>
      <c r="U39">
        <f>U38-B38</f>
        <v>1146.559</v>
      </c>
    </row>
    <row r="40" spans="1:21" x14ac:dyDescent="0.2">
      <c r="A40" t="s">
        <v>5</v>
      </c>
      <c r="C40">
        <v>5.8380000000000001</v>
      </c>
      <c r="D40">
        <v>2.9449999999999998</v>
      </c>
      <c r="E40">
        <v>4.101</v>
      </c>
      <c r="F40">
        <v>14.938000000000001</v>
      </c>
      <c r="G40">
        <v>4.984</v>
      </c>
      <c r="H40">
        <v>4.774</v>
      </c>
      <c r="I40">
        <v>6.8689999999999998</v>
      </c>
      <c r="J40">
        <v>5.218</v>
      </c>
      <c r="K40">
        <v>4.1970000000000001</v>
      </c>
      <c r="L40">
        <v>3.9039999999999999</v>
      </c>
      <c r="M40">
        <v>3.1749999999999998</v>
      </c>
      <c r="N40">
        <v>3.0270000000000001</v>
      </c>
      <c r="O40">
        <v>2.476</v>
      </c>
      <c r="P40">
        <v>1.4279999999999999</v>
      </c>
      <c r="Q40">
        <v>2.44</v>
      </c>
      <c r="R40">
        <v>2.0779999999999998</v>
      </c>
      <c r="S40">
        <v>0.92500000000000004</v>
      </c>
      <c r="T40">
        <v>0.90600000000000003</v>
      </c>
      <c r="U40">
        <v>0.56899999999999995</v>
      </c>
    </row>
    <row r="41" spans="1:21" x14ac:dyDescent="0.2">
      <c r="A41" t="s">
        <v>17</v>
      </c>
      <c r="C41">
        <f t="shared" ref="C41:U41" si="3">SQRT(1+C40^2)</f>
        <v>5.9230265911947422</v>
      </c>
      <c r="D41">
        <f t="shared" si="3"/>
        <v>3.1101487102709413</v>
      </c>
      <c r="E41">
        <f t="shared" si="3"/>
        <v>4.2211610961914259</v>
      </c>
      <c r="F41">
        <f t="shared" si="3"/>
        <v>14.971434266629235</v>
      </c>
      <c r="G41">
        <f t="shared" si="3"/>
        <v>5.083331191256379</v>
      </c>
      <c r="H41">
        <f t="shared" si="3"/>
        <v>4.8776096604791981</v>
      </c>
      <c r="I41">
        <f t="shared" si="3"/>
        <v>6.9414091508857192</v>
      </c>
      <c r="J41">
        <f t="shared" si="3"/>
        <v>5.3129581214235069</v>
      </c>
      <c r="K41">
        <f t="shared" si="3"/>
        <v>4.3144882662953208</v>
      </c>
      <c r="L41">
        <f t="shared" si="3"/>
        <v>4.0300392057646288</v>
      </c>
      <c r="M41">
        <f t="shared" si="3"/>
        <v>3.3287572756210388</v>
      </c>
      <c r="N41">
        <f t="shared" si="3"/>
        <v>3.1879035430828204</v>
      </c>
      <c r="O41">
        <f t="shared" si="3"/>
        <v>2.6703138392331338</v>
      </c>
      <c r="P41">
        <f t="shared" si="3"/>
        <v>1.7433255576627102</v>
      </c>
      <c r="Q41">
        <f t="shared" si="3"/>
        <v>2.6369679558159214</v>
      </c>
      <c r="R41">
        <f t="shared" si="3"/>
        <v>2.3060971358552957</v>
      </c>
      <c r="S41">
        <f t="shared" si="3"/>
        <v>1.3622132725825278</v>
      </c>
      <c r="T41">
        <f t="shared" si="3"/>
        <v>1.3493835629649562</v>
      </c>
      <c r="U41">
        <f t="shared" si="3"/>
        <v>1.1505481302405389</v>
      </c>
    </row>
    <row r="42" spans="1:21" x14ac:dyDescent="0.2">
      <c r="A42" t="s">
        <v>10</v>
      </c>
      <c r="F42">
        <f t="shared" ref="F42:U42" si="4">F39/242.87</f>
        <v>1.2754395355539998</v>
      </c>
      <c r="G42">
        <f t="shared" si="4"/>
        <v>1.6924733396467246</v>
      </c>
      <c r="H42">
        <f t="shared" si="4"/>
        <v>1.7127846172849674</v>
      </c>
      <c r="I42">
        <f t="shared" si="4"/>
        <v>1.0006629060814427</v>
      </c>
      <c r="J42">
        <f t="shared" si="4"/>
        <v>2.1719273685510765</v>
      </c>
      <c r="K42">
        <f t="shared" si="4"/>
        <v>1.9800798781240994</v>
      </c>
      <c r="L42">
        <f t="shared" si="4"/>
        <v>1.4336682175649527</v>
      </c>
      <c r="M42">
        <f t="shared" si="4"/>
        <v>2.3519043109482438</v>
      </c>
      <c r="N42">
        <f t="shared" si="4"/>
        <v>1.5942644212953434</v>
      </c>
      <c r="O42">
        <f t="shared" si="4"/>
        <v>1.9185284308477786</v>
      </c>
      <c r="P42">
        <f t="shared" si="4"/>
        <v>3.2380203400996419</v>
      </c>
      <c r="Q42">
        <f t="shared" si="4"/>
        <v>2.0017128504961503</v>
      </c>
      <c r="R42">
        <f t="shared" si="4"/>
        <v>5.6327870877424138</v>
      </c>
      <c r="S42">
        <f t="shared" si="4"/>
        <v>7.8814180425742171</v>
      </c>
      <c r="T42">
        <f t="shared" si="4"/>
        <v>4.2258986288961173</v>
      </c>
      <c r="U42">
        <f t="shared" si="4"/>
        <v>4.7208753654218301</v>
      </c>
    </row>
    <row r="44" spans="1:21" s="1" customFormat="1" x14ac:dyDescent="0.2">
      <c r="A44" s="1" t="s">
        <v>368</v>
      </c>
      <c r="C44" s="1" t="s">
        <v>23</v>
      </c>
      <c r="E44" s="1" t="s">
        <v>25</v>
      </c>
    </row>
    <row r="45" spans="1:21" x14ac:dyDescent="0.2">
      <c r="A45" t="s">
        <v>9</v>
      </c>
      <c r="B45">
        <v>214.53899999999999</v>
      </c>
      <c r="C45">
        <v>513.75</v>
      </c>
      <c r="D45">
        <v>349.79700000000003</v>
      </c>
      <c r="E45">
        <v>623.18399999999997</v>
      </c>
      <c r="F45">
        <v>521.82000000000005</v>
      </c>
      <c r="G45">
        <v>1395.078</v>
      </c>
      <c r="H45">
        <v>820.07399999999996</v>
      </c>
      <c r="I45">
        <v>1411.73</v>
      </c>
      <c r="J45">
        <v>1329.934</v>
      </c>
      <c r="K45">
        <v>1074.7829999999999</v>
      </c>
      <c r="L45">
        <v>1404.973</v>
      </c>
      <c r="M45">
        <v>1070.0350000000001</v>
      </c>
      <c r="N45">
        <v>2118</v>
      </c>
      <c r="O45">
        <v>1513.223</v>
      </c>
      <c r="P45">
        <v>949.04700000000003</v>
      </c>
      <c r="Q45">
        <v>1704.9839999999999</v>
      </c>
      <c r="R45">
        <v>1305.598</v>
      </c>
      <c r="S45">
        <v>1944.9570000000001</v>
      </c>
      <c r="T45">
        <v>1346.914</v>
      </c>
    </row>
    <row r="46" spans="1:21" x14ac:dyDescent="0.2">
      <c r="A46" t="s">
        <v>4</v>
      </c>
      <c r="C46">
        <f>C45-B45</f>
        <v>299.21100000000001</v>
      </c>
      <c r="D46">
        <f>D45-B45</f>
        <v>135.25800000000004</v>
      </c>
      <c r="E46">
        <f>E45-B45</f>
        <v>408.64499999999998</v>
      </c>
      <c r="F46">
        <f>F45-B45</f>
        <v>307.28100000000006</v>
      </c>
      <c r="G46">
        <f>G45-B45</f>
        <v>1180.539</v>
      </c>
      <c r="H46">
        <f>H45-B45</f>
        <v>605.53499999999997</v>
      </c>
      <c r="I46">
        <f>I45-B45</f>
        <v>1197.191</v>
      </c>
      <c r="J46">
        <f>J45-B45</f>
        <v>1115.395</v>
      </c>
      <c r="K46">
        <f>K45-B45</f>
        <v>860.24399999999991</v>
      </c>
      <c r="L46">
        <f>L45-B45</f>
        <v>1190.434</v>
      </c>
      <c r="M46">
        <f>M45-B45</f>
        <v>855.49600000000009</v>
      </c>
      <c r="N46">
        <f>N45-B45</f>
        <v>1903.461</v>
      </c>
      <c r="O46">
        <f>O45-B45</f>
        <v>1298.684</v>
      </c>
      <c r="P46">
        <f>P45-B45</f>
        <v>734.50800000000004</v>
      </c>
      <c r="Q46">
        <f>Q45-B45</f>
        <v>1490.4449999999999</v>
      </c>
      <c r="R46">
        <f>R45-B45</f>
        <v>1091.059</v>
      </c>
      <c r="S46">
        <f>S45-B45</f>
        <v>1730.4180000000001</v>
      </c>
      <c r="T46">
        <f>T45-B45</f>
        <v>1132.375</v>
      </c>
    </row>
    <row r="47" spans="1:21" x14ac:dyDescent="0.2">
      <c r="A47" t="s">
        <v>5</v>
      </c>
      <c r="C47">
        <v>5.8460000000000001</v>
      </c>
      <c r="D47">
        <v>2.8969999999999998</v>
      </c>
      <c r="E47">
        <v>8.3190000000000008</v>
      </c>
      <c r="F47">
        <v>6.2140000000000004</v>
      </c>
      <c r="G47">
        <v>2.718</v>
      </c>
      <c r="H47">
        <v>0.89300000000000002</v>
      </c>
      <c r="I47">
        <v>1.5289999999999999</v>
      </c>
      <c r="J47">
        <v>1.986</v>
      </c>
      <c r="K47">
        <v>5.8819999999999997</v>
      </c>
      <c r="L47">
        <v>5.3579999999999997</v>
      </c>
      <c r="M47">
        <v>4.9139999999999997</v>
      </c>
      <c r="N47">
        <v>4.766</v>
      </c>
      <c r="O47">
        <v>4.0670000000000002</v>
      </c>
      <c r="P47">
        <v>3.9180000000000001</v>
      </c>
      <c r="Q47">
        <v>3.2480000000000002</v>
      </c>
      <c r="R47">
        <v>3.5710000000000002</v>
      </c>
      <c r="S47">
        <v>2.8</v>
      </c>
      <c r="T47">
        <v>2.3069999999999999</v>
      </c>
    </row>
    <row r="48" spans="1:21" x14ac:dyDescent="0.2">
      <c r="A48" t="s">
        <v>10</v>
      </c>
      <c r="E48">
        <f t="shared" ref="E48:T48" si="5">E46/242.87</f>
        <v>1.6825668052867788</v>
      </c>
      <c r="F48">
        <f t="shared" si="5"/>
        <v>1.2652077242969493</v>
      </c>
      <c r="G48">
        <f t="shared" si="5"/>
        <v>4.8607856054679459</v>
      </c>
      <c r="H48">
        <f t="shared" si="5"/>
        <v>2.4932474163132539</v>
      </c>
      <c r="I48">
        <f t="shared" si="5"/>
        <v>4.9293490344628816</v>
      </c>
      <c r="J48">
        <f t="shared" si="5"/>
        <v>4.5925598056573476</v>
      </c>
      <c r="K48">
        <f t="shared" si="5"/>
        <v>3.5419936591592207</v>
      </c>
      <c r="L48">
        <f t="shared" si="5"/>
        <v>4.9015275661876725</v>
      </c>
      <c r="M48">
        <f t="shared" si="5"/>
        <v>3.5224441059002762</v>
      </c>
      <c r="N48">
        <f t="shared" si="5"/>
        <v>7.8373656688763536</v>
      </c>
      <c r="O48">
        <f t="shared" si="5"/>
        <v>5.3472392638036812</v>
      </c>
      <c r="P48">
        <f t="shared" si="5"/>
        <v>3.024284596697822</v>
      </c>
      <c r="Q48">
        <f t="shared" si="5"/>
        <v>6.1368015810927652</v>
      </c>
      <c r="R48">
        <f t="shared" si="5"/>
        <v>4.4923580516325607</v>
      </c>
      <c r="S48">
        <f t="shared" si="5"/>
        <v>7.1248733890558738</v>
      </c>
      <c r="T48">
        <f t="shared" si="5"/>
        <v>4.6624737513896326</v>
      </c>
    </row>
    <row r="50" spans="1:16" s="1" customFormat="1" x14ac:dyDescent="0.2">
      <c r="A50" s="1" t="s">
        <v>19</v>
      </c>
      <c r="C50" s="1" t="s">
        <v>23</v>
      </c>
      <c r="E50" s="1" t="s">
        <v>25</v>
      </c>
    </row>
    <row r="51" spans="1:16" x14ac:dyDescent="0.2">
      <c r="A51" t="s">
        <v>9</v>
      </c>
      <c r="B51">
        <v>214.53899999999999</v>
      </c>
      <c r="C51">
        <v>479.25799999999998</v>
      </c>
      <c r="D51">
        <v>432.22699999999998</v>
      </c>
      <c r="E51">
        <v>664.52300000000002</v>
      </c>
      <c r="F51">
        <v>675.48800000000006</v>
      </c>
      <c r="G51">
        <v>1410.98</v>
      </c>
      <c r="H51">
        <v>1253.2149999999999</v>
      </c>
      <c r="I51">
        <v>949.43799999999999</v>
      </c>
      <c r="J51">
        <v>1279.3710000000001</v>
      </c>
      <c r="K51">
        <v>768.96900000000005</v>
      </c>
      <c r="L51">
        <v>1501.02</v>
      </c>
      <c r="M51">
        <v>1017.312</v>
      </c>
      <c r="N51">
        <v>1289.4960000000001</v>
      </c>
      <c r="O51">
        <v>1334.0350000000001</v>
      </c>
      <c r="P51">
        <v>1383.3789999999999</v>
      </c>
    </row>
    <row r="52" spans="1:16" x14ac:dyDescent="0.2">
      <c r="A52" t="s">
        <v>4</v>
      </c>
      <c r="C52">
        <f>C51-B51</f>
        <v>264.71899999999999</v>
      </c>
      <c r="D52">
        <f>D51-B51</f>
        <v>217.68799999999999</v>
      </c>
      <c r="E52">
        <f>E51-B51</f>
        <v>449.98400000000004</v>
      </c>
      <c r="F52">
        <f>F51-B51</f>
        <v>460.94900000000007</v>
      </c>
      <c r="G52">
        <f>G51-B51</f>
        <v>1196.441</v>
      </c>
      <c r="H52">
        <f>H51-B51</f>
        <v>1038.6759999999999</v>
      </c>
      <c r="I52">
        <f>I51-B51</f>
        <v>734.899</v>
      </c>
      <c r="J52">
        <f>J51-B51</f>
        <v>1064.8320000000001</v>
      </c>
      <c r="K52">
        <f>K51-B51</f>
        <v>554.43000000000006</v>
      </c>
      <c r="L52">
        <f>L51-B51</f>
        <v>1286.481</v>
      </c>
      <c r="M52">
        <f>M51-B51</f>
        <v>802.77300000000002</v>
      </c>
      <c r="N52">
        <f>N51-B51</f>
        <v>1074.9570000000001</v>
      </c>
      <c r="O52">
        <f>O51-B51</f>
        <v>1119.4960000000001</v>
      </c>
      <c r="P52">
        <f>P51-B51</f>
        <v>1168.8399999999999</v>
      </c>
    </row>
    <row r="53" spans="1:16" x14ac:dyDescent="0.2">
      <c r="A53" t="s">
        <v>5</v>
      </c>
      <c r="C53">
        <v>9.5950000000000006</v>
      </c>
      <c r="D53">
        <v>2.8980000000000001</v>
      </c>
      <c r="E53">
        <v>8.4969999999999999</v>
      </c>
      <c r="F53">
        <v>1.6739999999999999</v>
      </c>
      <c r="G53">
        <v>2.593</v>
      </c>
      <c r="H53">
        <v>5.8040000000000003</v>
      </c>
      <c r="I53">
        <v>5.0650000000000004</v>
      </c>
      <c r="J53">
        <v>4.9020000000000001</v>
      </c>
      <c r="K53">
        <v>4.1029999999999998</v>
      </c>
      <c r="L53">
        <v>4.04</v>
      </c>
      <c r="M53">
        <v>4.5650000000000004</v>
      </c>
      <c r="N53">
        <v>4.1239999999999997</v>
      </c>
      <c r="O53">
        <v>3.1040000000000001</v>
      </c>
      <c r="P53">
        <v>1.917</v>
      </c>
    </row>
    <row r="54" spans="1:16" x14ac:dyDescent="0.2">
      <c r="A54" t="s">
        <v>6</v>
      </c>
      <c r="C54">
        <f t="shared" ref="C54:P54" si="6">SQRT(1+C53^2)</f>
        <v>9.6469697314752683</v>
      </c>
      <c r="D54">
        <f t="shared" si="6"/>
        <v>3.0656816534010836</v>
      </c>
      <c r="E54">
        <f t="shared" si="6"/>
        <v>8.5556419396793366</v>
      </c>
      <c r="F54">
        <f t="shared" si="6"/>
        <v>1.949942563256672</v>
      </c>
      <c r="G54">
        <f t="shared" si="6"/>
        <v>2.7791453722322625</v>
      </c>
      <c r="H54">
        <f t="shared" si="6"/>
        <v>5.8895174675010518</v>
      </c>
      <c r="I54">
        <f t="shared" si="6"/>
        <v>5.1627729952032562</v>
      </c>
      <c r="J54">
        <f t="shared" si="6"/>
        <v>5.0029595241216978</v>
      </c>
      <c r="K54">
        <f t="shared" si="6"/>
        <v>4.2231041900478843</v>
      </c>
      <c r="L54">
        <f t="shared" si="6"/>
        <v>4.1619226326302607</v>
      </c>
      <c r="M54">
        <f t="shared" si="6"/>
        <v>4.6732456601381447</v>
      </c>
      <c r="N54">
        <f t="shared" si="6"/>
        <v>4.2435098680219889</v>
      </c>
      <c r="O54">
        <f t="shared" si="6"/>
        <v>3.2611065606631136</v>
      </c>
      <c r="P54">
        <f t="shared" si="6"/>
        <v>2.1621491622920006</v>
      </c>
    </row>
    <row r="55" spans="1:16" x14ac:dyDescent="0.2">
      <c r="A55" t="s">
        <v>10</v>
      </c>
      <c r="E55">
        <f t="shared" ref="E55:P55" si="7">E52/242.87</f>
        <v>1.8527772059126282</v>
      </c>
      <c r="F55">
        <f t="shared" si="7"/>
        <v>1.897924815745049</v>
      </c>
      <c r="G55">
        <f t="shared" si="7"/>
        <v>4.9262609626549185</v>
      </c>
      <c r="H55">
        <f t="shared" si="7"/>
        <v>4.2766747642771854</v>
      </c>
      <c r="I55">
        <f t="shared" si="7"/>
        <v>3.0258945114670399</v>
      </c>
      <c r="J55">
        <f t="shared" si="7"/>
        <v>4.3843702392226298</v>
      </c>
      <c r="K55">
        <f t="shared" si="7"/>
        <v>2.2828262033186482</v>
      </c>
      <c r="L55">
        <f t="shared" si="7"/>
        <v>5.2969942767735825</v>
      </c>
      <c r="M55">
        <f t="shared" si="7"/>
        <v>3.3053608926586242</v>
      </c>
      <c r="N55">
        <f t="shared" si="7"/>
        <v>4.4260592086301314</v>
      </c>
      <c r="O55">
        <f t="shared" si="7"/>
        <v>4.6094453823032904</v>
      </c>
      <c r="P55">
        <f t="shared" si="7"/>
        <v>4.8126158026927985</v>
      </c>
    </row>
    <row r="57" spans="1:16" s="1" customFormat="1" x14ac:dyDescent="0.2">
      <c r="A57" s="1" t="s">
        <v>37</v>
      </c>
      <c r="C57" s="1" t="s">
        <v>25</v>
      </c>
    </row>
    <row r="58" spans="1:16" x14ac:dyDescent="0.2">
      <c r="A58" t="s">
        <v>9</v>
      </c>
      <c r="B58">
        <v>214.53899999999999</v>
      </c>
      <c r="C58">
        <v>357.44499999999999</v>
      </c>
      <c r="D58">
        <v>408.19099999999997</v>
      </c>
      <c r="E58">
        <v>486.92200000000003</v>
      </c>
      <c r="F58">
        <v>550.19100000000003</v>
      </c>
      <c r="G58">
        <v>517.08199999999999</v>
      </c>
      <c r="H58">
        <v>453.08600000000001</v>
      </c>
      <c r="I58">
        <v>422.57400000000001</v>
      </c>
      <c r="J58">
        <v>441.14499999999998</v>
      </c>
    </row>
    <row r="59" spans="1:16" x14ac:dyDescent="0.2">
      <c r="A59" t="s">
        <v>4</v>
      </c>
      <c r="C59">
        <f>C58-B58</f>
        <v>142.90600000000001</v>
      </c>
      <c r="D59">
        <f>D58-B58</f>
        <v>193.65199999999999</v>
      </c>
      <c r="E59">
        <f>E58-B58</f>
        <v>272.38300000000004</v>
      </c>
      <c r="F59">
        <f>F58-B58</f>
        <v>335.65200000000004</v>
      </c>
      <c r="G59">
        <f>G58-B58</f>
        <v>302.54300000000001</v>
      </c>
      <c r="H59">
        <f>H58-B58</f>
        <v>238.54700000000003</v>
      </c>
      <c r="I59">
        <f>I58-B58</f>
        <v>208.03500000000003</v>
      </c>
      <c r="J59">
        <f>J58-B58</f>
        <v>226.60599999999999</v>
      </c>
    </row>
    <row r="60" spans="1:16" x14ac:dyDescent="0.2">
      <c r="A60" t="s">
        <v>5</v>
      </c>
      <c r="C60">
        <v>3.6080000000000001</v>
      </c>
      <c r="D60">
        <v>2.887</v>
      </c>
      <c r="E60">
        <v>2.2250000000000001</v>
      </c>
      <c r="F60">
        <v>2.7650000000000001</v>
      </c>
      <c r="G60">
        <v>3.1659999999999999</v>
      </c>
      <c r="H60">
        <v>4.0860000000000003</v>
      </c>
      <c r="I60">
        <v>4.6989999999999998</v>
      </c>
      <c r="J60">
        <v>5.375</v>
      </c>
    </row>
    <row r="61" spans="1:16" x14ac:dyDescent="0.2">
      <c r="A61" t="s">
        <v>6</v>
      </c>
      <c r="C61">
        <f t="shared" ref="C61:J61" si="8">SQRT(4+C60^2)</f>
        <v>4.1252471441114897</v>
      </c>
      <c r="D61">
        <f t="shared" si="8"/>
        <v>3.5120889795106272</v>
      </c>
      <c r="E61">
        <f t="shared" si="8"/>
        <v>2.9917595157365171</v>
      </c>
      <c r="F61">
        <f t="shared" si="8"/>
        <v>3.4125100732452056</v>
      </c>
      <c r="G61">
        <f t="shared" si="8"/>
        <v>3.7448038666931542</v>
      </c>
      <c r="H61">
        <f t="shared" si="8"/>
        <v>4.549219273677628</v>
      </c>
      <c r="I61">
        <f t="shared" si="8"/>
        <v>5.1069169760237925</v>
      </c>
      <c r="J61">
        <f t="shared" si="8"/>
        <v>5.7350348734772307</v>
      </c>
    </row>
    <row r="62" spans="1:16" x14ac:dyDescent="0.2">
      <c r="A62" t="s">
        <v>10</v>
      </c>
      <c r="C62">
        <f t="shared" ref="C62:J62" si="9">C59/242.87</f>
        <v>0.58840531971836785</v>
      </c>
      <c r="D62">
        <f t="shared" si="9"/>
        <v>0.79734837567422889</v>
      </c>
      <c r="E62">
        <f t="shared" si="9"/>
        <v>1.1215176843578871</v>
      </c>
      <c r="F62">
        <f t="shared" si="9"/>
        <v>1.3820233046485775</v>
      </c>
      <c r="G62">
        <f t="shared" si="9"/>
        <v>1.2456993453287768</v>
      </c>
      <c r="H62">
        <f t="shared" si="9"/>
        <v>0.98220035409890072</v>
      </c>
      <c r="I62">
        <f t="shared" si="9"/>
        <v>0.85656935809280699</v>
      </c>
      <c r="J62">
        <f t="shared" si="9"/>
        <v>0.93303413348705067</v>
      </c>
    </row>
    <row r="64" spans="1:16" x14ac:dyDescent="0.2">
      <c r="A64" t="s">
        <v>33</v>
      </c>
      <c r="B64">
        <f>AVERAGE(C52:D52,C46:D46,C39:E39,C25:E25,C18)</f>
        <v>242.87436363636368</v>
      </c>
    </row>
    <row r="65" spans="1:2" x14ac:dyDescent="0.2">
      <c r="A65" t="s">
        <v>27</v>
      </c>
      <c r="B65">
        <v>42.628999999999998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460D-D38B-6B4D-A1D8-835B1650A891}">
  <dimension ref="A1:X51"/>
  <sheetViews>
    <sheetView workbookViewId="0">
      <selection activeCell="E57" sqref="E57"/>
    </sheetView>
  </sheetViews>
  <sheetFormatPr baseColWidth="10" defaultRowHeight="15" x14ac:dyDescent="0.2"/>
  <cols>
    <col min="1" max="1" width="26.33203125" customWidth="1"/>
    <col min="2" max="2" width="17.1640625" customWidth="1"/>
  </cols>
  <sheetData>
    <row r="1" spans="1:24" x14ac:dyDescent="0.2">
      <c r="C1" t="s">
        <v>294</v>
      </c>
    </row>
    <row r="2" spans="1:24" x14ac:dyDescent="0.2">
      <c r="C2">
        <v>32.19158333333332</v>
      </c>
    </row>
    <row r="4" spans="1:24" s="1" customFormat="1" x14ac:dyDescent="0.2">
      <c r="A4" s="1" t="s">
        <v>404</v>
      </c>
      <c r="B4" s="1" t="s">
        <v>70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 t="s">
        <v>283</v>
      </c>
      <c r="K4" s="1" t="s">
        <v>283</v>
      </c>
      <c r="L4" s="1" t="s">
        <v>283</v>
      </c>
      <c r="M4" s="1" t="s">
        <v>283</v>
      </c>
      <c r="N4" s="1" t="s">
        <v>283</v>
      </c>
      <c r="O4" s="1" t="s">
        <v>283</v>
      </c>
      <c r="P4" s="1" t="s">
        <v>283</v>
      </c>
      <c r="Q4" s="1" t="s">
        <v>283</v>
      </c>
      <c r="R4" s="1" t="s">
        <v>283</v>
      </c>
      <c r="S4" s="1" t="s">
        <v>283</v>
      </c>
      <c r="T4" s="1" t="s">
        <v>283</v>
      </c>
      <c r="U4" s="1" t="s">
        <v>283</v>
      </c>
      <c r="V4" s="1" t="s">
        <v>283</v>
      </c>
      <c r="W4" s="1" t="s">
        <v>283</v>
      </c>
      <c r="X4" s="1" t="s">
        <v>283</v>
      </c>
    </row>
    <row r="5" spans="1:24" x14ac:dyDescent="0.2">
      <c r="A5" t="s">
        <v>63</v>
      </c>
      <c r="B5">
        <v>211.53100000000001</v>
      </c>
      <c r="C5">
        <v>237.148</v>
      </c>
      <c r="D5">
        <v>243.941</v>
      </c>
      <c r="E5">
        <v>238.32</v>
      </c>
      <c r="F5">
        <v>257.637</v>
      </c>
      <c r="G5">
        <v>273.21899999999999</v>
      </c>
      <c r="H5">
        <v>239.238</v>
      </c>
      <c r="I5">
        <v>234.96899999999999</v>
      </c>
      <c r="J5">
        <v>356.84</v>
      </c>
      <c r="K5">
        <v>310.66000000000003</v>
      </c>
      <c r="L5">
        <v>319.23399999999998</v>
      </c>
      <c r="M5">
        <v>288.17599999999999</v>
      </c>
      <c r="N5">
        <v>249.24199999999999</v>
      </c>
      <c r="O5">
        <v>316.80099999999999</v>
      </c>
      <c r="P5">
        <v>348.43400000000003</v>
      </c>
      <c r="Q5">
        <v>394.238</v>
      </c>
      <c r="R5">
        <v>287.11700000000002</v>
      </c>
      <c r="S5">
        <v>279.55900000000003</v>
      </c>
      <c r="T5">
        <v>310.875</v>
      </c>
      <c r="U5">
        <v>293.29700000000003</v>
      </c>
      <c r="V5">
        <v>280.887</v>
      </c>
      <c r="W5">
        <v>294.47300000000001</v>
      </c>
      <c r="X5">
        <v>287.65600000000001</v>
      </c>
    </row>
    <row r="6" spans="1:24" x14ac:dyDescent="0.2">
      <c r="A6" t="s">
        <v>62</v>
      </c>
      <c r="C6">
        <v>25.61699999999999</v>
      </c>
      <c r="D6">
        <v>32.409999999999997</v>
      </c>
      <c r="E6">
        <v>26.788999999999987</v>
      </c>
      <c r="F6">
        <v>46.105999999999995</v>
      </c>
      <c r="G6">
        <v>61.687999999999988</v>
      </c>
      <c r="H6">
        <v>27.706999999999994</v>
      </c>
      <c r="I6">
        <v>23.437999999999988</v>
      </c>
      <c r="J6">
        <v>145.30899999999997</v>
      </c>
      <c r="K6">
        <v>99.129000000000019</v>
      </c>
      <c r="L6">
        <v>107.70299999999997</v>
      </c>
      <c r="M6">
        <v>76.644999999999982</v>
      </c>
      <c r="N6">
        <v>37.710999999999984</v>
      </c>
      <c r="O6">
        <v>105.26999999999998</v>
      </c>
      <c r="P6">
        <v>136.90300000000002</v>
      </c>
      <c r="Q6">
        <v>182.70699999999999</v>
      </c>
      <c r="R6">
        <v>75.586000000000013</v>
      </c>
      <c r="S6">
        <v>68.02800000000002</v>
      </c>
      <c r="T6">
        <v>99.343999999999994</v>
      </c>
      <c r="U6">
        <v>81.76600000000002</v>
      </c>
      <c r="V6">
        <v>69.355999999999995</v>
      </c>
      <c r="W6">
        <v>82.942000000000007</v>
      </c>
      <c r="X6">
        <v>76.125</v>
      </c>
    </row>
    <row r="7" spans="1:24" x14ac:dyDescent="0.2">
      <c r="A7" t="s">
        <v>61</v>
      </c>
      <c r="C7">
        <v>13.454000000000001</v>
      </c>
      <c r="D7">
        <v>14.679</v>
      </c>
      <c r="E7">
        <v>11.5</v>
      </c>
      <c r="F7">
        <v>9.0350000000000001</v>
      </c>
      <c r="G7">
        <v>8.4990000000000006</v>
      </c>
      <c r="H7">
        <v>1.633</v>
      </c>
      <c r="I7">
        <v>2.0790000000000002</v>
      </c>
      <c r="J7">
        <v>9.0559999999999992</v>
      </c>
      <c r="K7">
        <v>5.8490000000000002</v>
      </c>
      <c r="L7">
        <v>5.2549999999999999</v>
      </c>
      <c r="M7">
        <v>4.8620000000000001</v>
      </c>
      <c r="N7">
        <v>5.335</v>
      </c>
      <c r="O7">
        <v>4.3360000000000003</v>
      </c>
      <c r="P7">
        <v>3.0640000000000001</v>
      </c>
      <c r="Q7">
        <v>3.0409999999999999</v>
      </c>
      <c r="R7">
        <v>1.982</v>
      </c>
      <c r="S7">
        <v>2.774</v>
      </c>
      <c r="T7">
        <v>2.21</v>
      </c>
      <c r="U7">
        <v>1.3080000000000001</v>
      </c>
      <c r="V7">
        <v>2.2629999999999999</v>
      </c>
      <c r="W7">
        <v>1.018</v>
      </c>
      <c r="X7">
        <v>2.56</v>
      </c>
    </row>
    <row r="8" spans="1:24" x14ac:dyDescent="0.2">
      <c r="A8" t="s">
        <v>60</v>
      </c>
      <c r="C8">
        <v>13.454000000000001</v>
      </c>
      <c r="D8">
        <v>14.679</v>
      </c>
      <c r="E8">
        <v>11.5</v>
      </c>
      <c r="F8">
        <v>9.0350000000000001</v>
      </c>
      <c r="G8">
        <v>8.4990000000000006</v>
      </c>
      <c r="H8">
        <v>1.633</v>
      </c>
      <c r="I8">
        <v>2.0790000000000002</v>
      </c>
      <c r="J8">
        <v>9.0559999999999992</v>
      </c>
      <c r="K8">
        <v>5.8490000000000002</v>
      </c>
      <c r="L8">
        <v>5.2549999999999999</v>
      </c>
      <c r="M8">
        <v>4.8620000000000001</v>
      </c>
      <c r="N8">
        <v>5.335</v>
      </c>
      <c r="O8">
        <v>4.3360000000000003</v>
      </c>
      <c r="P8">
        <v>3.0640000000000001</v>
      </c>
      <c r="Q8">
        <v>3.0409999999999999</v>
      </c>
      <c r="R8">
        <v>1.982</v>
      </c>
      <c r="S8">
        <v>2.774</v>
      </c>
      <c r="T8">
        <v>2.21</v>
      </c>
      <c r="U8">
        <v>1.3080000000000001</v>
      </c>
      <c r="V8">
        <v>2.2629999999999999</v>
      </c>
      <c r="W8">
        <v>1.018</v>
      </c>
      <c r="X8">
        <v>2.56</v>
      </c>
    </row>
    <row r="9" spans="1:24" x14ac:dyDescent="0.2">
      <c r="A9" t="s">
        <v>59</v>
      </c>
      <c r="J9">
        <v>4.513881734097164</v>
      </c>
      <c r="K9">
        <v>3.0793452739976046</v>
      </c>
      <c r="L9">
        <v>3.3456881845409909</v>
      </c>
      <c r="M9">
        <v>2.3809018402843396</v>
      </c>
      <c r="N9">
        <v>1.1714552716936881</v>
      </c>
      <c r="O9">
        <v>3.2701094230117094</v>
      </c>
      <c r="P9">
        <v>4.2527575789738021</v>
      </c>
      <c r="Q9">
        <v>5.6756139674190225</v>
      </c>
      <c r="R9">
        <v>2.3480050427259727</v>
      </c>
      <c r="S9">
        <v>2.1132231768655902</v>
      </c>
      <c r="T9">
        <v>3.0860240383744211</v>
      </c>
      <c r="U9">
        <v>2.5399806885340128</v>
      </c>
      <c r="V9">
        <v>2.154476195900068</v>
      </c>
      <c r="W9">
        <v>2.5765119764741833</v>
      </c>
      <c r="X9">
        <v>2.3647485496985508</v>
      </c>
    </row>
    <row r="11" spans="1:24" s="1" customFormat="1" x14ac:dyDescent="0.2">
      <c r="A11" s="1" t="s">
        <v>405</v>
      </c>
      <c r="C11" s="1">
        <v>1</v>
      </c>
      <c r="D11" s="1" t="s">
        <v>283</v>
      </c>
      <c r="E11" s="1" t="s">
        <v>283</v>
      </c>
      <c r="F11" s="1" t="s">
        <v>283</v>
      </c>
      <c r="G11" s="1" t="s">
        <v>283</v>
      </c>
      <c r="H11" s="1" t="s">
        <v>283</v>
      </c>
      <c r="I11" s="1" t="s">
        <v>283</v>
      </c>
      <c r="J11" s="1" t="s">
        <v>283</v>
      </c>
      <c r="K11" s="1" t="s">
        <v>283</v>
      </c>
      <c r="L11" s="1" t="s">
        <v>283</v>
      </c>
      <c r="M11" s="1" t="s">
        <v>283</v>
      </c>
      <c r="N11" s="1" t="s">
        <v>283</v>
      </c>
      <c r="O11" s="1" t="s">
        <v>283</v>
      </c>
      <c r="P11" s="1" t="s">
        <v>283</v>
      </c>
      <c r="Q11" s="1" t="s">
        <v>283</v>
      </c>
      <c r="R11" s="1" t="s">
        <v>283</v>
      </c>
      <c r="S11" s="1" t="s">
        <v>283</v>
      </c>
      <c r="T11" s="1" t="s">
        <v>283</v>
      </c>
    </row>
    <row r="12" spans="1:24" x14ac:dyDescent="0.2">
      <c r="A12" t="s">
        <v>63</v>
      </c>
      <c r="C12">
        <v>274.77699999999999</v>
      </c>
      <c r="D12">
        <v>291.21899999999999</v>
      </c>
      <c r="E12">
        <v>285.81599999999997</v>
      </c>
      <c r="F12">
        <v>286.57400000000001</v>
      </c>
      <c r="G12">
        <v>277.12900000000002</v>
      </c>
      <c r="H12">
        <v>260.19099999999997</v>
      </c>
      <c r="I12">
        <v>300.78100000000001</v>
      </c>
      <c r="J12">
        <v>315.94499999999999</v>
      </c>
      <c r="K12">
        <v>357.76600000000002</v>
      </c>
      <c r="L12">
        <v>323.73</v>
      </c>
      <c r="M12">
        <v>246.92599999999999</v>
      </c>
      <c r="N12">
        <v>250.738</v>
      </c>
      <c r="O12">
        <v>308.70699999999999</v>
      </c>
      <c r="P12">
        <v>359.77300000000002</v>
      </c>
      <c r="Q12">
        <v>432.18400000000003</v>
      </c>
      <c r="R12">
        <v>306.33999999999997</v>
      </c>
      <c r="S12">
        <v>304.18</v>
      </c>
      <c r="T12">
        <v>253.07</v>
      </c>
    </row>
    <row r="13" spans="1:24" x14ac:dyDescent="0.2">
      <c r="A13" t="s">
        <v>62</v>
      </c>
      <c r="C13">
        <v>63.245999999999981</v>
      </c>
      <c r="D13">
        <v>79.687999999999988</v>
      </c>
      <c r="E13">
        <v>74.284999999999968</v>
      </c>
      <c r="F13">
        <v>75.043000000000006</v>
      </c>
      <c r="G13">
        <v>65.598000000000013</v>
      </c>
      <c r="H13">
        <v>48.659999999999968</v>
      </c>
      <c r="I13">
        <v>89.25</v>
      </c>
      <c r="J13">
        <v>104.41399999999999</v>
      </c>
      <c r="K13">
        <v>146.23500000000001</v>
      </c>
      <c r="L13">
        <v>112.19900000000001</v>
      </c>
      <c r="M13">
        <v>35.394999999999982</v>
      </c>
      <c r="N13">
        <v>39.206999999999994</v>
      </c>
      <c r="O13">
        <v>97.175999999999988</v>
      </c>
      <c r="P13">
        <v>148.24200000000002</v>
      </c>
      <c r="Q13">
        <v>220.65300000000002</v>
      </c>
      <c r="R13">
        <v>94.808999999999969</v>
      </c>
      <c r="S13">
        <v>92.649000000000001</v>
      </c>
      <c r="T13">
        <v>41.538999999999987</v>
      </c>
    </row>
    <row r="14" spans="1:24" x14ac:dyDescent="0.2">
      <c r="A14" t="s">
        <v>61</v>
      </c>
      <c r="C14">
        <v>14.675000000000001</v>
      </c>
      <c r="D14">
        <v>9.016</v>
      </c>
      <c r="E14">
        <v>5.6390000000000002</v>
      </c>
      <c r="F14">
        <v>5.1420000000000003</v>
      </c>
      <c r="G14">
        <v>4.8680000000000003</v>
      </c>
      <c r="H14">
        <v>5.085</v>
      </c>
      <c r="I14">
        <v>5.0190000000000001</v>
      </c>
      <c r="J14">
        <v>4.72</v>
      </c>
      <c r="K14">
        <v>3.91</v>
      </c>
      <c r="L14">
        <v>4.2320000000000002</v>
      </c>
      <c r="M14">
        <v>4.431</v>
      </c>
      <c r="N14">
        <v>3.1040000000000001</v>
      </c>
      <c r="O14">
        <v>0.93100000000000005</v>
      </c>
      <c r="P14">
        <v>2.1269999999999998</v>
      </c>
      <c r="Q14">
        <v>2.4380000000000002</v>
      </c>
      <c r="R14">
        <v>2.4900000000000002</v>
      </c>
      <c r="S14">
        <v>1.6619999999999999</v>
      </c>
      <c r="T14">
        <v>2.0910000000000002</v>
      </c>
    </row>
    <row r="15" spans="1:24" x14ac:dyDescent="0.2">
      <c r="A15" t="s">
        <v>60</v>
      </c>
      <c r="C15">
        <v>14.709032089162088</v>
      </c>
      <c r="D15">
        <v>9.0712874499709244</v>
      </c>
      <c r="E15">
        <v>5.7269818403763075</v>
      </c>
      <c r="F15">
        <v>5.2383359953328696</v>
      </c>
      <c r="G15">
        <v>4.9696502895073014</v>
      </c>
      <c r="H15">
        <v>5.182395681535712</v>
      </c>
      <c r="I15">
        <v>5.1176519029726908</v>
      </c>
      <c r="J15">
        <v>4.8247694245424828</v>
      </c>
      <c r="K15">
        <v>4.0358518307787268</v>
      </c>
      <c r="L15">
        <v>4.3485427444145008</v>
      </c>
      <c r="M15">
        <v>4.5424399830927875</v>
      </c>
      <c r="N15">
        <v>3.2611065606631136</v>
      </c>
      <c r="O15">
        <v>1.3662946241568836</v>
      </c>
      <c r="P15">
        <v>2.350346570189171</v>
      </c>
      <c r="Q15">
        <v>2.6351174546877414</v>
      </c>
      <c r="R15">
        <v>2.6833002068348595</v>
      </c>
      <c r="S15">
        <v>1.9396504839790081</v>
      </c>
      <c r="T15">
        <v>2.3178181550760191</v>
      </c>
    </row>
    <row r="16" spans="1:24" x14ac:dyDescent="0.2">
      <c r="A16" t="s">
        <v>59</v>
      </c>
      <c r="D16">
        <v>2.4754296542315672</v>
      </c>
      <c r="E16">
        <v>2.3075907522411394</v>
      </c>
      <c r="F16">
        <v>2.3311372796719652</v>
      </c>
      <c r="G16">
        <v>2.0377376073973799</v>
      </c>
      <c r="H16">
        <v>1.511575230585634</v>
      </c>
      <c r="I16">
        <v>2.7724638168879556</v>
      </c>
      <c r="J16">
        <v>3.2435186215858711</v>
      </c>
      <c r="K16">
        <v>4.5426470169480142</v>
      </c>
      <c r="L16">
        <v>3.4853520200673591</v>
      </c>
      <c r="M16">
        <v>1.099511000546209</v>
      </c>
      <c r="N16">
        <v>1.2179270461481913</v>
      </c>
      <c r="O16">
        <v>3.0186772422398205</v>
      </c>
      <c r="P16">
        <v>4.6049925058050913</v>
      </c>
      <c r="Q16">
        <v>6.8543692838966743</v>
      </c>
      <c r="R16">
        <v>2.9451487060541188</v>
      </c>
      <c r="S16">
        <v>2.8780504220823779</v>
      </c>
      <c r="T16">
        <v>1.2903683416213867</v>
      </c>
    </row>
    <row r="18" spans="1:7" s="1" customFormat="1" x14ac:dyDescent="0.2">
      <c r="A18" s="1" t="s">
        <v>406</v>
      </c>
      <c r="C18" s="1" t="s">
        <v>283</v>
      </c>
      <c r="D18" s="1" t="s">
        <v>283</v>
      </c>
      <c r="E18" s="1" t="s">
        <v>283</v>
      </c>
      <c r="F18" s="1" t="s">
        <v>283</v>
      </c>
      <c r="G18" s="1" t="s">
        <v>283</v>
      </c>
    </row>
    <row r="19" spans="1:7" x14ac:dyDescent="0.2">
      <c r="A19" t="s">
        <v>63</v>
      </c>
      <c r="C19">
        <v>224.238</v>
      </c>
      <c r="D19">
        <v>261.68</v>
      </c>
      <c r="E19">
        <v>269.87099999999998</v>
      </c>
      <c r="F19">
        <v>235.12100000000001</v>
      </c>
      <c r="G19">
        <v>259.44900000000001</v>
      </c>
    </row>
    <row r="20" spans="1:7" x14ac:dyDescent="0.2">
      <c r="A20" t="s">
        <v>62</v>
      </c>
      <c r="C20">
        <v>12.706999999999994</v>
      </c>
      <c r="D20">
        <v>50.149000000000001</v>
      </c>
      <c r="E20">
        <v>58.339999999999975</v>
      </c>
      <c r="F20">
        <v>23.590000000000003</v>
      </c>
      <c r="G20">
        <v>47.918000000000006</v>
      </c>
    </row>
    <row r="21" spans="1:7" x14ac:dyDescent="0.2">
      <c r="A21" t="s">
        <v>61</v>
      </c>
      <c r="C21">
        <v>12.491</v>
      </c>
      <c r="D21">
        <v>4.6820000000000004</v>
      </c>
      <c r="E21">
        <v>3.8969999999999998</v>
      </c>
      <c r="F21">
        <v>2.94</v>
      </c>
      <c r="G21">
        <v>2.3170000000000002</v>
      </c>
    </row>
    <row r="22" spans="1:7" x14ac:dyDescent="0.2">
      <c r="A22" t="s">
        <v>60</v>
      </c>
      <c r="C22">
        <v>12.650102015398927</v>
      </c>
      <c r="D22">
        <v>5.0912792105717406</v>
      </c>
      <c r="E22">
        <v>4.3802521616911507</v>
      </c>
      <c r="F22">
        <v>3.5557840204376867</v>
      </c>
      <c r="G22">
        <v>3.0607987519600175</v>
      </c>
    </row>
    <row r="23" spans="1:7" x14ac:dyDescent="0.2">
      <c r="A23" t="s">
        <v>59</v>
      </c>
      <c r="C23">
        <v>0.39473050668005866</v>
      </c>
      <c r="D23">
        <v>1.557829556897637</v>
      </c>
      <c r="E23">
        <v>1.8122749476441824</v>
      </c>
      <c r="F23">
        <v>0.73280024022842449</v>
      </c>
      <c r="G23">
        <v>1.4885257274805275</v>
      </c>
    </row>
    <row r="25" spans="1:7" s="1" customFormat="1" x14ac:dyDescent="0.2">
      <c r="A25" s="1" t="s">
        <v>407</v>
      </c>
      <c r="C25" s="1" t="s">
        <v>283</v>
      </c>
      <c r="D25" s="1" t="s">
        <v>283</v>
      </c>
      <c r="E25" s="1" t="s">
        <v>283</v>
      </c>
      <c r="F25" s="1" t="s">
        <v>283</v>
      </c>
      <c r="G25" s="1" t="s">
        <v>283</v>
      </c>
    </row>
    <row r="26" spans="1:7" x14ac:dyDescent="0.2">
      <c r="A26" t="s">
        <v>63</v>
      </c>
      <c r="C26">
        <v>213.97300000000001</v>
      </c>
      <c r="D26">
        <v>215.28100000000001</v>
      </c>
      <c r="E26">
        <v>222.10499999999999</v>
      </c>
      <c r="F26">
        <v>225.09</v>
      </c>
      <c r="G26">
        <v>227.49600000000001</v>
      </c>
    </row>
    <row r="27" spans="1:7" x14ac:dyDescent="0.2">
      <c r="A27" t="s">
        <v>62</v>
      </c>
      <c r="C27">
        <v>2.4420000000000073</v>
      </c>
      <c r="D27">
        <v>3.75</v>
      </c>
      <c r="E27">
        <v>10.573999999999984</v>
      </c>
      <c r="F27">
        <v>13.558999999999997</v>
      </c>
      <c r="G27">
        <v>15.965000000000003</v>
      </c>
    </row>
    <row r="28" spans="1:7" x14ac:dyDescent="0.2">
      <c r="A28" t="s">
        <v>61</v>
      </c>
      <c r="C28">
        <v>12.468</v>
      </c>
      <c r="D28">
        <v>7.3369999999999997</v>
      </c>
      <c r="E28">
        <v>4.5759999999999996</v>
      </c>
      <c r="F28">
        <v>3.0259999999999998</v>
      </c>
      <c r="G28">
        <v>2.36</v>
      </c>
    </row>
    <row r="29" spans="1:7" x14ac:dyDescent="0.2">
      <c r="A29" t="s">
        <v>60</v>
      </c>
      <c r="C29">
        <v>12.823845912985698</v>
      </c>
      <c r="D29">
        <v>7.9266366764220999</v>
      </c>
      <c r="E29">
        <v>5.4717251392956499</v>
      </c>
      <c r="F29">
        <v>4.2610651250596954</v>
      </c>
      <c r="G29">
        <v>3.817014540187134</v>
      </c>
    </row>
    <row r="30" spans="1:7" x14ac:dyDescent="0.2">
      <c r="A30" t="s">
        <v>59</v>
      </c>
      <c r="C30">
        <v>7.5858337712497573E-2</v>
      </c>
      <c r="D30">
        <v>0.11649007633983008</v>
      </c>
      <c r="E30">
        <v>0.32847095125796305</v>
      </c>
      <c r="F30">
        <v>0.42119705202446822</v>
      </c>
      <c r="G30">
        <v>0.49593708500410333</v>
      </c>
    </row>
    <row r="32" spans="1:7" s="1" customFormat="1" x14ac:dyDescent="0.2">
      <c r="A32" s="1" t="s">
        <v>408</v>
      </c>
      <c r="C32" s="1" t="s">
        <v>283</v>
      </c>
    </row>
    <row r="33" spans="1:11" x14ac:dyDescent="0.2">
      <c r="A33" t="s">
        <v>63</v>
      </c>
      <c r="C33">
        <v>218.27</v>
      </c>
    </row>
    <row r="34" spans="1:11" x14ac:dyDescent="0.2">
      <c r="A34" t="s">
        <v>62</v>
      </c>
      <c r="C34">
        <v>6.7390000000000043</v>
      </c>
    </row>
    <row r="35" spans="1:11" x14ac:dyDescent="0.2">
      <c r="A35" t="s">
        <v>61</v>
      </c>
      <c r="C35">
        <v>8.0519999999999996</v>
      </c>
    </row>
    <row r="36" spans="1:11" x14ac:dyDescent="0.2">
      <c r="A36" t="s">
        <v>60</v>
      </c>
      <c r="C36">
        <v>9.4781171125915087</v>
      </c>
    </row>
    <row r="37" spans="1:11" x14ac:dyDescent="0.2">
      <c r="A37" t="s">
        <v>59</v>
      </c>
      <c r="C37">
        <v>0.2093404331877641</v>
      </c>
    </row>
    <row r="39" spans="1:11" s="1" customFormat="1" x14ac:dyDescent="0.2">
      <c r="A39" s="1" t="s">
        <v>409</v>
      </c>
      <c r="C39" s="1" t="s">
        <v>283</v>
      </c>
    </row>
    <row r="40" spans="1:11" x14ac:dyDescent="0.2">
      <c r="A40" t="s">
        <v>63</v>
      </c>
      <c r="C40">
        <v>235.02699999999999</v>
      </c>
    </row>
    <row r="41" spans="1:11" x14ac:dyDescent="0.2">
      <c r="A41" t="s">
        <v>62</v>
      </c>
      <c r="C41">
        <v>23.495999999999981</v>
      </c>
    </row>
    <row r="42" spans="1:11" x14ac:dyDescent="0.2">
      <c r="A42" t="s">
        <v>61</v>
      </c>
      <c r="C42">
        <v>8.0519999999999996</v>
      </c>
    </row>
    <row r="43" spans="1:11" x14ac:dyDescent="0.2">
      <c r="A43" t="s">
        <v>60</v>
      </c>
      <c r="C43">
        <v>10.041648470246306</v>
      </c>
    </row>
    <row r="44" spans="1:11" x14ac:dyDescent="0.2">
      <c r="A44" t="s">
        <v>59</v>
      </c>
      <c r="C44">
        <v>0.72988022231483873</v>
      </c>
    </row>
    <row r="46" spans="1:11" s="1" customFormat="1" x14ac:dyDescent="0.2">
      <c r="A46" s="1" t="s">
        <v>410</v>
      </c>
      <c r="C46" s="1">
        <v>1</v>
      </c>
      <c r="D46" s="1">
        <v>1</v>
      </c>
      <c r="E46" s="1">
        <v>1</v>
      </c>
      <c r="F46" s="1">
        <v>1</v>
      </c>
      <c r="G46" s="1" t="s">
        <v>283</v>
      </c>
      <c r="H46" s="1" t="s">
        <v>283</v>
      </c>
      <c r="I46" s="1" t="s">
        <v>283</v>
      </c>
      <c r="J46" s="1" t="s">
        <v>283</v>
      </c>
      <c r="K46" s="1" t="s">
        <v>283</v>
      </c>
    </row>
    <row r="47" spans="1:11" x14ac:dyDescent="0.2">
      <c r="A47" t="s">
        <v>63</v>
      </c>
      <c r="C47">
        <v>233.07</v>
      </c>
      <c r="D47">
        <v>233.809</v>
      </c>
      <c r="E47">
        <v>223.02</v>
      </c>
      <c r="F47">
        <v>235.523</v>
      </c>
      <c r="G47">
        <v>239.559</v>
      </c>
      <c r="H47">
        <v>254.41399999999999</v>
      </c>
      <c r="I47">
        <v>273.89100000000002</v>
      </c>
      <c r="J47">
        <v>246.87100000000001</v>
      </c>
      <c r="K47">
        <v>235.047</v>
      </c>
    </row>
    <row r="48" spans="1:11" x14ac:dyDescent="0.2">
      <c r="A48" t="s">
        <v>62</v>
      </c>
      <c r="C48">
        <v>21.538999999999987</v>
      </c>
      <c r="D48">
        <v>22.277999999999992</v>
      </c>
      <c r="E48">
        <v>11.489000000000004</v>
      </c>
      <c r="F48">
        <v>23.99199999999999</v>
      </c>
      <c r="G48">
        <v>28.027999999999992</v>
      </c>
      <c r="H48">
        <v>42.882999999999981</v>
      </c>
      <c r="I48">
        <v>62.360000000000014</v>
      </c>
      <c r="J48">
        <v>35.340000000000003</v>
      </c>
      <c r="K48">
        <v>23.515999999999991</v>
      </c>
    </row>
    <row r="49" spans="1:11" x14ac:dyDescent="0.2">
      <c r="A49" t="s">
        <v>61</v>
      </c>
      <c r="C49">
        <v>8.5399999999999991</v>
      </c>
      <c r="D49">
        <v>10.183</v>
      </c>
      <c r="E49">
        <v>1.9570000000000001</v>
      </c>
      <c r="F49">
        <v>2.3919999999999999</v>
      </c>
      <c r="G49">
        <v>8.952</v>
      </c>
      <c r="H49">
        <v>3.0190000000000001</v>
      </c>
      <c r="I49">
        <v>2.9950000000000001</v>
      </c>
      <c r="J49">
        <v>5.37</v>
      </c>
      <c r="K49">
        <v>1.9</v>
      </c>
    </row>
    <row r="50" spans="1:11" x14ac:dyDescent="0.2">
      <c r="A50" t="s">
        <v>60</v>
      </c>
      <c r="C50">
        <v>8.5983486786708063</v>
      </c>
      <c r="D50">
        <v>10.231983629775803</v>
      </c>
      <c r="E50">
        <v>2.1976917436255703</v>
      </c>
      <c r="F50">
        <v>2.5926172104651313</v>
      </c>
      <c r="G50">
        <v>9.0076802785178831</v>
      </c>
      <c r="H50">
        <v>3.1803083183867566</v>
      </c>
      <c r="I50">
        <v>3.1575346395566273</v>
      </c>
      <c r="J50">
        <v>5.4623163584691801</v>
      </c>
      <c r="K50">
        <v>2.1470910553583886</v>
      </c>
    </row>
    <row r="51" spans="1:11" x14ac:dyDescent="0.2">
      <c r="A51" t="s">
        <v>59</v>
      </c>
      <c r="G51">
        <v>0.87066236257406837</v>
      </c>
      <c r="H51">
        <v>1.3321183849815816</v>
      </c>
      <c r="I51">
        <v>1.9371523094804814</v>
      </c>
      <c r="J51">
        <v>1.0978024794265588</v>
      </c>
      <c r="K51">
        <v>0.73050150272198477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00BD-8578-894A-9232-A782D6D944C9}">
  <dimension ref="A1:AB65"/>
  <sheetViews>
    <sheetView workbookViewId="0">
      <selection activeCell="E2" sqref="E2"/>
    </sheetView>
  </sheetViews>
  <sheetFormatPr baseColWidth="10" defaultRowHeight="15" x14ac:dyDescent="0.2"/>
  <cols>
    <col min="1" max="1" width="25.83203125" customWidth="1"/>
    <col min="2" max="2" width="18.6640625" customWidth="1"/>
  </cols>
  <sheetData>
    <row r="1" spans="1:28" x14ac:dyDescent="0.2">
      <c r="C1" t="s">
        <v>294</v>
      </c>
    </row>
    <row r="2" spans="1:28" x14ac:dyDescent="0.2">
      <c r="C2">
        <v>225.33776190476195</v>
      </c>
    </row>
    <row r="4" spans="1:28" s="1" customFormat="1" x14ac:dyDescent="0.2">
      <c r="A4" s="1" t="s">
        <v>430</v>
      </c>
      <c r="B4" s="1" t="s">
        <v>70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 t="s">
        <v>283</v>
      </c>
      <c r="J4" s="1" t="s">
        <v>283</v>
      </c>
      <c r="K4" s="1" t="s">
        <v>283</v>
      </c>
      <c r="L4" s="1" t="s">
        <v>283</v>
      </c>
      <c r="M4" s="1" t="s">
        <v>283</v>
      </c>
      <c r="N4" s="1" t="s">
        <v>283</v>
      </c>
      <c r="O4" s="1" t="s">
        <v>283</v>
      </c>
      <c r="P4" s="1" t="s">
        <v>283</v>
      </c>
      <c r="Q4" s="1" t="s">
        <v>283</v>
      </c>
      <c r="R4" s="1" t="s">
        <v>283</v>
      </c>
      <c r="S4" s="1" t="s">
        <v>283</v>
      </c>
      <c r="T4" s="1" t="s">
        <v>283</v>
      </c>
      <c r="U4" s="1" t="s">
        <v>283</v>
      </c>
      <c r="V4" s="1" t="s">
        <v>283</v>
      </c>
      <c r="W4" s="1" t="s">
        <v>283</v>
      </c>
      <c r="X4" s="1" t="s">
        <v>283</v>
      </c>
      <c r="Y4" s="1" t="s">
        <v>283</v>
      </c>
      <c r="Z4" s="1" t="s">
        <v>283</v>
      </c>
      <c r="AA4" s="1" t="s">
        <v>283</v>
      </c>
      <c r="AB4" s="1" t="s">
        <v>283</v>
      </c>
    </row>
    <row r="5" spans="1:28" x14ac:dyDescent="0.2">
      <c r="A5" t="s">
        <v>63</v>
      </c>
      <c r="B5">
        <v>208.84200000000001</v>
      </c>
      <c r="C5">
        <v>359.012</v>
      </c>
      <c r="D5">
        <v>298.78500000000003</v>
      </c>
      <c r="E5">
        <v>437.15199999999999</v>
      </c>
      <c r="F5">
        <v>401.42200000000003</v>
      </c>
      <c r="G5">
        <v>433.32799999999997</v>
      </c>
      <c r="H5">
        <v>407.69499999999999</v>
      </c>
      <c r="I5">
        <v>1151.453</v>
      </c>
      <c r="J5">
        <v>920.58600000000001</v>
      </c>
      <c r="K5">
        <v>1045.7729999999999</v>
      </c>
      <c r="L5">
        <v>1738.336</v>
      </c>
      <c r="M5">
        <v>1050.7619999999999</v>
      </c>
      <c r="N5">
        <v>1194.836</v>
      </c>
      <c r="O5">
        <v>728.46500000000003</v>
      </c>
      <c r="P5">
        <v>342.00400000000002</v>
      </c>
      <c r="Q5">
        <v>697.96500000000003</v>
      </c>
      <c r="R5">
        <v>561.76199999999994</v>
      </c>
      <c r="S5">
        <v>446.43</v>
      </c>
      <c r="T5">
        <v>578.33199999999999</v>
      </c>
      <c r="U5">
        <v>559.35900000000004</v>
      </c>
      <c r="V5">
        <v>397.77</v>
      </c>
      <c r="W5">
        <v>1058.895</v>
      </c>
      <c r="X5">
        <v>539.87900000000002</v>
      </c>
      <c r="Y5">
        <v>1119.9449999999999</v>
      </c>
      <c r="Z5">
        <v>599.84799999999996</v>
      </c>
      <c r="AA5">
        <v>854.61699999999996</v>
      </c>
      <c r="AB5">
        <v>1020.25</v>
      </c>
    </row>
    <row r="6" spans="1:28" x14ac:dyDescent="0.2">
      <c r="A6" t="s">
        <v>62</v>
      </c>
      <c r="C6">
        <v>150.16999999999999</v>
      </c>
      <c r="D6">
        <v>89.943000000000012</v>
      </c>
      <c r="E6">
        <v>228.30999999999997</v>
      </c>
      <c r="F6">
        <v>192.58</v>
      </c>
      <c r="G6">
        <v>224.48599999999996</v>
      </c>
      <c r="H6">
        <v>198.85299999999998</v>
      </c>
      <c r="I6">
        <v>942.61099999999999</v>
      </c>
      <c r="J6">
        <v>711.74400000000003</v>
      </c>
      <c r="K6">
        <v>836.93099999999993</v>
      </c>
      <c r="L6">
        <v>1529.4939999999999</v>
      </c>
      <c r="M6">
        <v>841.92</v>
      </c>
      <c r="N6">
        <v>985.99400000000003</v>
      </c>
      <c r="O6">
        <v>519.62300000000005</v>
      </c>
      <c r="P6">
        <v>133.16200000000001</v>
      </c>
      <c r="Q6">
        <v>489.12300000000005</v>
      </c>
      <c r="R6">
        <v>352.91999999999996</v>
      </c>
      <c r="S6">
        <v>237.58799999999999</v>
      </c>
      <c r="T6">
        <v>369.49</v>
      </c>
      <c r="U6">
        <v>350.51700000000005</v>
      </c>
      <c r="V6">
        <v>188.92799999999997</v>
      </c>
      <c r="W6">
        <v>850.053</v>
      </c>
      <c r="X6">
        <v>331.03700000000003</v>
      </c>
      <c r="Y6">
        <v>911.10299999999995</v>
      </c>
      <c r="Z6">
        <v>391.00599999999997</v>
      </c>
      <c r="AA6">
        <v>645.77499999999998</v>
      </c>
      <c r="AB6">
        <v>811.40800000000002</v>
      </c>
    </row>
    <row r="7" spans="1:28" x14ac:dyDescent="0.2">
      <c r="A7" t="s">
        <v>61</v>
      </c>
      <c r="C7">
        <v>9.4640000000000004</v>
      </c>
      <c r="D7">
        <v>7.617</v>
      </c>
      <c r="E7">
        <v>3.4820000000000002</v>
      </c>
      <c r="F7">
        <v>1.9019999999999999</v>
      </c>
      <c r="G7">
        <v>1.2390000000000001</v>
      </c>
      <c r="H7">
        <v>0.90600000000000003</v>
      </c>
      <c r="I7">
        <v>3.754</v>
      </c>
      <c r="J7">
        <v>3.1190000000000002</v>
      </c>
      <c r="K7">
        <v>3.6179999999999999</v>
      </c>
      <c r="L7">
        <v>2.8450000000000002</v>
      </c>
      <c r="M7">
        <v>3.4769999999999999</v>
      </c>
      <c r="N7">
        <v>2.8239999999999998</v>
      </c>
      <c r="O7">
        <v>2.0790000000000002</v>
      </c>
      <c r="P7">
        <v>6.444</v>
      </c>
      <c r="Q7">
        <v>2.5760000000000001</v>
      </c>
      <c r="R7">
        <v>1.4830000000000001</v>
      </c>
      <c r="S7">
        <v>0</v>
      </c>
      <c r="T7">
        <v>2.11</v>
      </c>
      <c r="U7">
        <v>2.6930000000000001</v>
      </c>
      <c r="V7">
        <v>3.419</v>
      </c>
      <c r="W7">
        <v>2.9569999999999999</v>
      </c>
      <c r="X7">
        <v>1.796</v>
      </c>
      <c r="Y7">
        <v>2.1850000000000001</v>
      </c>
      <c r="Z7">
        <v>2.6179999999999999</v>
      </c>
      <c r="AA7">
        <v>2.2010000000000001</v>
      </c>
      <c r="AB7">
        <v>1.4850000000000001</v>
      </c>
    </row>
    <row r="8" spans="1:28" x14ac:dyDescent="0.2">
      <c r="A8" t="s">
        <v>60</v>
      </c>
      <c r="C8">
        <v>9.4640000000000004</v>
      </c>
      <c r="D8">
        <v>7.617</v>
      </c>
      <c r="E8">
        <v>3.4820000000000002</v>
      </c>
      <c r="F8">
        <v>1.9019999999999999</v>
      </c>
      <c r="G8">
        <v>1.2390000000000001</v>
      </c>
      <c r="H8">
        <v>0.90600000000000003</v>
      </c>
      <c r="I8">
        <v>3.754</v>
      </c>
      <c r="J8">
        <v>3.1190000000000002</v>
      </c>
      <c r="K8">
        <v>3.6179999999999999</v>
      </c>
      <c r="L8">
        <v>2.8450000000000002</v>
      </c>
      <c r="M8">
        <v>3.4769999999999999</v>
      </c>
      <c r="N8">
        <v>2.8239999999999998</v>
      </c>
      <c r="O8">
        <v>2.0790000000000002</v>
      </c>
      <c r="P8">
        <v>6.444</v>
      </c>
      <c r="Q8">
        <v>2.5760000000000001</v>
      </c>
      <c r="R8">
        <v>1.4830000000000001</v>
      </c>
      <c r="S8">
        <v>0</v>
      </c>
      <c r="T8">
        <v>2.11</v>
      </c>
      <c r="U8">
        <v>2.6930000000000001</v>
      </c>
      <c r="V8">
        <v>3.419</v>
      </c>
      <c r="W8">
        <v>2.9569999999999999</v>
      </c>
      <c r="X8">
        <v>1.796</v>
      </c>
      <c r="Y8">
        <v>2.1850000000000001</v>
      </c>
      <c r="Z8">
        <v>2.6179999999999999</v>
      </c>
      <c r="AA8">
        <v>2.2010000000000001</v>
      </c>
      <c r="AB8">
        <v>1.4850000000000001</v>
      </c>
    </row>
    <row r="9" spans="1:28" x14ac:dyDescent="0.2">
      <c r="A9" t="s">
        <v>59</v>
      </c>
      <c r="I9">
        <v>4.1831026989537179</v>
      </c>
      <c r="J9">
        <v>3.158565142316518</v>
      </c>
      <c r="K9">
        <v>3.7141178332716613</v>
      </c>
      <c r="L9">
        <v>6.7875618674442775</v>
      </c>
      <c r="M9">
        <v>3.7362579306873291</v>
      </c>
      <c r="N9">
        <v>4.3756270217005451</v>
      </c>
      <c r="O9">
        <v>2.3059739104873889</v>
      </c>
      <c r="P9">
        <v>0.59094400722893647</v>
      </c>
      <c r="Q9">
        <v>2.1706215410390284</v>
      </c>
      <c r="R9">
        <v>1.5661822369086993</v>
      </c>
      <c r="S9">
        <v>1.054363893524493</v>
      </c>
      <c r="T9">
        <v>1.6397162946713006</v>
      </c>
      <c r="U9">
        <v>1.5555182453092109</v>
      </c>
      <c r="V9">
        <v>0.83842139197179744</v>
      </c>
      <c r="W9">
        <v>3.7723504166126904</v>
      </c>
      <c r="X9">
        <v>1.4690702401664548</v>
      </c>
      <c r="Y9">
        <v>4.0432770446396544</v>
      </c>
      <c r="Z9">
        <v>1.7351996251975601</v>
      </c>
      <c r="AA9">
        <v>2.8658090616562264</v>
      </c>
      <c r="AB9">
        <v>3.6008523078477106</v>
      </c>
    </row>
    <row r="11" spans="1:28" s="1" customFormat="1" x14ac:dyDescent="0.2">
      <c r="A11" s="1" t="s">
        <v>431</v>
      </c>
      <c r="C11" s="1">
        <v>1</v>
      </c>
      <c r="D11" s="1">
        <v>1</v>
      </c>
      <c r="E11" s="1">
        <v>1</v>
      </c>
      <c r="F11" s="1">
        <v>1</v>
      </c>
      <c r="G11" s="1" t="s">
        <v>283</v>
      </c>
      <c r="H11" s="1" t="s">
        <v>283</v>
      </c>
      <c r="I11" s="1" t="s">
        <v>283</v>
      </c>
      <c r="J11" s="1" t="s">
        <v>283</v>
      </c>
      <c r="K11" s="1" t="s">
        <v>283</v>
      </c>
      <c r="L11" s="1" t="s">
        <v>283</v>
      </c>
      <c r="M11" s="1" t="s">
        <v>283</v>
      </c>
      <c r="N11" s="1" t="s">
        <v>283</v>
      </c>
      <c r="O11" s="1" t="s">
        <v>283</v>
      </c>
      <c r="P11" s="1" t="s">
        <v>283</v>
      </c>
      <c r="Q11" s="1" t="s">
        <v>283</v>
      </c>
      <c r="R11" s="1" t="s">
        <v>283</v>
      </c>
      <c r="S11" s="1" t="s">
        <v>283</v>
      </c>
      <c r="T11" s="1" t="s">
        <v>283</v>
      </c>
      <c r="U11" s="1" t="s">
        <v>283</v>
      </c>
      <c r="V11" s="1" t="s">
        <v>283</v>
      </c>
      <c r="W11" s="1" t="s">
        <v>283</v>
      </c>
      <c r="X11" s="1" t="s">
        <v>283</v>
      </c>
    </row>
    <row r="12" spans="1:28" x14ac:dyDescent="0.2">
      <c r="A12" t="s">
        <v>63</v>
      </c>
      <c r="C12">
        <v>581.77300000000002</v>
      </c>
      <c r="D12">
        <v>596.85500000000002</v>
      </c>
      <c r="E12">
        <v>493.98</v>
      </c>
      <c r="F12">
        <v>475.49599999999998</v>
      </c>
      <c r="G12">
        <v>1033.633</v>
      </c>
      <c r="H12">
        <v>448.02</v>
      </c>
      <c r="I12">
        <v>506.14499999999998</v>
      </c>
      <c r="J12">
        <v>418.22699999999998</v>
      </c>
      <c r="K12">
        <v>568.28499999999997</v>
      </c>
      <c r="L12">
        <v>363.54700000000003</v>
      </c>
      <c r="M12">
        <v>374.31599999999997</v>
      </c>
      <c r="N12">
        <v>775.61300000000006</v>
      </c>
      <c r="O12">
        <v>309.125</v>
      </c>
      <c r="P12">
        <v>385.28100000000001</v>
      </c>
      <c r="Q12">
        <v>382.31599999999997</v>
      </c>
      <c r="R12">
        <v>489.16399999999999</v>
      </c>
      <c r="S12">
        <v>347.33600000000001</v>
      </c>
      <c r="T12">
        <v>330.387</v>
      </c>
      <c r="U12">
        <v>749.04700000000003</v>
      </c>
      <c r="V12">
        <v>866.75</v>
      </c>
      <c r="W12">
        <v>755.27700000000004</v>
      </c>
      <c r="X12">
        <v>815.90200000000004</v>
      </c>
    </row>
    <row r="13" spans="1:28" x14ac:dyDescent="0.2">
      <c r="A13" t="s">
        <v>62</v>
      </c>
      <c r="C13">
        <v>372.93100000000004</v>
      </c>
      <c r="D13">
        <v>388.01300000000003</v>
      </c>
      <c r="E13">
        <v>285.13800000000003</v>
      </c>
      <c r="F13">
        <v>266.654</v>
      </c>
      <c r="G13">
        <v>824.79100000000005</v>
      </c>
      <c r="H13">
        <v>239.17799999999997</v>
      </c>
      <c r="I13">
        <v>297.303</v>
      </c>
      <c r="J13">
        <v>209.38499999999996</v>
      </c>
      <c r="K13">
        <v>359.44299999999998</v>
      </c>
      <c r="L13">
        <v>154.70500000000001</v>
      </c>
      <c r="M13">
        <v>165.47399999999996</v>
      </c>
      <c r="N13">
        <v>566.77100000000007</v>
      </c>
      <c r="O13">
        <v>100.28299999999999</v>
      </c>
      <c r="P13">
        <v>176.43899999999999</v>
      </c>
      <c r="Q13">
        <v>173.47399999999996</v>
      </c>
      <c r="R13">
        <v>280.322</v>
      </c>
      <c r="S13">
        <v>138.494</v>
      </c>
      <c r="T13">
        <v>121.54499999999999</v>
      </c>
      <c r="U13">
        <v>540.20500000000004</v>
      </c>
      <c r="V13">
        <v>657.90800000000002</v>
      </c>
      <c r="W13">
        <v>546.43500000000006</v>
      </c>
      <c r="X13">
        <v>607.06000000000006</v>
      </c>
    </row>
    <row r="14" spans="1:28" x14ac:dyDescent="0.2">
      <c r="A14" t="s">
        <v>61</v>
      </c>
      <c r="C14">
        <v>9.4220000000000006</v>
      </c>
      <c r="D14">
        <v>7.6289999999999996</v>
      </c>
      <c r="E14">
        <v>3.4060000000000001</v>
      </c>
      <c r="F14">
        <v>0.88800000000000001</v>
      </c>
      <c r="G14">
        <v>6.508</v>
      </c>
      <c r="H14">
        <v>3.7749999999999999</v>
      </c>
      <c r="I14">
        <v>3.3340000000000001</v>
      </c>
      <c r="J14">
        <v>3.2320000000000002</v>
      </c>
      <c r="K14">
        <v>2.5299999999999998</v>
      </c>
      <c r="L14">
        <v>2.62</v>
      </c>
      <c r="M14">
        <v>1.7490000000000001</v>
      </c>
      <c r="N14">
        <v>1.2070000000000001</v>
      </c>
      <c r="O14">
        <v>1.5169999999999999</v>
      </c>
      <c r="P14">
        <v>2.1459999999999999</v>
      </c>
      <c r="Q14">
        <v>1.9410000000000001</v>
      </c>
      <c r="R14">
        <v>1.6160000000000001</v>
      </c>
      <c r="S14">
        <v>1.873</v>
      </c>
      <c r="T14">
        <v>2.5179999999999998</v>
      </c>
      <c r="U14">
        <v>3.0590000000000002</v>
      </c>
      <c r="V14">
        <v>3.5350000000000001</v>
      </c>
      <c r="W14">
        <v>3.4830000000000001</v>
      </c>
      <c r="X14">
        <v>2.6989999999999998</v>
      </c>
    </row>
    <row r="15" spans="1:28" x14ac:dyDescent="0.2">
      <c r="A15" t="s">
        <v>60</v>
      </c>
      <c r="C15">
        <v>9.4749186803898233</v>
      </c>
      <c r="D15">
        <v>7.6942602633391601</v>
      </c>
      <c r="E15">
        <v>3.5497656260660366</v>
      </c>
      <c r="F15">
        <v>1.3373645725829588</v>
      </c>
      <c r="G15">
        <v>6.5843803049337906</v>
      </c>
      <c r="H15">
        <v>3.9052048601833937</v>
      </c>
      <c r="I15">
        <v>3.480740725765135</v>
      </c>
      <c r="J15">
        <v>3.3831677463584335</v>
      </c>
      <c r="K15">
        <v>2.7204595200076032</v>
      </c>
      <c r="L15">
        <v>2.8043537579984448</v>
      </c>
      <c r="M15">
        <v>2.0146962550220815</v>
      </c>
      <c r="N15">
        <v>1.5674338901529468</v>
      </c>
      <c r="O15">
        <v>1.8169449633932229</v>
      </c>
      <c r="P15">
        <v>2.3675548568090243</v>
      </c>
      <c r="Q15">
        <v>2.1834562051939579</v>
      </c>
      <c r="R15">
        <v>1.9003831192683227</v>
      </c>
      <c r="S15">
        <v>2.1232355027174918</v>
      </c>
      <c r="T15">
        <v>2.709303231460074</v>
      </c>
      <c r="U15">
        <v>3.2183040564868945</v>
      </c>
      <c r="V15">
        <v>3.673720865825274</v>
      </c>
      <c r="W15">
        <v>3.6237120470589272</v>
      </c>
      <c r="X15">
        <v>2.8782982819714844</v>
      </c>
    </row>
    <row r="16" spans="1:28" x14ac:dyDescent="0.2">
      <c r="A16" t="s">
        <v>59</v>
      </c>
      <c r="G16">
        <v>3.6602431524486096</v>
      </c>
      <c r="H16">
        <v>1.0614199678662271</v>
      </c>
      <c r="I16">
        <v>1.3193660817739632</v>
      </c>
      <c r="J16">
        <v>0.92920511071950584</v>
      </c>
      <c r="K16">
        <v>1.5951298928402291</v>
      </c>
      <c r="L16">
        <v>0.68654715788552756</v>
      </c>
      <c r="M16">
        <v>0.73433763875731062</v>
      </c>
      <c r="N16">
        <v>2.5152064847415296</v>
      </c>
      <c r="O16">
        <v>0.44503415296360394</v>
      </c>
      <c r="P16">
        <v>0.7829979250196476</v>
      </c>
      <c r="Q16">
        <v>0.7698398995962249</v>
      </c>
      <c r="R16">
        <v>1.2440080953607631</v>
      </c>
      <c r="S16">
        <v>0.61460626407807273</v>
      </c>
      <c r="T16">
        <v>0.53939028670822808</v>
      </c>
      <c r="U16">
        <v>2.3973123520607054</v>
      </c>
      <c r="V16">
        <v>2.9196526780010448</v>
      </c>
      <c r="W16">
        <v>2.4249597376890097</v>
      </c>
      <c r="X16">
        <v>2.6940003081089063</v>
      </c>
    </row>
    <row r="18" spans="1:14" s="1" customFormat="1" x14ac:dyDescent="0.2">
      <c r="A18" s="1" t="s">
        <v>432</v>
      </c>
      <c r="C18" s="1">
        <v>1</v>
      </c>
      <c r="D18" s="1">
        <v>1</v>
      </c>
      <c r="E18" s="1">
        <v>1</v>
      </c>
      <c r="F18" s="1">
        <v>1</v>
      </c>
      <c r="G18" s="1" t="s">
        <v>283</v>
      </c>
      <c r="H18" s="1" t="s">
        <v>283</v>
      </c>
      <c r="I18" s="1" t="s">
        <v>283</v>
      </c>
      <c r="J18" s="1" t="s">
        <v>283</v>
      </c>
      <c r="K18" s="1" t="s">
        <v>283</v>
      </c>
      <c r="L18" s="1" t="s">
        <v>283</v>
      </c>
      <c r="M18" s="1" t="s">
        <v>283</v>
      </c>
      <c r="N18" s="1" t="s">
        <v>283</v>
      </c>
    </row>
    <row r="19" spans="1:14" x14ac:dyDescent="0.2">
      <c r="A19" t="s">
        <v>63</v>
      </c>
      <c r="C19">
        <v>501.02699999999999</v>
      </c>
      <c r="D19">
        <v>309.55500000000001</v>
      </c>
      <c r="E19">
        <v>478.46499999999997</v>
      </c>
      <c r="F19">
        <v>425.80500000000001</v>
      </c>
      <c r="G19">
        <v>297.08999999999997</v>
      </c>
      <c r="H19">
        <v>309.10899999999998</v>
      </c>
      <c r="I19">
        <v>885.09400000000005</v>
      </c>
      <c r="J19">
        <v>261.15600000000001</v>
      </c>
      <c r="K19">
        <v>870.98</v>
      </c>
      <c r="L19">
        <v>1335.4880000000001</v>
      </c>
      <c r="M19">
        <v>1402.98</v>
      </c>
      <c r="N19">
        <v>1098.367</v>
      </c>
    </row>
    <row r="20" spans="1:14" x14ac:dyDescent="0.2">
      <c r="A20" t="s">
        <v>62</v>
      </c>
      <c r="C20">
        <v>292.18499999999995</v>
      </c>
      <c r="D20">
        <v>100.71299999999999</v>
      </c>
      <c r="E20">
        <v>269.62299999999993</v>
      </c>
      <c r="F20">
        <v>216.96299999999999</v>
      </c>
      <c r="G20">
        <v>88.247999999999962</v>
      </c>
      <c r="H20">
        <v>100.26699999999997</v>
      </c>
      <c r="I20">
        <v>676.25200000000007</v>
      </c>
      <c r="J20">
        <v>52.313999999999993</v>
      </c>
      <c r="K20">
        <v>662.13800000000003</v>
      </c>
      <c r="L20">
        <v>1126.646</v>
      </c>
      <c r="M20">
        <v>1194.1379999999999</v>
      </c>
      <c r="N20">
        <v>889.52499999999998</v>
      </c>
    </row>
    <row r="21" spans="1:14" x14ac:dyDescent="0.2">
      <c r="A21" t="s">
        <v>61</v>
      </c>
      <c r="C21">
        <v>10.904999999999999</v>
      </c>
      <c r="D21">
        <v>4.133</v>
      </c>
      <c r="E21">
        <v>2.3149999999999999</v>
      </c>
      <c r="F21">
        <v>1.4830000000000001</v>
      </c>
      <c r="G21">
        <v>9.5879999999999992</v>
      </c>
      <c r="H21">
        <v>7.7190000000000003</v>
      </c>
      <c r="I21">
        <v>6.5460000000000003</v>
      </c>
      <c r="J21">
        <v>8.9860000000000007</v>
      </c>
      <c r="K21">
        <v>1.7070000000000001</v>
      </c>
      <c r="L21">
        <v>3.26</v>
      </c>
      <c r="M21">
        <v>3.4969999999999999</v>
      </c>
      <c r="N21">
        <v>2.7170000000000001</v>
      </c>
    </row>
    <row r="22" spans="1:14" x14ac:dyDescent="0.2">
      <c r="A22" t="s">
        <v>60</v>
      </c>
      <c r="C22">
        <v>11.086885270444535</v>
      </c>
      <c r="D22">
        <v>4.5914800446043538</v>
      </c>
      <c r="E22">
        <v>3.059285047196485</v>
      </c>
      <c r="F22">
        <v>2.4898371432686117</v>
      </c>
      <c r="G22">
        <v>9.7943730784568341</v>
      </c>
      <c r="H22">
        <v>7.9738924622796361</v>
      </c>
      <c r="I22">
        <v>6.8447144571559742</v>
      </c>
      <c r="J22">
        <v>9.2058783394090113</v>
      </c>
      <c r="K22">
        <v>2.6294198980003176</v>
      </c>
      <c r="L22">
        <v>3.8246045547219647</v>
      </c>
      <c r="M22">
        <v>4.0285244196852021</v>
      </c>
      <c r="N22">
        <v>3.3737351704009018</v>
      </c>
    </row>
    <row r="23" spans="1:14" x14ac:dyDescent="0.2">
      <c r="A23" t="s">
        <v>59</v>
      </c>
      <c r="G23">
        <v>0.39162543931406224</v>
      </c>
      <c r="H23">
        <v>0.44496314844192597</v>
      </c>
      <c r="I23">
        <v>3.0010593621046753</v>
      </c>
      <c r="J23">
        <v>0.2321581591908696</v>
      </c>
      <c r="K23">
        <v>2.9384244984196206</v>
      </c>
      <c r="L23">
        <v>4.9998100206399148</v>
      </c>
      <c r="M23">
        <v>5.2993248442074137</v>
      </c>
      <c r="N23">
        <v>3.947518571591893</v>
      </c>
    </row>
    <row r="25" spans="1:14" s="1" customFormat="1" x14ac:dyDescent="0.2">
      <c r="A25" s="1" t="s">
        <v>433</v>
      </c>
      <c r="C25" s="1">
        <v>1</v>
      </c>
      <c r="D25" s="1">
        <v>1</v>
      </c>
      <c r="E25" s="1" t="s">
        <v>283</v>
      </c>
      <c r="F25" s="1" t="s">
        <v>283</v>
      </c>
      <c r="G25" s="1" t="s">
        <v>283</v>
      </c>
      <c r="H25" s="1" t="s">
        <v>283</v>
      </c>
      <c r="I25" s="1" t="s">
        <v>283</v>
      </c>
      <c r="J25" s="1" t="s">
        <v>283</v>
      </c>
      <c r="K25" s="1" t="s">
        <v>283</v>
      </c>
      <c r="L25" s="1" t="s">
        <v>283</v>
      </c>
    </row>
    <row r="26" spans="1:14" x14ac:dyDescent="0.2">
      <c r="A26" t="s">
        <v>63</v>
      </c>
      <c r="C26">
        <v>281.38499999999999</v>
      </c>
      <c r="D26">
        <v>390.65600000000001</v>
      </c>
      <c r="E26">
        <v>500.09800000000001</v>
      </c>
      <c r="F26">
        <v>463.21100000000001</v>
      </c>
      <c r="G26">
        <v>292.75799999999998</v>
      </c>
      <c r="H26">
        <v>741.81200000000001</v>
      </c>
      <c r="I26">
        <v>460.32400000000001</v>
      </c>
      <c r="J26">
        <v>688.85199999999998</v>
      </c>
      <c r="K26">
        <v>607.85199999999998</v>
      </c>
      <c r="L26">
        <v>774.85199999999998</v>
      </c>
    </row>
    <row r="27" spans="1:14" x14ac:dyDescent="0.2">
      <c r="A27" t="s">
        <v>62</v>
      </c>
      <c r="C27">
        <v>72.542999999999978</v>
      </c>
      <c r="D27">
        <v>181.81399999999999</v>
      </c>
      <c r="E27">
        <v>291.25599999999997</v>
      </c>
      <c r="F27">
        <v>254.369</v>
      </c>
      <c r="G27">
        <v>83.915999999999968</v>
      </c>
      <c r="H27">
        <v>532.97</v>
      </c>
      <c r="I27">
        <v>251.482</v>
      </c>
      <c r="J27">
        <v>480.01</v>
      </c>
      <c r="K27">
        <v>399.01</v>
      </c>
      <c r="L27">
        <v>566.01</v>
      </c>
    </row>
    <row r="28" spans="1:14" x14ac:dyDescent="0.2">
      <c r="A28" t="s">
        <v>61</v>
      </c>
      <c r="C28">
        <v>8.9979999999999993</v>
      </c>
      <c r="D28">
        <v>9.2899999999999991</v>
      </c>
      <c r="E28">
        <v>10.842000000000001</v>
      </c>
      <c r="F28">
        <v>10.101000000000001</v>
      </c>
      <c r="G28">
        <v>4.0890000000000004</v>
      </c>
      <c r="H28">
        <v>2.3210000000000002</v>
      </c>
      <c r="I28">
        <v>1.6</v>
      </c>
      <c r="J28">
        <v>3.4380000000000002</v>
      </c>
      <c r="K28">
        <v>3.6829999999999998</v>
      </c>
      <c r="L28">
        <v>2.76</v>
      </c>
    </row>
    <row r="29" spans="1:14" x14ac:dyDescent="0.2">
      <c r="A29" t="s">
        <v>60</v>
      </c>
      <c r="C29">
        <v>9.4849356349951055</v>
      </c>
      <c r="D29">
        <v>9.7623818814877339</v>
      </c>
      <c r="E29">
        <v>11.249398383913693</v>
      </c>
      <c r="F29">
        <v>10.537086931405664</v>
      </c>
      <c r="G29">
        <v>5.0714811445967145</v>
      </c>
      <c r="H29">
        <v>3.7930253096967332</v>
      </c>
      <c r="I29">
        <v>3.4</v>
      </c>
      <c r="J29">
        <v>4.5628767241730301</v>
      </c>
      <c r="K29">
        <v>4.7502093638070306</v>
      </c>
      <c r="L29">
        <v>4.0764690603511271</v>
      </c>
    </row>
    <row r="30" spans="1:14" x14ac:dyDescent="0.2">
      <c r="A30" t="s">
        <v>59</v>
      </c>
      <c r="E30">
        <v>1.2925308103623487</v>
      </c>
      <c r="F30">
        <v>1.1288343234167204</v>
      </c>
      <c r="G30">
        <v>0.37240096506979026</v>
      </c>
      <c r="H30">
        <v>2.365204994914512</v>
      </c>
      <c r="I30">
        <v>1.1160224450364773</v>
      </c>
      <c r="J30">
        <v>2.1301800281609</v>
      </c>
      <c r="K30">
        <v>1.7707196371668938</v>
      </c>
      <c r="L30">
        <v>2.5118293321792278</v>
      </c>
    </row>
    <row r="32" spans="1:14" s="1" customFormat="1" x14ac:dyDescent="0.2">
      <c r="A32" s="1" t="s">
        <v>434</v>
      </c>
      <c r="C32" s="1" t="s">
        <v>283</v>
      </c>
      <c r="D32" s="1" t="s">
        <v>283</v>
      </c>
      <c r="E32" s="1" t="s">
        <v>283</v>
      </c>
      <c r="F32" s="1" t="s">
        <v>283</v>
      </c>
    </row>
    <row r="33" spans="1:20" x14ac:dyDescent="0.2">
      <c r="A33" t="s">
        <v>63</v>
      </c>
      <c r="C33">
        <v>285.45299999999997</v>
      </c>
      <c r="D33">
        <v>419.91800000000001</v>
      </c>
      <c r="E33">
        <v>317.94099999999997</v>
      </c>
      <c r="F33">
        <v>314.16000000000003</v>
      </c>
    </row>
    <row r="34" spans="1:20" x14ac:dyDescent="0.2">
      <c r="A34" t="s">
        <v>62</v>
      </c>
      <c r="C34">
        <v>76.610999999999962</v>
      </c>
      <c r="D34">
        <v>211.07599999999999</v>
      </c>
      <c r="E34">
        <v>109.09899999999996</v>
      </c>
      <c r="F34">
        <v>105.31800000000001</v>
      </c>
    </row>
    <row r="35" spans="1:20" x14ac:dyDescent="0.2">
      <c r="A35" t="s">
        <v>61</v>
      </c>
      <c r="C35">
        <v>9.375</v>
      </c>
      <c r="D35">
        <v>10.43</v>
      </c>
      <c r="E35">
        <v>2.31</v>
      </c>
      <c r="F35">
        <v>2.8889999999999998</v>
      </c>
    </row>
    <row r="36" spans="1:20" x14ac:dyDescent="0.2">
      <c r="A36" t="s">
        <v>60</v>
      </c>
      <c r="C36">
        <v>10.192675065948094</v>
      </c>
      <c r="D36">
        <v>11.170716181158664</v>
      </c>
      <c r="E36">
        <v>4.6191016442594117</v>
      </c>
      <c r="F36">
        <v>4.9341991244780541</v>
      </c>
    </row>
    <row r="37" spans="1:20" x14ac:dyDescent="0.2">
      <c r="A37" t="s">
        <v>59</v>
      </c>
      <c r="C37">
        <v>0.3399829631412567</v>
      </c>
      <c r="D37">
        <v>0.93670940110433143</v>
      </c>
      <c r="E37">
        <v>0.48415764440808723</v>
      </c>
      <c r="F37">
        <v>0.46737838837909562</v>
      </c>
    </row>
    <row r="39" spans="1:20" s="1" customFormat="1" x14ac:dyDescent="0.2">
      <c r="A39" s="1" t="s">
        <v>435</v>
      </c>
      <c r="C39" s="1">
        <v>1</v>
      </c>
      <c r="D39" s="1">
        <v>1</v>
      </c>
      <c r="E39" s="1">
        <v>1</v>
      </c>
      <c r="F39" s="1" t="s">
        <v>283</v>
      </c>
      <c r="G39" s="1" t="s">
        <v>283</v>
      </c>
      <c r="H39" s="1" t="s">
        <v>283</v>
      </c>
      <c r="I39" s="1" t="s">
        <v>283</v>
      </c>
      <c r="J39" s="1" t="s">
        <v>283</v>
      </c>
      <c r="K39" s="1" t="s">
        <v>283</v>
      </c>
      <c r="L39" s="1" t="s">
        <v>283</v>
      </c>
      <c r="M39" s="1" t="s">
        <v>283</v>
      </c>
      <c r="N39" s="1" t="s">
        <v>283</v>
      </c>
      <c r="O39" s="1" t="s">
        <v>283</v>
      </c>
      <c r="P39" s="1" t="s">
        <v>283</v>
      </c>
      <c r="Q39" s="1" t="s">
        <v>283</v>
      </c>
      <c r="R39" s="1" t="s">
        <v>283</v>
      </c>
      <c r="S39" s="1" t="s">
        <v>283</v>
      </c>
      <c r="T39" s="1" t="s">
        <v>283</v>
      </c>
    </row>
    <row r="40" spans="1:20" x14ac:dyDescent="0.2">
      <c r="A40" t="s">
        <v>63</v>
      </c>
      <c r="C40">
        <v>355.50799999999998</v>
      </c>
      <c r="D40">
        <v>423.512</v>
      </c>
      <c r="E40">
        <v>342.96100000000001</v>
      </c>
      <c r="F40">
        <v>527.48</v>
      </c>
      <c r="G40">
        <v>1086.617</v>
      </c>
      <c r="H40">
        <v>1755.0550000000001</v>
      </c>
      <c r="I40">
        <v>1556.1369999999999</v>
      </c>
      <c r="J40">
        <v>1137.2460000000001</v>
      </c>
      <c r="K40">
        <v>342.43799999999999</v>
      </c>
      <c r="L40">
        <v>784.49599999999998</v>
      </c>
      <c r="M40">
        <v>1055.8320000000001</v>
      </c>
      <c r="N40">
        <v>572.38699999999994</v>
      </c>
      <c r="O40">
        <v>739.82</v>
      </c>
      <c r="P40">
        <v>1354.0740000000001</v>
      </c>
      <c r="Q40">
        <v>1693.7850000000001</v>
      </c>
      <c r="R40">
        <v>734.54300000000001</v>
      </c>
      <c r="S40">
        <v>513.66</v>
      </c>
      <c r="T40">
        <v>364.34399999999999</v>
      </c>
    </row>
    <row r="41" spans="1:20" x14ac:dyDescent="0.2">
      <c r="A41" t="s">
        <v>62</v>
      </c>
      <c r="C41">
        <v>146.66599999999997</v>
      </c>
      <c r="D41">
        <v>214.67</v>
      </c>
      <c r="E41">
        <v>134.119</v>
      </c>
      <c r="F41">
        <v>318.63800000000003</v>
      </c>
      <c r="G41">
        <v>877.77499999999998</v>
      </c>
      <c r="H41">
        <v>1546.213</v>
      </c>
      <c r="I41">
        <v>1347.2949999999998</v>
      </c>
      <c r="J41">
        <v>928.40400000000011</v>
      </c>
      <c r="K41">
        <v>133.59599999999998</v>
      </c>
      <c r="L41">
        <v>575.654</v>
      </c>
      <c r="M41">
        <v>846.99000000000012</v>
      </c>
      <c r="N41">
        <v>363.54499999999996</v>
      </c>
      <c r="O41">
        <v>530.97800000000007</v>
      </c>
      <c r="P41">
        <v>1145.232</v>
      </c>
      <c r="Q41">
        <v>1484.943</v>
      </c>
      <c r="R41">
        <v>525.70100000000002</v>
      </c>
      <c r="S41">
        <v>304.81799999999998</v>
      </c>
      <c r="T41">
        <v>155.50199999999998</v>
      </c>
    </row>
    <row r="42" spans="1:20" x14ac:dyDescent="0.2">
      <c r="A42" t="s">
        <v>61</v>
      </c>
      <c r="C42">
        <v>3.2280000000000002</v>
      </c>
      <c r="D42">
        <v>2.6779999999999999</v>
      </c>
      <c r="E42">
        <v>1.5669999999999999</v>
      </c>
      <c r="F42">
        <v>4.0389999999999997</v>
      </c>
      <c r="G42">
        <v>3.32</v>
      </c>
      <c r="H42">
        <v>3.2919999999999998</v>
      </c>
      <c r="I42">
        <v>2.4900000000000002</v>
      </c>
      <c r="J42">
        <v>3.2879999999999998</v>
      </c>
      <c r="K42">
        <v>2.4950000000000001</v>
      </c>
      <c r="L42">
        <v>0.46</v>
      </c>
      <c r="M42">
        <v>0.13800000000000001</v>
      </c>
      <c r="N42">
        <v>0.64600000000000002</v>
      </c>
      <c r="O42">
        <v>1.6379999999999999</v>
      </c>
      <c r="P42">
        <v>1.7090000000000001</v>
      </c>
      <c r="Q42">
        <v>2.4</v>
      </c>
      <c r="R42">
        <v>1.704</v>
      </c>
      <c r="S42">
        <v>2.5830000000000002</v>
      </c>
      <c r="T42">
        <v>3.1779999999999999</v>
      </c>
    </row>
    <row r="43" spans="1:20" x14ac:dyDescent="0.2">
      <c r="A43" t="s">
        <v>60</v>
      </c>
      <c r="C43">
        <v>3.3793466824225065</v>
      </c>
      <c r="D43">
        <v>2.8586157489246431</v>
      </c>
      <c r="E43">
        <v>1.8588945639815078</v>
      </c>
      <c r="F43">
        <v>4.1609519343534833</v>
      </c>
      <c r="G43">
        <v>3.4673332692430936</v>
      </c>
      <c r="H43">
        <v>3.4405325169223442</v>
      </c>
      <c r="I43">
        <v>2.6833002068348595</v>
      </c>
      <c r="J43">
        <v>3.4367053990704526</v>
      </c>
      <c r="K43">
        <v>2.6879406615474233</v>
      </c>
      <c r="L43">
        <v>1.1007270324653611</v>
      </c>
      <c r="M43">
        <v>1.0094770923601981</v>
      </c>
      <c r="N43">
        <v>1.1905108147345826</v>
      </c>
      <c r="O43">
        <v>1.9191258426690001</v>
      </c>
      <c r="P43">
        <v>1.9800709583244738</v>
      </c>
      <c r="Q43">
        <v>2.6</v>
      </c>
      <c r="R43">
        <v>1.9757570700873122</v>
      </c>
      <c r="S43">
        <v>2.769817503013511</v>
      </c>
      <c r="T43">
        <v>3.3316188257362214</v>
      </c>
    </row>
    <row r="44" spans="1:20" x14ac:dyDescent="0.2">
      <c r="A44" t="s">
        <v>59</v>
      </c>
      <c r="F44">
        <v>1.4140461736487426</v>
      </c>
      <c r="G44">
        <v>3.8953746259847377</v>
      </c>
      <c r="H44">
        <v>6.8617571548150034</v>
      </c>
      <c r="I44">
        <v>5.9790023146206108</v>
      </c>
      <c r="J44">
        <v>4.1200551214864118</v>
      </c>
      <c r="K44">
        <v>0.59287000487944741</v>
      </c>
      <c r="L44">
        <v>2.5546273076205388</v>
      </c>
      <c r="M44">
        <v>3.7587574884939916</v>
      </c>
      <c r="N44">
        <v>1.6133336770853823</v>
      </c>
      <c r="O44">
        <v>2.3563649319656226</v>
      </c>
      <c r="P44">
        <v>5.0822906481339221</v>
      </c>
      <c r="Q44">
        <v>6.5898542146149692</v>
      </c>
      <c r="R44">
        <v>2.3329467531597539</v>
      </c>
      <c r="S44">
        <v>1.3527160180495181</v>
      </c>
      <c r="T44">
        <v>0.69008407062160426</v>
      </c>
    </row>
    <row r="46" spans="1:20" s="1" customFormat="1" x14ac:dyDescent="0.2">
      <c r="A46" s="1" t="s">
        <v>436</v>
      </c>
      <c r="C46" s="1" t="s">
        <v>283</v>
      </c>
      <c r="D46" s="1" t="s">
        <v>283</v>
      </c>
      <c r="E46" s="1" t="s">
        <v>283</v>
      </c>
      <c r="F46" s="1" t="s">
        <v>283</v>
      </c>
      <c r="G46" s="1" t="s">
        <v>283</v>
      </c>
      <c r="H46" s="1" t="s">
        <v>283</v>
      </c>
      <c r="I46" s="1" t="s">
        <v>283</v>
      </c>
      <c r="J46" s="1" t="s">
        <v>283</v>
      </c>
      <c r="K46" s="1" t="s">
        <v>283</v>
      </c>
    </row>
    <row r="47" spans="1:20" x14ac:dyDescent="0.2">
      <c r="A47" t="s">
        <v>63</v>
      </c>
      <c r="C47">
        <v>273.03899999999999</v>
      </c>
      <c r="D47">
        <v>353.29700000000003</v>
      </c>
      <c r="E47">
        <v>713.32399999999996</v>
      </c>
      <c r="F47">
        <v>544.23299999999995</v>
      </c>
      <c r="G47">
        <v>469.42599999999999</v>
      </c>
      <c r="H47">
        <v>788.02700000000004</v>
      </c>
      <c r="I47">
        <v>360.46499999999997</v>
      </c>
      <c r="J47">
        <v>538.55899999999997</v>
      </c>
      <c r="K47">
        <v>731.43</v>
      </c>
    </row>
    <row r="48" spans="1:20" x14ac:dyDescent="0.2">
      <c r="A48" t="s">
        <v>62</v>
      </c>
      <c r="C48">
        <v>64.196999999999974</v>
      </c>
      <c r="D48">
        <v>144.45500000000001</v>
      </c>
      <c r="E48">
        <v>504.48199999999997</v>
      </c>
      <c r="F48">
        <v>335.39099999999996</v>
      </c>
      <c r="G48">
        <v>260.58399999999995</v>
      </c>
      <c r="H48">
        <v>579.18500000000006</v>
      </c>
      <c r="I48">
        <v>151.62299999999996</v>
      </c>
      <c r="J48">
        <v>329.71699999999998</v>
      </c>
      <c r="K48">
        <v>522.58799999999997</v>
      </c>
    </row>
    <row r="49" spans="1:11" x14ac:dyDescent="0.2">
      <c r="A49" t="s">
        <v>61</v>
      </c>
      <c r="C49">
        <v>3.3119999999999998</v>
      </c>
      <c r="D49">
        <v>3.3180000000000001</v>
      </c>
      <c r="E49">
        <v>3.03</v>
      </c>
      <c r="F49">
        <v>2.14</v>
      </c>
      <c r="G49">
        <v>0.92100000000000004</v>
      </c>
      <c r="H49">
        <v>0.14499999999999999</v>
      </c>
      <c r="I49">
        <v>1.7749999999999999</v>
      </c>
      <c r="J49">
        <v>1.77</v>
      </c>
      <c r="K49">
        <v>2.6619999999999999</v>
      </c>
    </row>
    <row r="50" spans="1:11" x14ac:dyDescent="0.2">
      <c r="A50" t="s">
        <v>60</v>
      </c>
      <c r="C50">
        <v>3.8690236494495611</v>
      </c>
      <c r="D50">
        <v>3.874161070477065</v>
      </c>
      <c r="E50">
        <v>3.630550922380789</v>
      </c>
      <c r="F50">
        <v>2.9290954235053523</v>
      </c>
      <c r="G50">
        <v>2.2018721579601301</v>
      </c>
      <c r="H50">
        <v>2.0052493610521362</v>
      </c>
      <c r="I50">
        <v>2.6740652572441084</v>
      </c>
      <c r="J50">
        <v>2.670748958625651</v>
      </c>
      <c r="K50">
        <v>3.3296011773183887</v>
      </c>
    </row>
    <row r="51" spans="1:11" x14ac:dyDescent="0.2">
      <c r="A51" t="s">
        <v>59</v>
      </c>
      <c r="C51">
        <v>0.28489232988447166</v>
      </c>
      <c r="D51">
        <v>0.64105988618566878</v>
      </c>
      <c r="E51">
        <v>2.2387814440671385</v>
      </c>
      <c r="F51">
        <v>1.4883923456280335</v>
      </c>
      <c r="G51">
        <v>1.1564151423059517</v>
      </c>
      <c r="H51">
        <v>2.5702971179983147</v>
      </c>
      <c r="I51">
        <v>0.67286991189733558</v>
      </c>
      <c r="J51">
        <v>1.4632123671280337</v>
      </c>
      <c r="K51">
        <v>2.3191319359108111</v>
      </c>
    </row>
    <row r="53" spans="1:11" s="1" customFormat="1" x14ac:dyDescent="0.2">
      <c r="A53" s="1" t="s">
        <v>437</v>
      </c>
      <c r="C53" s="1">
        <v>1</v>
      </c>
      <c r="D53" s="1" t="s">
        <v>283</v>
      </c>
      <c r="E53" s="1" t="s">
        <v>283</v>
      </c>
      <c r="F53" s="1" t="s">
        <v>283</v>
      </c>
    </row>
    <row r="54" spans="1:11" x14ac:dyDescent="0.2">
      <c r="A54" t="s">
        <v>63</v>
      </c>
      <c r="C54">
        <v>522.22299999999996</v>
      </c>
      <c r="D54">
        <v>344.113</v>
      </c>
      <c r="E54">
        <v>311.15199999999999</v>
      </c>
      <c r="F54">
        <v>329.04700000000003</v>
      </c>
    </row>
    <row r="55" spans="1:11" x14ac:dyDescent="0.2">
      <c r="A55" t="s">
        <v>62</v>
      </c>
      <c r="C55">
        <v>313.38099999999997</v>
      </c>
      <c r="D55">
        <v>135.27099999999999</v>
      </c>
      <c r="E55">
        <v>102.30999999999997</v>
      </c>
      <c r="F55">
        <v>120.20500000000001</v>
      </c>
    </row>
    <row r="56" spans="1:11" x14ac:dyDescent="0.2">
      <c r="A56" t="s">
        <v>61</v>
      </c>
      <c r="C56">
        <v>5.2229999999999999</v>
      </c>
      <c r="D56">
        <v>2.5169999999999999</v>
      </c>
      <c r="E56">
        <v>0</v>
      </c>
      <c r="F56">
        <v>2.5179999999999998</v>
      </c>
    </row>
    <row r="57" spans="1:11" x14ac:dyDescent="0.2">
      <c r="A57" t="s">
        <v>60</v>
      </c>
      <c r="C57">
        <v>6.0232656424899611</v>
      </c>
      <c r="D57">
        <v>3.9160297496316341</v>
      </c>
      <c r="E57">
        <v>3</v>
      </c>
      <c r="F57">
        <v>3.9166725673714415</v>
      </c>
    </row>
    <row r="58" spans="1:11" x14ac:dyDescent="0.2">
      <c r="A58" t="s">
        <v>59</v>
      </c>
      <c r="D58">
        <v>0.60030329074259514</v>
      </c>
      <c r="E58">
        <v>0.45402953830366372</v>
      </c>
      <c r="F58">
        <v>0.5334436580177101</v>
      </c>
    </row>
    <row r="60" spans="1:11" s="1" customFormat="1" x14ac:dyDescent="0.2">
      <c r="A60" s="1" t="s">
        <v>438</v>
      </c>
      <c r="C60" s="1">
        <v>1</v>
      </c>
    </row>
    <row r="61" spans="1:11" x14ac:dyDescent="0.2">
      <c r="A61" t="s">
        <v>63</v>
      </c>
      <c r="C61">
        <v>601.17999999999995</v>
      </c>
    </row>
    <row r="62" spans="1:11" x14ac:dyDescent="0.2">
      <c r="A62" t="s">
        <v>62</v>
      </c>
      <c r="C62">
        <v>392.33799999999997</v>
      </c>
    </row>
    <row r="63" spans="1:11" x14ac:dyDescent="0.2">
      <c r="A63" t="s">
        <v>61</v>
      </c>
      <c r="C63">
        <v>5.2670000000000003</v>
      </c>
    </row>
    <row r="64" spans="1:11" x14ac:dyDescent="0.2">
      <c r="A64" t="s">
        <v>60</v>
      </c>
      <c r="C64">
        <v>6.6137197551756008</v>
      </c>
    </row>
    <row r="65" spans="1:3" x14ac:dyDescent="0.2">
      <c r="A65" t="s">
        <v>59</v>
      </c>
      <c r="C65">
        <v>1.7411107516272393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218C-9850-8B4E-ABDC-A94C437F1A95}">
  <dimension ref="A1:AM34"/>
  <sheetViews>
    <sheetView workbookViewId="0">
      <selection activeCell="J42" sqref="J42"/>
    </sheetView>
  </sheetViews>
  <sheetFormatPr baseColWidth="10" defaultRowHeight="15" x14ac:dyDescent="0.2"/>
  <cols>
    <col min="1" max="1" width="25.6640625" customWidth="1"/>
    <col min="2" max="2" width="21.5" customWidth="1"/>
  </cols>
  <sheetData>
    <row r="1" spans="1:39" s="1" customFormat="1" x14ac:dyDescent="0.2">
      <c r="A1" s="1" t="s">
        <v>444</v>
      </c>
      <c r="B1" s="1" t="s">
        <v>70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  <c r="N1" s="1" t="s">
        <v>283</v>
      </c>
      <c r="O1" s="1" t="s">
        <v>283</v>
      </c>
      <c r="P1" s="1" t="s">
        <v>283</v>
      </c>
      <c r="Q1" s="1" t="s">
        <v>283</v>
      </c>
      <c r="R1" s="1" t="s">
        <v>283</v>
      </c>
      <c r="S1" s="1" t="s">
        <v>283</v>
      </c>
      <c r="T1" s="1" t="s">
        <v>283</v>
      </c>
      <c r="U1" s="1" t="s">
        <v>283</v>
      </c>
      <c r="V1" s="1" t="s">
        <v>283</v>
      </c>
      <c r="W1" s="1" t="s">
        <v>283</v>
      </c>
      <c r="X1" s="1" t="s">
        <v>283</v>
      </c>
      <c r="Y1" s="1" t="s">
        <v>283</v>
      </c>
      <c r="Z1" s="1" t="s">
        <v>283</v>
      </c>
      <c r="AA1" s="1" t="s">
        <v>283</v>
      </c>
      <c r="AB1" s="1" t="s">
        <v>283</v>
      </c>
      <c r="AC1" s="1" t="s">
        <v>283</v>
      </c>
      <c r="AD1" s="1" t="s">
        <v>283</v>
      </c>
      <c r="AE1" s="1" t="s">
        <v>283</v>
      </c>
      <c r="AF1" s="1" t="s">
        <v>283</v>
      </c>
      <c r="AG1" s="1" t="s">
        <v>283</v>
      </c>
      <c r="AH1" s="1" t="s">
        <v>283</v>
      </c>
      <c r="AI1" s="1" t="s">
        <v>283</v>
      </c>
      <c r="AJ1" s="1" t="s">
        <v>283</v>
      </c>
      <c r="AK1" s="1" t="s">
        <v>283</v>
      </c>
      <c r="AL1" s="1" t="s">
        <v>283</v>
      </c>
      <c r="AM1" s="1" t="s">
        <v>283</v>
      </c>
    </row>
    <row r="2" spans="1:39" x14ac:dyDescent="0.2">
      <c r="A2" t="s">
        <v>63</v>
      </c>
      <c r="B2">
        <v>210.065</v>
      </c>
      <c r="C2">
        <v>258.69099999999997</v>
      </c>
      <c r="D2">
        <v>232.02</v>
      </c>
      <c r="E2">
        <v>231.44900000000001</v>
      </c>
      <c r="F2">
        <v>236.46899999999999</v>
      </c>
      <c r="G2">
        <v>227.977</v>
      </c>
      <c r="H2">
        <v>228.14500000000001</v>
      </c>
      <c r="I2">
        <v>215.64500000000001</v>
      </c>
      <c r="J2">
        <v>233.72300000000001</v>
      </c>
      <c r="K2">
        <v>225.285</v>
      </c>
      <c r="L2">
        <v>252.16</v>
      </c>
      <c r="M2">
        <v>260.23399999999998</v>
      </c>
      <c r="N2">
        <v>264.66399999999999</v>
      </c>
      <c r="O2">
        <v>249.13300000000001</v>
      </c>
      <c r="P2">
        <v>242.00800000000001</v>
      </c>
      <c r="Q2">
        <v>233.30099999999999</v>
      </c>
      <c r="R2">
        <v>239.51599999999999</v>
      </c>
      <c r="S2">
        <v>319.64499999999998</v>
      </c>
      <c r="T2">
        <v>229.523</v>
      </c>
      <c r="U2">
        <v>402.88299999999998</v>
      </c>
      <c r="V2">
        <v>427.88299999999998</v>
      </c>
      <c r="W2">
        <v>244.52699999999999</v>
      </c>
      <c r="X2">
        <v>341.125</v>
      </c>
      <c r="Y2">
        <v>338.69900000000001</v>
      </c>
      <c r="Z2">
        <v>370.32</v>
      </c>
      <c r="AA2">
        <v>317.67200000000003</v>
      </c>
      <c r="AB2">
        <v>236.92599999999999</v>
      </c>
      <c r="AC2">
        <v>248.08600000000001</v>
      </c>
      <c r="AD2">
        <v>266.16399999999999</v>
      </c>
      <c r="AE2">
        <v>275.39100000000002</v>
      </c>
      <c r="AF2">
        <v>336.99200000000002</v>
      </c>
      <c r="AG2">
        <v>275.17599999999999</v>
      </c>
      <c r="AH2">
        <v>366.12900000000002</v>
      </c>
      <c r="AI2">
        <v>279.91800000000001</v>
      </c>
      <c r="AJ2">
        <v>259.62099999999998</v>
      </c>
      <c r="AK2">
        <v>386.13299999999998</v>
      </c>
      <c r="AL2">
        <v>407.09399999999999</v>
      </c>
      <c r="AM2">
        <v>346.82799999999997</v>
      </c>
    </row>
    <row r="3" spans="1:39" x14ac:dyDescent="0.2">
      <c r="A3" t="s">
        <v>62</v>
      </c>
      <c r="C3">
        <v>48.625999999999976</v>
      </c>
      <c r="D3">
        <v>21.955000000000013</v>
      </c>
      <c r="E3">
        <v>21.384000000000015</v>
      </c>
      <c r="F3">
        <v>26.403999999999996</v>
      </c>
      <c r="G3">
        <v>17.912000000000006</v>
      </c>
      <c r="H3">
        <v>18.080000000000013</v>
      </c>
      <c r="I3">
        <v>5.5800000000000125</v>
      </c>
      <c r="J3">
        <v>23.658000000000015</v>
      </c>
      <c r="K3">
        <v>15.219999999999999</v>
      </c>
      <c r="L3">
        <v>42.094999999999999</v>
      </c>
      <c r="M3">
        <v>50.168999999999983</v>
      </c>
      <c r="N3">
        <v>54.59899999999999</v>
      </c>
      <c r="O3">
        <v>39.068000000000012</v>
      </c>
      <c r="P3">
        <v>31.943000000000012</v>
      </c>
      <c r="Q3">
        <v>23.23599999999999</v>
      </c>
      <c r="R3">
        <v>29.450999999999993</v>
      </c>
      <c r="S3">
        <v>109.57999999999998</v>
      </c>
      <c r="T3">
        <v>19.457999999999998</v>
      </c>
      <c r="U3">
        <v>192.81799999999998</v>
      </c>
      <c r="V3">
        <v>217.81799999999998</v>
      </c>
      <c r="W3">
        <v>34.461999999999989</v>
      </c>
      <c r="X3">
        <v>131.06</v>
      </c>
      <c r="Y3">
        <v>128.63400000000001</v>
      </c>
      <c r="Z3">
        <v>160.255</v>
      </c>
      <c r="AA3">
        <v>107.60700000000003</v>
      </c>
      <c r="AB3">
        <v>26.86099999999999</v>
      </c>
      <c r="AC3">
        <v>38.021000000000015</v>
      </c>
      <c r="AD3">
        <v>56.09899999999999</v>
      </c>
      <c r="AE3">
        <v>65.326000000000022</v>
      </c>
      <c r="AF3">
        <v>126.92700000000002</v>
      </c>
      <c r="AG3">
        <v>65.11099999999999</v>
      </c>
      <c r="AH3">
        <v>156.06400000000002</v>
      </c>
      <c r="AI3">
        <v>69.853000000000009</v>
      </c>
      <c r="AJ3">
        <v>49.555999999999983</v>
      </c>
      <c r="AK3">
        <v>176.06799999999998</v>
      </c>
      <c r="AL3">
        <v>197.029</v>
      </c>
      <c r="AM3">
        <v>136.76299999999998</v>
      </c>
    </row>
    <row r="4" spans="1:39" x14ac:dyDescent="0.2">
      <c r="A4" t="s">
        <v>61</v>
      </c>
      <c r="C4">
        <v>3.169</v>
      </c>
      <c r="D4">
        <v>2.3639999999999999</v>
      </c>
      <c r="E4">
        <v>1.976</v>
      </c>
      <c r="F4">
        <v>2.016</v>
      </c>
      <c r="G4">
        <v>6.3280000000000003</v>
      </c>
      <c r="H4">
        <v>6.5789999999999997</v>
      </c>
      <c r="I4">
        <v>4.2409999999999997</v>
      </c>
      <c r="J4">
        <v>0</v>
      </c>
      <c r="K4">
        <v>0.57599999999999996</v>
      </c>
      <c r="L4">
        <v>2.1949999999999998</v>
      </c>
      <c r="M4">
        <v>2.72</v>
      </c>
      <c r="N4">
        <v>1.913</v>
      </c>
      <c r="O4">
        <v>2.0539999999999998</v>
      </c>
      <c r="P4">
        <v>2.9049999999999998</v>
      </c>
      <c r="Q4">
        <v>3.3959999999999999</v>
      </c>
      <c r="R4">
        <v>2.59</v>
      </c>
      <c r="S4">
        <v>2.8660000000000001</v>
      </c>
      <c r="T4">
        <v>3.4119999999999999</v>
      </c>
      <c r="U4">
        <v>2.8580000000000001</v>
      </c>
      <c r="V4">
        <v>3.5009999999999999</v>
      </c>
      <c r="W4">
        <v>2.7360000000000002</v>
      </c>
      <c r="X4">
        <v>1.8149999999999999</v>
      </c>
      <c r="Y4">
        <v>1.2390000000000001</v>
      </c>
      <c r="Z4">
        <v>1.6659999999999999</v>
      </c>
      <c r="AA4">
        <v>2.3570000000000002</v>
      </c>
      <c r="AB4">
        <v>3.3159999999999998</v>
      </c>
      <c r="AC4">
        <v>2.5339999999999998</v>
      </c>
      <c r="AD4">
        <v>2.8820000000000001</v>
      </c>
      <c r="AE4">
        <v>4.218</v>
      </c>
      <c r="AF4">
        <v>3.7330000000000001</v>
      </c>
      <c r="AG4">
        <v>3.8559999999999999</v>
      </c>
      <c r="AH4">
        <v>2.7360000000000002</v>
      </c>
      <c r="AI4">
        <v>2.798</v>
      </c>
      <c r="AJ4">
        <v>5.6289999999999996</v>
      </c>
      <c r="AK4">
        <v>4.8099999999999996</v>
      </c>
      <c r="AL4">
        <v>3.798</v>
      </c>
      <c r="AM4">
        <v>3.7749999999999999</v>
      </c>
    </row>
    <row r="5" spans="1:39" x14ac:dyDescent="0.2">
      <c r="A5" t="s">
        <v>60</v>
      </c>
      <c r="C5">
        <v>3.169</v>
      </c>
      <c r="D5">
        <v>2.3639999999999999</v>
      </c>
      <c r="E5">
        <v>1.976</v>
      </c>
      <c r="F5">
        <v>2.016</v>
      </c>
      <c r="G5">
        <v>6.3280000000000003</v>
      </c>
      <c r="H5">
        <v>6.5789999999999997</v>
      </c>
      <c r="I5">
        <v>4.2409999999999997</v>
      </c>
      <c r="J5">
        <v>0</v>
      </c>
      <c r="K5">
        <v>0.57599999999999996</v>
      </c>
      <c r="L5">
        <v>2.1949999999999998</v>
      </c>
      <c r="M5">
        <v>2.72</v>
      </c>
      <c r="N5">
        <v>1.913</v>
      </c>
      <c r="O5">
        <v>2.0539999999999998</v>
      </c>
      <c r="P5">
        <v>2.9049999999999998</v>
      </c>
      <c r="Q5">
        <v>3.3959999999999999</v>
      </c>
      <c r="R5">
        <v>2.59</v>
      </c>
      <c r="S5">
        <v>2.8660000000000001</v>
      </c>
      <c r="T5">
        <v>3.4119999999999999</v>
      </c>
      <c r="U5">
        <v>2.8580000000000001</v>
      </c>
      <c r="V5">
        <v>3.5009999999999999</v>
      </c>
      <c r="W5">
        <v>2.7360000000000002</v>
      </c>
      <c r="X5">
        <v>1.8149999999999999</v>
      </c>
      <c r="Y5">
        <v>1.2390000000000001</v>
      </c>
      <c r="Z5">
        <v>1.6659999999999999</v>
      </c>
      <c r="AA5">
        <v>2.3570000000000002</v>
      </c>
      <c r="AB5">
        <v>3.3159999999999998</v>
      </c>
      <c r="AC5">
        <v>2.5339999999999998</v>
      </c>
      <c r="AD5">
        <v>2.8820000000000001</v>
      </c>
      <c r="AE5">
        <v>4.218</v>
      </c>
      <c r="AF5">
        <v>3.7330000000000001</v>
      </c>
      <c r="AG5">
        <v>3.8559999999999999</v>
      </c>
      <c r="AH5">
        <v>2.7360000000000002</v>
      </c>
      <c r="AI5">
        <v>2.798</v>
      </c>
      <c r="AJ5">
        <v>5.6289999999999996</v>
      </c>
      <c r="AK5">
        <v>4.8099999999999996</v>
      </c>
      <c r="AL5">
        <v>3.798</v>
      </c>
      <c r="AM5">
        <v>3.7749999999999999</v>
      </c>
    </row>
    <row r="6" spans="1:39" x14ac:dyDescent="0.2">
      <c r="A6" t="s">
        <v>376</v>
      </c>
      <c r="I6">
        <v>10.051906804768789</v>
      </c>
      <c r="J6">
        <v>0</v>
      </c>
      <c r="K6">
        <v>1.365220070631177</v>
      </c>
      <c r="L6">
        <v>5.2025313455476274</v>
      </c>
      <c r="M6">
        <v>6.4468725557583371</v>
      </c>
      <c r="N6">
        <v>4.534142352634448</v>
      </c>
      <c r="O6">
        <v>4.8683368490910377</v>
      </c>
      <c r="P6">
        <v>6.8853546964992534</v>
      </c>
      <c r="Q6">
        <v>8.0491099997629831</v>
      </c>
      <c r="R6">
        <v>6.1387499703728272</v>
      </c>
      <c r="S6">
        <v>6.7929179208836015</v>
      </c>
      <c r="T6">
        <v>8.0870327795027368</v>
      </c>
      <c r="U6">
        <v>6.7739565310137237</v>
      </c>
      <c r="V6">
        <v>8.297978241805124</v>
      </c>
      <c r="W6">
        <v>6.4847953354980916</v>
      </c>
      <c r="X6">
        <v>4.301865326728449</v>
      </c>
      <c r="Y6">
        <v>2.9366452560972722</v>
      </c>
      <c r="Z6">
        <v>3.9487094404019811</v>
      </c>
      <c r="AA6">
        <v>5.5864994904126473</v>
      </c>
      <c r="AB6">
        <v>7.8594961010642077</v>
      </c>
      <c r="AC6">
        <v>6.0060202412836858</v>
      </c>
      <c r="AD6">
        <v>6.830840700623356</v>
      </c>
      <c r="AE6">
        <v>9.9973928088928901</v>
      </c>
      <c r="AF6">
        <v>8.8478585480315708</v>
      </c>
      <c r="AG6">
        <v>9.139389917280937</v>
      </c>
      <c r="AH6">
        <v>6.4847953354980916</v>
      </c>
      <c r="AI6">
        <v>6.6317461069896417</v>
      </c>
      <c r="AJ6">
        <v>13.341707947192527</v>
      </c>
      <c r="AK6">
        <v>11.400535659263822</v>
      </c>
      <c r="AL6">
        <v>9.0019198407243248</v>
      </c>
      <c r="AM6">
        <v>8.9474058448484275</v>
      </c>
    </row>
    <row r="7" spans="1:39" x14ac:dyDescent="0.2">
      <c r="A7" t="s">
        <v>59</v>
      </c>
      <c r="I7">
        <v>0.2197314393519037</v>
      </c>
      <c r="J7">
        <v>0.93161404877909137</v>
      </c>
      <c r="K7">
        <v>0.59933915894909795</v>
      </c>
      <c r="L7">
        <v>1.6576335017058001</v>
      </c>
      <c r="M7">
        <v>1.9755746560655247</v>
      </c>
      <c r="N7">
        <v>2.1500209421459786</v>
      </c>
      <c r="O7">
        <v>1.5384351026165157</v>
      </c>
      <c r="P7">
        <v>1.2578640443042737</v>
      </c>
      <c r="Q7">
        <v>0.91499636644817572</v>
      </c>
      <c r="R7">
        <v>1.159733086084749</v>
      </c>
      <c r="S7">
        <v>4.315084430856909</v>
      </c>
      <c r="T7">
        <v>0.76622479335292693</v>
      </c>
      <c r="U7">
        <v>7.5928632030385792</v>
      </c>
      <c r="V7">
        <v>8.5773230567657439</v>
      </c>
      <c r="W7">
        <v>1.3570582191658218</v>
      </c>
      <c r="X7">
        <v>5.1609323371792897</v>
      </c>
      <c r="Y7">
        <v>5.0654003529736062</v>
      </c>
      <c r="Z7">
        <v>6.3105845543618724</v>
      </c>
      <c r="AA7">
        <v>4.2373908592007625</v>
      </c>
      <c r="AB7">
        <v>1.0577430452386147</v>
      </c>
      <c r="AC7">
        <v>1.497205923942422</v>
      </c>
      <c r="AD7">
        <v>2.2090885333696084</v>
      </c>
      <c r="AE7">
        <v>2.5724329761832321</v>
      </c>
      <c r="AF7">
        <v>4.9981814341611157</v>
      </c>
      <c r="AG7">
        <v>2.5639666214411769</v>
      </c>
      <c r="AH7">
        <v>6.1455497044830514</v>
      </c>
      <c r="AI7">
        <v>2.7506989664961465</v>
      </c>
      <c r="AJ7">
        <v>1.9514357004521348</v>
      </c>
      <c r="AK7">
        <v>6.933275101041378</v>
      </c>
      <c r="AL7">
        <v>7.7586856208003834</v>
      </c>
      <c r="AM7">
        <v>5.3855073190115297</v>
      </c>
    </row>
    <row r="9" spans="1:39" s="1" customFormat="1" x14ac:dyDescent="0.2">
      <c r="A9" s="1" t="s">
        <v>445</v>
      </c>
      <c r="C9" s="1">
        <v>1</v>
      </c>
      <c r="D9" s="1">
        <v>1</v>
      </c>
      <c r="E9" s="1" t="s">
        <v>283</v>
      </c>
      <c r="F9" s="1" t="s">
        <v>283</v>
      </c>
      <c r="G9" s="1" t="s">
        <v>283</v>
      </c>
      <c r="H9" s="1" t="s">
        <v>283</v>
      </c>
      <c r="I9" s="1" t="s">
        <v>283</v>
      </c>
      <c r="J9" s="1" t="s">
        <v>283</v>
      </c>
      <c r="K9" s="1" t="s">
        <v>283</v>
      </c>
      <c r="L9" s="1" t="s">
        <v>283</v>
      </c>
      <c r="M9" s="1" t="s">
        <v>283</v>
      </c>
      <c r="N9" s="1" t="s">
        <v>283</v>
      </c>
      <c r="O9" s="1" t="s">
        <v>283</v>
      </c>
      <c r="P9" s="1" t="s">
        <v>283</v>
      </c>
      <c r="Q9" s="1" t="s">
        <v>283</v>
      </c>
      <c r="R9" s="1" t="s">
        <v>283</v>
      </c>
      <c r="S9" s="1" t="s">
        <v>283</v>
      </c>
      <c r="T9" s="1" t="s">
        <v>283</v>
      </c>
      <c r="U9" s="1" t="s">
        <v>283</v>
      </c>
      <c r="V9" s="1" t="s">
        <v>283</v>
      </c>
    </row>
    <row r="10" spans="1:39" x14ac:dyDescent="0.2">
      <c r="A10" t="s">
        <v>63</v>
      </c>
      <c r="C10">
        <v>247.08199999999999</v>
      </c>
      <c r="D10">
        <v>231.922</v>
      </c>
      <c r="E10">
        <v>222.172</v>
      </c>
      <c r="F10">
        <v>219.78899999999999</v>
      </c>
      <c r="G10">
        <v>222.934</v>
      </c>
      <c r="H10">
        <v>256.65600000000001</v>
      </c>
      <c r="I10">
        <v>252.68799999999999</v>
      </c>
      <c r="J10">
        <v>266.06200000000001</v>
      </c>
      <c r="K10">
        <v>300.29500000000002</v>
      </c>
      <c r="L10">
        <v>271.57</v>
      </c>
      <c r="M10">
        <v>237.84</v>
      </c>
      <c r="N10">
        <v>247.047</v>
      </c>
      <c r="O10">
        <v>244.566</v>
      </c>
      <c r="P10">
        <v>308.90600000000001</v>
      </c>
      <c r="Q10">
        <v>299.5</v>
      </c>
      <c r="R10">
        <v>243.816</v>
      </c>
      <c r="S10">
        <v>235.79300000000001</v>
      </c>
      <c r="T10">
        <v>276.12900000000002</v>
      </c>
      <c r="U10">
        <v>239.02699999999999</v>
      </c>
      <c r="V10">
        <v>238.18799999999999</v>
      </c>
    </row>
    <row r="11" spans="1:39" x14ac:dyDescent="0.2">
      <c r="A11" t="s">
        <v>62</v>
      </c>
      <c r="C11">
        <v>37.016999999999996</v>
      </c>
      <c r="D11">
        <v>21.856999999999999</v>
      </c>
      <c r="E11">
        <v>12.106999999999999</v>
      </c>
      <c r="F11">
        <v>9.7239999999999895</v>
      </c>
      <c r="G11">
        <v>12.869</v>
      </c>
      <c r="H11">
        <v>46.591000000000008</v>
      </c>
      <c r="I11">
        <v>42.62299999999999</v>
      </c>
      <c r="J11">
        <v>55.997000000000014</v>
      </c>
      <c r="K11">
        <v>90.230000000000018</v>
      </c>
      <c r="L11">
        <v>61.504999999999995</v>
      </c>
      <c r="M11">
        <v>27.775000000000006</v>
      </c>
      <c r="N11">
        <v>36.981999999999999</v>
      </c>
      <c r="O11">
        <v>34.501000000000005</v>
      </c>
      <c r="P11">
        <v>98.841000000000008</v>
      </c>
      <c r="Q11">
        <v>89.435000000000002</v>
      </c>
      <c r="R11">
        <v>33.751000000000005</v>
      </c>
      <c r="S11">
        <v>25.728000000000009</v>
      </c>
      <c r="T11">
        <v>66.064000000000021</v>
      </c>
      <c r="U11">
        <v>28.961999999999989</v>
      </c>
      <c r="V11">
        <v>28.12299999999999</v>
      </c>
    </row>
    <row r="12" spans="1:39" x14ac:dyDescent="0.2">
      <c r="A12" t="s">
        <v>61</v>
      </c>
      <c r="C12">
        <v>2.0760000000000001</v>
      </c>
      <c r="D12">
        <v>4.1420000000000003</v>
      </c>
      <c r="E12">
        <v>6.3449999999999998</v>
      </c>
      <c r="F12">
        <v>3.1190000000000002</v>
      </c>
      <c r="G12">
        <v>2.3279999999999998</v>
      </c>
      <c r="H12">
        <v>1</v>
      </c>
      <c r="I12">
        <v>0.65900000000000003</v>
      </c>
      <c r="J12">
        <v>1.5429999999999999</v>
      </c>
      <c r="K12">
        <v>1.946</v>
      </c>
      <c r="L12">
        <v>2.8969999999999998</v>
      </c>
      <c r="M12">
        <v>2.4540000000000002</v>
      </c>
      <c r="N12">
        <v>2.9990000000000001</v>
      </c>
      <c r="O12">
        <v>2.8239999999999998</v>
      </c>
      <c r="P12">
        <v>1.77</v>
      </c>
      <c r="Q12">
        <v>2.6619999999999999</v>
      </c>
      <c r="R12">
        <v>3.1269999999999998</v>
      </c>
      <c r="S12">
        <v>3.3159999999999998</v>
      </c>
      <c r="T12">
        <v>3.9550000000000001</v>
      </c>
      <c r="U12">
        <v>4.9450000000000003</v>
      </c>
      <c r="V12">
        <v>5.4329999999999998</v>
      </c>
    </row>
    <row r="13" spans="1:39" x14ac:dyDescent="0.2">
      <c r="A13" t="s">
        <v>60</v>
      </c>
      <c r="C13">
        <v>2.3042951199878892</v>
      </c>
      <c r="D13">
        <v>4.2610050457609185</v>
      </c>
      <c r="E13">
        <v>6.4233188462040394</v>
      </c>
      <c r="F13">
        <v>3.2753871526889768</v>
      </c>
      <c r="G13">
        <v>2.5336897994821701</v>
      </c>
      <c r="H13">
        <v>1.4142135623730951</v>
      </c>
      <c r="I13">
        <v>1.1976147126684775</v>
      </c>
      <c r="J13">
        <v>1.838708514147906</v>
      </c>
      <c r="K13">
        <v>2.1879021915981527</v>
      </c>
      <c r="L13">
        <v>3.0647363671285004</v>
      </c>
      <c r="M13">
        <v>2.6499275461793292</v>
      </c>
      <c r="N13">
        <v>3.1613289926864621</v>
      </c>
      <c r="O13">
        <v>2.9958264302192137</v>
      </c>
      <c r="P13">
        <v>2.032953516438583</v>
      </c>
      <c r="Q13">
        <v>2.8436321843726557</v>
      </c>
      <c r="R13">
        <v>3.2830060919833821</v>
      </c>
      <c r="S13">
        <v>3.4635034286109776</v>
      </c>
      <c r="T13">
        <v>4.0794638128067762</v>
      </c>
      <c r="U13">
        <v>5.0450991070542912</v>
      </c>
      <c r="V13">
        <v>5.5242636613398526</v>
      </c>
    </row>
    <row r="14" spans="1:39" x14ac:dyDescent="0.2">
      <c r="A14" t="s">
        <v>376</v>
      </c>
      <c r="E14">
        <v>15.22438161267578</v>
      </c>
      <c r="F14">
        <v>7.7632365971154433</v>
      </c>
      <c r="G14">
        <v>6.0052850121641344</v>
      </c>
      <c r="H14">
        <v>3.3519318394280657</v>
      </c>
      <c r="I14">
        <v>2.8385549351010346</v>
      </c>
      <c r="J14">
        <v>4.3580586242276933</v>
      </c>
      <c r="K14">
        <v>5.1857083065064886</v>
      </c>
      <c r="L14">
        <v>7.2639576381894253</v>
      </c>
      <c r="M14">
        <v>6.2807886662542458</v>
      </c>
      <c r="N14">
        <v>7.4928989421593748</v>
      </c>
      <c r="O14">
        <v>7.10062911573372</v>
      </c>
      <c r="P14">
        <v>4.8184530265662895</v>
      </c>
      <c r="Q14">
        <v>6.7399023118026493</v>
      </c>
      <c r="R14">
        <v>7.7812948069099619</v>
      </c>
      <c r="S14">
        <v>8.2091048531937556</v>
      </c>
      <c r="T14">
        <v>9.6690379768357602</v>
      </c>
      <c r="U14">
        <v>11.957761387628382</v>
      </c>
      <c r="V14">
        <v>13.093464628332708</v>
      </c>
    </row>
    <row r="15" spans="1:39" x14ac:dyDescent="0.2">
      <c r="A15" t="s">
        <v>59</v>
      </c>
      <c r="E15">
        <v>0.47675421796299139</v>
      </c>
      <c r="F15">
        <v>0.38291550470571767</v>
      </c>
      <c r="G15">
        <v>0.50676055430459543</v>
      </c>
      <c r="H15">
        <v>1.8346787618000939</v>
      </c>
      <c r="I15">
        <v>1.6784252938165176</v>
      </c>
      <c r="J15">
        <v>2.2050719371664029</v>
      </c>
      <c r="K15">
        <v>3.5531125040720846</v>
      </c>
      <c r="L15">
        <v>2.421968132139571</v>
      </c>
      <c r="M15">
        <v>1.0937348974908805</v>
      </c>
      <c r="N15">
        <v>1.4562917724215205</v>
      </c>
      <c r="O15">
        <v>1.3585939765376369</v>
      </c>
      <c r="P15">
        <v>3.8921998560898685</v>
      </c>
      <c r="Q15">
        <v>3.52180668072356</v>
      </c>
      <c r="R15">
        <v>1.329060180925822</v>
      </c>
      <c r="S15">
        <v>1.0131273246677004</v>
      </c>
      <c r="T15">
        <v>2.6014942310652578</v>
      </c>
      <c r="U15">
        <v>1.1404770513458455</v>
      </c>
      <c r="V15">
        <v>1.107438578654762</v>
      </c>
    </row>
    <row r="17" spans="1:26" s="1" customFormat="1" x14ac:dyDescent="0.2">
      <c r="A17" s="1" t="s">
        <v>446</v>
      </c>
      <c r="C17" s="1">
        <v>1</v>
      </c>
      <c r="D17" s="1">
        <v>1</v>
      </c>
      <c r="E17" s="1" t="s">
        <v>283</v>
      </c>
      <c r="F17" s="1" t="s">
        <v>283</v>
      </c>
      <c r="G17" s="1" t="s">
        <v>283</v>
      </c>
      <c r="H17" s="1" t="s">
        <v>283</v>
      </c>
      <c r="I17" s="1" t="s">
        <v>283</v>
      </c>
      <c r="J17" s="1" t="s">
        <v>283</v>
      </c>
      <c r="K17" s="1" t="s">
        <v>283</v>
      </c>
      <c r="L17" s="1" t="s">
        <v>283</v>
      </c>
      <c r="M17" s="1" t="s">
        <v>283</v>
      </c>
      <c r="N17" s="1" t="s">
        <v>283</v>
      </c>
      <c r="O17" s="1" t="s">
        <v>283</v>
      </c>
      <c r="P17" s="1" t="s">
        <v>283</v>
      </c>
      <c r="Q17" s="1" t="s">
        <v>283</v>
      </c>
      <c r="R17" s="1" t="s">
        <v>283</v>
      </c>
      <c r="S17" s="1" t="s">
        <v>283</v>
      </c>
      <c r="T17" s="1" t="s">
        <v>283</v>
      </c>
      <c r="U17" s="1" t="s">
        <v>283</v>
      </c>
      <c r="V17" s="1" t="s">
        <v>283</v>
      </c>
      <c r="W17" s="1" t="s">
        <v>283</v>
      </c>
      <c r="X17" s="1" t="s">
        <v>283</v>
      </c>
      <c r="Y17" s="1" t="s">
        <v>283</v>
      </c>
      <c r="Z17" s="1" t="s">
        <v>283</v>
      </c>
    </row>
    <row r="18" spans="1:26" x14ac:dyDescent="0.2">
      <c r="A18" t="s">
        <v>63</v>
      </c>
      <c r="C18">
        <v>220.62899999999999</v>
      </c>
      <c r="D18">
        <v>233.477</v>
      </c>
      <c r="E18">
        <v>222.18799999999999</v>
      </c>
      <c r="F18">
        <v>280.27</v>
      </c>
      <c r="G18">
        <v>260.78500000000003</v>
      </c>
      <c r="H18">
        <v>287.46100000000001</v>
      </c>
      <c r="I18">
        <v>243.172</v>
      </c>
      <c r="J18">
        <v>228.85900000000001</v>
      </c>
      <c r="K18">
        <v>229.44900000000001</v>
      </c>
      <c r="L18">
        <v>250.39099999999999</v>
      </c>
      <c r="M18">
        <v>267.57400000000001</v>
      </c>
      <c r="N18">
        <v>244.84</v>
      </c>
      <c r="O18">
        <v>279.91399999999999</v>
      </c>
      <c r="P18">
        <v>230.64500000000001</v>
      </c>
      <c r="Q18">
        <v>245</v>
      </c>
      <c r="R18">
        <v>290.45299999999997</v>
      </c>
      <c r="S18">
        <v>298.80900000000003</v>
      </c>
      <c r="T18">
        <v>376.80099999999999</v>
      </c>
      <c r="U18">
        <v>260.59800000000001</v>
      </c>
      <c r="V18">
        <v>257.58199999999999</v>
      </c>
      <c r="W18">
        <v>335.64100000000002</v>
      </c>
      <c r="X18">
        <v>308.43799999999999</v>
      </c>
      <c r="Y18">
        <v>378.08600000000001</v>
      </c>
      <c r="Z18">
        <v>272.47699999999998</v>
      </c>
    </row>
    <row r="19" spans="1:26" x14ac:dyDescent="0.2">
      <c r="A19" t="s">
        <v>62</v>
      </c>
      <c r="C19">
        <v>10.563999999999993</v>
      </c>
      <c r="D19">
        <v>23.412000000000006</v>
      </c>
      <c r="E19">
        <v>12.12299999999999</v>
      </c>
      <c r="F19">
        <v>70.204999999999984</v>
      </c>
      <c r="G19">
        <v>50.720000000000027</v>
      </c>
      <c r="H19">
        <v>77.396000000000015</v>
      </c>
      <c r="I19">
        <v>33.106999999999999</v>
      </c>
      <c r="J19">
        <v>18.794000000000011</v>
      </c>
      <c r="K19">
        <v>19.384000000000015</v>
      </c>
      <c r="L19">
        <v>40.325999999999993</v>
      </c>
      <c r="M19">
        <v>57.509000000000015</v>
      </c>
      <c r="N19">
        <v>34.775000000000006</v>
      </c>
      <c r="O19">
        <v>69.84899999999999</v>
      </c>
      <c r="P19">
        <v>20.580000000000013</v>
      </c>
      <c r="Q19">
        <v>34.935000000000002</v>
      </c>
      <c r="R19">
        <v>80.387999999999977</v>
      </c>
      <c r="S19">
        <v>88.744000000000028</v>
      </c>
      <c r="T19">
        <v>166.73599999999999</v>
      </c>
      <c r="U19">
        <v>50.533000000000015</v>
      </c>
      <c r="V19">
        <v>47.516999999999996</v>
      </c>
      <c r="W19">
        <v>125.57600000000002</v>
      </c>
      <c r="X19">
        <v>98.37299999999999</v>
      </c>
      <c r="Y19">
        <v>168.02100000000002</v>
      </c>
      <c r="Z19">
        <v>62.411999999999978</v>
      </c>
    </row>
    <row r="20" spans="1:26" x14ac:dyDescent="0.2">
      <c r="A20" t="s">
        <v>61</v>
      </c>
      <c r="C20">
        <v>6.726</v>
      </c>
      <c r="D20">
        <v>7.2859999999999996</v>
      </c>
      <c r="E20">
        <v>3.1749999999999998</v>
      </c>
      <c r="F20">
        <v>2.9340000000000002</v>
      </c>
      <c r="G20">
        <v>3.7149999999999999</v>
      </c>
      <c r="H20">
        <v>2.907</v>
      </c>
      <c r="I20">
        <v>3.6440000000000001</v>
      </c>
      <c r="J20">
        <v>2.2730000000000001</v>
      </c>
      <c r="K20">
        <v>2.706</v>
      </c>
      <c r="L20">
        <v>2.1339999999999999</v>
      </c>
      <c r="M20">
        <v>2.1419999999999999</v>
      </c>
      <c r="N20">
        <v>3.0590000000000002</v>
      </c>
      <c r="O20">
        <v>2.5350000000000001</v>
      </c>
      <c r="P20">
        <v>3.621</v>
      </c>
      <c r="Q20">
        <v>1.6739999999999999</v>
      </c>
      <c r="R20">
        <v>2.827</v>
      </c>
      <c r="S20">
        <v>3.0489999999999999</v>
      </c>
      <c r="T20">
        <v>3.9089999999999998</v>
      </c>
      <c r="U20">
        <v>4.673</v>
      </c>
      <c r="V20">
        <v>3.2229999999999999</v>
      </c>
      <c r="W20">
        <v>3.7890000000000001</v>
      </c>
      <c r="X20">
        <v>4.3710000000000004</v>
      </c>
      <c r="Y20">
        <v>4.6660000000000004</v>
      </c>
      <c r="Z20">
        <v>5.5579999999999998</v>
      </c>
    </row>
    <row r="21" spans="1:26" x14ac:dyDescent="0.2">
      <c r="A21" t="s">
        <v>60</v>
      </c>
      <c r="C21">
        <v>6.7999320584841136</v>
      </c>
      <c r="D21">
        <v>7.3543045898303667</v>
      </c>
      <c r="E21">
        <v>3.3287572756210388</v>
      </c>
      <c r="F21">
        <v>3.0997348273683025</v>
      </c>
      <c r="G21">
        <v>3.847236020833658</v>
      </c>
      <c r="H21">
        <v>3.0741907878334422</v>
      </c>
      <c r="I21">
        <v>3.7787214769019428</v>
      </c>
      <c r="J21">
        <v>2.4832496853921073</v>
      </c>
      <c r="K21">
        <v>2.8848632549914734</v>
      </c>
      <c r="L21">
        <v>2.3566832625535405</v>
      </c>
      <c r="M21">
        <v>2.3639297789909075</v>
      </c>
      <c r="N21">
        <v>3.2183040564868945</v>
      </c>
      <c r="O21">
        <v>2.7251100895193208</v>
      </c>
      <c r="P21">
        <v>3.7565464192526625</v>
      </c>
      <c r="Q21">
        <v>1.949942563256672</v>
      </c>
      <c r="R21">
        <v>2.9986545316191391</v>
      </c>
      <c r="S21">
        <v>3.2088005547244594</v>
      </c>
      <c r="T21">
        <v>4.0348830218483407</v>
      </c>
      <c r="U21">
        <v>4.7787999539633379</v>
      </c>
      <c r="V21">
        <v>3.3745709356894542</v>
      </c>
      <c r="W21">
        <v>3.9187397208796608</v>
      </c>
      <c r="X21">
        <v>4.4839314223123443</v>
      </c>
      <c r="Y21">
        <v>4.7719551548605317</v>
      </c>
      <c r="Z21">
        <v>5.6472439295642261</v>
      </c>
    </row>
    <row r="22" spans="1:26" x14ac:dyDescent="0.2">
      <c r="A22" t="s">
        <v>376</v>
      </c>
      <c r="E22">
        <v>7.8897330606552076</v>
      </c>
      <c r="F22">
        <v>7.3469100693709617</v>
      </c>
      <c r="G22">
        <v>9.1186177640578752</v>
      </c>
      <c r="H22">
        <v>7.286366257811955</v>
      </c>
      <c r="I22">
        <v>8.9562263916521125</v>
      </c>
      <c r="J22">
        <v>5.8857331786212868</v>
      </c>
      <c r="K22">
        <v>6.8376271123971311</v>
      </c>
      <c r="L22">
        <v>5.5857487676365585</v>
      </c>
      <c r="M22">
        <v>5.602924270557482</v>
      </c>
      <c r="N22">
        <v>7.6279397418570181</v>
      </c>
      <c r="O22">
        <v>6.4589843557140636</v>
      </c>
      <c r="P22">
        <v>8.9036676524677354</v>
      </c>
      <c r="Q22">
        <v>4.6217026457222445</v>
      </c>
      <c r="R22">
        <v>7.1073322073881604</v>
      </c>
      <c r="S22">
        <v>7.6054147916011923</v>
      </c>
      <c r="T22">
        <v>9.5633737570769615</v>
      </c>
      <c r="U22">
        <v>11.326586129656414</v>
      </c>
      <c r="V22">
        <v>7.9983193943956161</v>
      </c>
      <c r="W22">
        <v>9.2880939557717532</v>
      </c>
      <c r="X22">
        <v>10.627696481032316</v>
      </c>
      <c r="Y22">
        <v>11.310362766610252</v>
      </c>
      <c r="Z22">
        <v>13.384949229845763</v>
      </c>
    </row>
    <row r="23" spans="1:26" x14ac:dyDescent="0.2">
      <c r="A23" t="s">
        <v>59</v>
      </c>
      <c r="E23">
        <v>0.47738427226937646</v>
      </c>
      <c r="F23">
        <v>2.764560161236624</v>
      </c>
      <c r="G23">
        <v>1.9972721512416733</v>
      </c>
      <c r="H23">
        <v>3.0477301935627068</v>
      </c>
      <c r="I23">
        <v>1.30370049509381</v>
      </c>
      <c r="J23">
        <v>0.74007753963793399</v>
      </c>
      <c r="K23">
        <v>0.76331079218589515</v>
      </c>
      <c r="L23">
        <v>1.5879731224560658</v>
      </c>
      <c r="M23">
        <v>2.2646120691198215</v>
      </c>
      <c r="N23">
        <v>1.3693836565344866</v>
      </c>
      <c r="O23">
        <v>2.7505414529195491</v>
      </c>
      <c r="P23">
        <v>0.81040735158820265</v>
      </c>
      <c r="Q23">
        <v>1.3756841995983404</v>
      </c>
      <c r="R23">
        <v>3.1655503488567724</v>
      </c>
      <c r="S23">
        <v>3.494596210366542</v>
      </c>
      <c r="T23">
        <v>6.5657959268421022</v>
      </c>
      <c r="U23">
        <v>1.9899083915357936</v>
      </c>
      <c r="V23">
        <v>1.8711431547821478</v>
      </c>
      <c r="W23">
        <v>4.9449812236656996</v>
      </c>
      <c r="X23">
        <v>3.8737707676280952</v>
      </c>
      <c r="Y23">
        <v>6.61639716332368</v>
      </c>
      <c r="Z23">
        <v>2.4576843356327918</v>
      </c>
    </row>
    <row r="25" spans="1:26" s="1" customFormat="1" x14ac:dyDescent="0.2">
      <c r="A25" s="1" t="s">
        <v>447</v>
      </c>
      <c r="C25" s="1">
        <v>1</v>
      </c>
      <c r="D25" s="1" t="s">
        <v>283</v>
      </c>
      <c r="E25" s="1" t="s">
        <v>283</v>
      </c>
      <c r="F25" s="1" t="s">
        <v>283</v>
      </c>
      <c r="G25" s="1" t="s">
        <v>283</v>
      </c>
      <c r="H25" s="1" t="s">
        <v>283</v>
      </c>
      <c r="I25" s="1" t="s">
        <v>283</v>
      </c>
      <c r="J25" s="1" t="s">
        <v>283</v>
      </c>
    </row>
    <row r="26" spans="1:26" x14ac:dyDescent="0.2">
      <c r="A26" t="s">
        <v>63</v>
      </c>
      <c r="C26">
        <v>242.19499999999999</v>
      </c>
      <c r="D26">
        <v>237.137</v>
      </c>
      <c r="E26">
        <v>248.73400000000001</v>
      </c>
      <c r="F26">
        <v>234.65199999999999</v>
      </c>
      <c r="G26">
        <v>236.727</v>
      </c>
      <c r="H26">
        <v>233.625</v>
      </c>
      <c r="I26">
        <v>222.57</v>
      </c>
      <c r="J26">
        <v>226.43799999999999</v>
      </c>
    </row>
    <row r="27" spans="1:26" x14ac:dyDescent="0.2">
      <c r="A27" t="s">
        <v>62</v>
      </c>
      <c r="C27">
        <v>32.129999999999995</v>
      </c>
      <c r="D27">
        <v>27.072000000000003</v>
      </c>
      <c r="E27">
        <v>38.669000000000011</v>
      </c>
      <c r="F27">
        <v>24.586999999999989</v>
      </c>
      <c r="G27">
        <v>26.662000000000006</v>
      </c>
      <c r="H27">
        <v>23.560000000000002</v>
      </c>
      <c r="I27">
        <v>12.504999999999995</v>
      </c>
      <c r="J27">
        <v>16.37299999999999</v>
      </c>
    </row>
    <row r="28" spans="1:26" x14ac:dyDescent="0.2">
      <c r="A28" t="s">
        <v>61</v>
      </c>
      <c r="C28">
        <v>6.875</v>
      </c>
      <c r="D28">
        <v>3.0369999999999999</v>
      </c>
      <c r="E28">
        <v>3.698</v>
      </c>
      <c r="F28">
        <v>4.3760000000000003</v>
      </c>
      <c r="G28">
        <v>3.7450000000000001</v>
      </c>
      <c r="H28">
        <v>2.633</v>
      </c>
      <c r="I28">
        <v>3.23</v>
      </c>
      <c r="J28">
        <v>2.5659999999999998</v>
      </c>
    </row>
    <row r="29" spans="1:26" x14ac:dyDescent="0.2">
      <c r="A29" t="s">
        <v>60</v>
      </c>
      <c r="C29">
        <v>7.1600017458098426</v>
      </c>
      <c r="D29">
        <v>3.6363950555460831</v>
      </c>
      <c r="E29">
        <v>4.2041888635026856</v>
      </c>
      <c r="F29">
        <v>4.8113798436623147</v>
      </c>
      <c r="G29">
        <v>4.2455888873040921</v>
      </c>
      <c r="H29">
        <v>3.30646170399719</v>
      </c>
      <c r="I29">
        <v>3.7990656746100084</v>
      </c>
      <c r="J29">
        <v>3.2533607239284117</v>
      </c>
    </row>
    <row r="30" spans="1:26" x14ac:dyDescent="0.2">
      <c r="A30" t="s">
        <v>376</v>
      </c>
      <c r="D30">
        <v>8.6188880461379984</v>
      </c>
      <c r="E30">
        <v>9.9646580159339315</v>
      </c>
      <c r="F30">
        <v>11.403806128468903</v>
      </c>
      <c r="G30">
        <v>10.062783264924017</v>
      </c>
      <c r="H30">
        <v>7.8368886824137602</v>
      </c>
      <c r="I30">
        <v>9.0044456746936739</v>
      </c>
      <c r="J30">
        <v>7.7110301342191736</v>
      </c>
    </row>
    <row r="31" spans="1:26" x14ac:dyDescent="0.2">
      <c r="A31" t="s">
        <v>59</v>
      </c>
      <c r="D31">
        <v>1.0660518864040724</v>
      </c>
      <c r="E31">
        <v>1.5227231233510301</v>
      </c>
      <c r="F31">
        <v>0.96819657694359174</v>
      </c>
      <c r="G31">
        <v>1.0499067448029471</v>
      </c>
      <c r="H31">
        <v>0.92775496615248032</v>
      </c>
      <c r="I31">
        <v>0.49242681883432771</v>
      </c>
      <c r="J31">
        <v>0.64474244740299447</v>
      </c>
    </row>
    <row r="33" spans="1:1" x14ac:dyDescent="0.2">
      <c r="A33" t="s">
        <v>294</v>
      </c>
    </row>
    <row r="34" spans="1:1" x14ac:dyDescent="0.2">
      <c r="A34">
        <v>25.394636363636366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9F06-4F29-C443-B477-ABDE0D4CB03E}">
  <dimension ref="A1:S36"/>
  <sheetViews>
    <sheetView topLeftCell="A9" workbookViewId="0">
      <selection activeCell="I7" sqref="I7"/>
    </sheetView>
  </sheetViews>
  <sheetFormatPr baseColWidth="10" defaultColWidth="8.83203125" defaultRowHeight="15" x14ac:dyDescent="0.2"/>
  <cols>
    <col min="1" max="1" width="17.83203125" customWidth="1"/>
    <col min="2" max="2" width="12.83203125" customWidth="1"/>
  </cols>
  <sheetData>
    <row r="1" spans="1:19" x14ac:dyDescent="0.2">
      <c r="A1" t="s">
        <v>370</v>
      </c>
    </row>
    <row r="2" spans="1:19" s="1" customFormat="1" x14ac:dyDescent="0.2">
      <c r="A2" s="1" t="s">
        <v>11</v>
      </c>
      <c r="B2" s="1" t="s">
        <v>30</v>
      </c>
      <c r="C2" s="1" t="s">
        <v>23</v>
      </c>
      <c r="E2" s="1" t="s">
        <v>25</v>
      </c>
    </row>
    <row r="3" spans="1:19" x14ac:dyDescent="0.2">
      <c r="A3" t="s">
        <v>9</v>
      </c>
      <c r="B3">
        <v>216.81700000000001</v>
      </c>
      <c r="C3">
        <v>397.52699999999999</v>
      </c>
      <c r="D3">
        <v>332.27300000000002</v>
      </c>
      <c r="E3">
        <v>794.21100000000001</v>
      </c>
      <c r="F3">
        <v>904.54700000000003</v>
      </c>
      <c r="G3">
        <v>642.66</v>
      </c>
    </row>
    <row r="4" spans="1:19" x14ac:dyDescent="0.2">
      <c r="A4" t="s">
        <v>4</v>
      </c>
      <c r="C4">
        <f>C3-B3</f>
        <v>180.70999999999998</v>
      </c>
      <c r="D4">
        <f>D3-B3</f>
        <v>115.45600000000002</v>
      </c>
      <c r="E4">
        <f>E3-B3</f>
        <v>577.39400000000001</v>
      </c>
      <c r="F4">
        <f>F3-B3</f>
        <v>687.73</v>
      </c>
      <c r="G4">
        <f>G3-B3</f>
        <v>425.84299999999996</v>
      </c>
    </row>
    <row r="5" spans="1:19" x14ac:dyDescent="0.2">
      <c r="A5" t="s">
        <v>5</v>
      </c>
      <c r="C5">
        <v>6.4379999999999997</v>
      </c>
      <c r="D5">
        <v>7.2439999999999998</v>
      </c>
      <c r="E5">
        <v>5.2450000000000001</v>
      </c>
      <c r="F5">
        <v>4.1319999999999997</v>
      </c>
      <c r="G5">
        <v>3.64</v>
      </c>
    </row>
    <row r="6" spans="1:19" x14ac:dyDescent="0.2">
      <c r="A6" t="s">
        <v>6</v>
      </c>
      <c r="C6">
        <f>SQRT(1+C5^2)</f>
        <v>6.5152009945971736</v>
      </c>
      <c r="D6">
        <f>SQRT(1+D5^2)</f>
        <v>7.3126969033319025</v>
      </c>
      <c r="E6">
        <f>SQRT(1+E5^2)</f>
        <v>5.3394779707383382</v>
      </c>
      <c r="F6">
        <f>SQRT(1+F5^2)</f>
        <v>4.2512849822142007</v>
      </c>
      <c r="G6">
        <f>SQRT(1+G5^2)</f>
        <v>3.7748642359692886</v>
      </c>
    </row>
    <row r="7" spans="1:19" x14ac:dyDescent="0.2">
      <c r="A7" t="s">
        <v>10</v>
      </c>
      <c r="E7">
        <f>E4/190.07</f>
        <v>3.0377966012521704</v>
      </c>
      <c r="F7">
        <f>F4/190.07</f>
        <v>3.6182985215973065</v>
      </c>
      <c r="G7">
        <f>G4/190.07</f>
        <v>2.2404535171252693</v>
      </c>
    </row>
    <row r="9" spans="1:19" s="1" customFormat="1" x14ac:dyDescent="0.2">
      <c r="A9" s="1" t="s">
        <v>39</v>
      </c>
      <c r="C9" s="1" t="s">
        <v>23</v>
      </c>
      <c r="F9" s="1" t="s">
        <v>25</v>
      </c>
    </row>
    <row r="10" spans="1:19" x14ac:dyDescent="0.2">
      <c r="A10" t="s">
        <v>9</v>
      </c>
      <c r="B10">
        <v>216.81700000000001</v>
      </c>
      <c r="C10">
        <v>406.375</v>
      </c>
      <c r="D10">
        <v>332.31599999999997</v>
      </c>
      <c r="E10">
        <v>329.98399999999998</v>
      </c>
      <c r="F10">
        <v>715.52300000000002</v>
      </c>
      <c r="G10">
        <v>542.80100000000004</v>
      </c>
      <c r="H10">
        <v>1357.2539999999999</v>
      </c>
      <c r="I10">
        <v>2174.7379999999998</v>
      </c>
      <c r="J10">
        <v>1193.6130000000001</v>
      </c>
      <c r="K10">
        <v>631.01599999999996</v>
      </c>
      <c r="L10">
        <v>603.80499999999995</v>
      </c>
      <c r="M10">
        <v>483.85500000000002</v>
      </c>
      <c r="N10">
        <v>512.73800000000006</v>
      </c>
      <c r="O10">
        <v>629.18399999999997</v>
      </c>
      <c r="P10">
        <v>711.34</v>
      </c>
      <c r="Q10">
        <v>739.85500000000002</v>
      </c>
      <c r="R10">
        <v>912.28099999999995</v>
      </c>
      <c r="S10">
        <v>612.44500000000005</v>
      </c>
    </row>
    <row r="11" spans="1:19" x14ac:dyDescent="0.2">
      <c r="A11" t="s">
        <v>4</v>
      </c>
      <c r="C11">
        <f>C10-B10</f>
        <v>189.55799999999999</v>
      </c>
      <c r="D11">
        <f>D10-B10</f>
        <v>115.49899999999997</v>
      </c>
      <c r="E11">
        <f>E10-B10</f>
        <v>113.16699999999997</v>
      </c>
      <c r="F11">
        <f>F10-B10</f>
        <v>498.70600000000002</v>
      </c>
      <c r="G11">
        <f>G10-B10</f>
        <v>325.98400000000004</v>
      </c>
      <c r="H11">
        <f>H10-B10</f>
        <v>1140.4369999999999</v>
      </c>
      <c r="I11">
        <f>I10-B10</f>
        <v>1957.9209999999998</v>
      </c>
      <c r="J11">
        <f>J10-B10</f>
        <v>976.79600000000005</v>
      </c>
      <c r="K11">
        <f>K10-B10</f>
        <v>414.19899999999996</v>
      </c>
      <c r="L11">
        <f>L10-B10</f>
        <v>386.98799999999994</v>
      </c>
      <c r="M11">
        <f>M10-B10</f>
        <v>267.03800000000001</v>
      </c>
      <c r="N11">
        <f>N10-B10</f>
        <v>295.92100000000005</v>
      </c>
      <c r="O11">
        <f>O10-B10</f>
        <v>412.36699999999996</v>
      </c>
      <c r="P11">
        <f>P10-B10</f>
        <v>494.52300000000002</v>
      </c>
      <c r="Q11">
        <f>Q10-B10</f>
        <v>523.03800000000001</v>
      </c>
      <c r="R11">
        <f>R10-B10</f>
        <v>695.46399999999994</v>
      </c>
      <c r="S11">
        <f>S10-B10</f>
        <v>395.62800000000004</v>
      </c>
    </row>
    <row r="12" spans="1:19" x14ac:dyDescent="0.2">
      <c r="A12" t="s">
        <v>5</v>
      </c>
      <c r="C12">
        <v>1.097</v>
      </c>
      <c r="D12">
        <v>1.034</v>
      </c>
      <c r="E12">
        <v>9.7059999999999995</v>
      </c>
      <c r="F12">
        <v>6.5720000000000001</v>
      </c>
      <c r="G12">
        <v>6.0369999999999999</v>
      </c>
      <c r="H12">
        <v>5.01</v>
      </c>
      <c r="I12">
        <v>4.1619999999999999</v>
      </c>
      <c r="J12">
        <v>3.6669999999999998</v>
      </c>
      <c r="K12">
        <v>3.5880000000000001</v>
      </c>
      <c r="L12">
        <v>2.99</v>
      </c>
      <c r="M12">
        <v>2.0289999999999999</v>
      </c>
      <c r="N12">
        <v>2.722</v>
      </c>
      <c r="O12">
        <v>3.4990000000000001</v>
      </c>
      <c r="P12">
        <v>3.0710000000000002</v>
      </c>
      <c r="Q12">
        <v>3.8069999999999999</v>
      </c>
      <c r="R12">
        <v>4.1859999999999999</v>
      </c>
      <c r="S12">
        <v>3.5609999999999999</v>
      </c>
    </row>
    <row r="13" spans="1:19" x14ac:dyDescent="0.2">
      <c r="A13" t="s">
        <v>10</v>
      </c>
      <c r="F13">
        <f t="shared" ref="F13:S13" si="0">F11/190.07</f>
        <v>2.62380175724733</v>
      </c>
      <c r="G13">
        <f t="shared" si="0"/>
        <v>1.7150733940127325</v>
      </c>
      <c r="H13">
        <f t="shared" si="0"/>
        <v>6.0000894407323617</v>
      </c>
      <c r="I13">
        <f t="shared" si="0"/>
        <v>10.301052243910139</v>
      </c>
      <c r="J13">
        <f t="shared" si="0"/>
        <v>5.1391382122375973</v>
      </c>
      <c r="K13">
        <f t="shared" si="0"/>
        <v>2.1791918766770135</v>
      </c>
      <c r="L13">
        <f t="shared" si="0"/>
        <v>2.0360288314831374</v>
      </c>
      <c r="M13">
        <f t="shared" si="0"/>
        <v>1.4049455463776503</v>
      </c>
      <c r="N13">
        <f t="shared" si="0"/>
        <v>1.5569053506602835</v>
      </c>
      <c r="O13">
        <f t="shared" si="0"/>
        <v>2.1695533224601462</v>
      </c>
      <c r="P13">
        <f t="shared" si="0"/>
        <v>2.6017940758667861</v>
      </c>
      <c r="Q13">
        <f t="shared" si="0"/>
        <v>2.7518177513547641</v>
      </c>
      <c r="R13">
        <f t="shared" si="0"/>
        <v>3.6589887936023571</v>
      </c>
      <c r="S13">
        <f t="shared" si="0"/>
        <v>2.0814857684011159</v>
      </c>
    </row>
    <row r="15" spans="1:19" s="1" customFormat="1" x14ac:dyDescent="0.2">
      <c r="A15" s="1" t="s">
        <v>13</v>
      </c>
      <c r="C15" s="1" t="s">
        <v>25</v>
      </c>
    </row>
    <row r="16" spans="1:19" x14ac:dyDescent="0.2">
      <c r="A16" t="s">
        <v>9</v>
      </c>
      <c r="B16">
        <v>216.81700000000001</v>
      </c>
      <c r="C16">
        <v>961.57799999999997</v>
      </c>
      <c r="D16">
        <v>1407.25</v>
      </c>
      <c r="E16">
        <v>1180.0039999999999</v>
      </c>
      <c r="F16">
        <v>1201.645</v>
      </c>
      <c r="G16">
        <v>935.47699999999998</v>
      </c>
      <c r="H16">
        <v>679.19500000000005</v>
      </c>
      <c r="I16">
        <v>1023.418</v>
      </c>
      <c r="J16">
        <v>1112.8399999999999</v>
      </c>
      <c r="K16">
        <v>1355.2619999999999</v>
      </c>
      <c r="L16">
        <v>1243.25</v>
      </c>
      <c r="M16">
        <v>1208.145</v>
      </c>
    </row>
    <row r="17" spans="1:13" x14ac:dyDescent="0.2">
      <c r="A17" t="s">
        <v>4</v>
      </c>
      <c r="C17">
        <f>C16-B16</f>
        <v>744.76099999999997</v>
      </c>
      <c r="D17">
        <f>D16-B16</f>
        <v>1190.433</v>
      </c>
      <c r="E17">
        <f>E16-B16</f>
        <v>963.1869999999999</v>
      </c>
      <c r="F17">
        <f>F16-B16</f>
        <v>984.82799999999997</v>
      </c>
      <c r="G17">
        <f>G16-B16</f>
        <v>718.66</v>
      </c>
      <c r="H17">
        <f>H16-B16</f>
        <v>462.37800000000004</v>
      </c>
      <c r="I17">
        <f>I16-B16</f>
        <v>806.601</v>
      </c>
      <c r="J17">
        <f>J16-B16</f>
        <v>896.02299999999991</v>
      </c>
      <c r="K17">
        <f>K16-B16</f>
        <v>1138.4449999999999</v>
      </c>
      <c r="L17">
        <f>L16-B16</f>
        <v>1026.433</v>
      </c>
      <c r="M17">
        <f>M16-B16</f>
        <v>991.32799999999997</v>
      </c>
    </row>
    <row r="18" spans="1:13" x14ac:dyDescent="0.2">
      <c r="A18" t="s">
        <v>5</v>
      </c>
      <c r="C18">
        <v>5.0880000000000001</v>
      </c>
      <c r="D18">
        <v>4.2130000000000001</v>
      </c>
      <c r="E18">
        <v>3.637</v>
      </c>
      <c r="F18">
        <v>3.14</v>
      </c>
      <c r="G18">
        <v>3.0910000000000002</v>
      </c>
      <c r="H18">
        <v>2.9089999999999998</v>
      </c>
      <c r="I18">
        <v>3.2719999999999998</v>
      </c>
      <c r="J18">
        <v>2.9009999999999998</v>
      </c>
      <c r="K18">
        <v>3.7930000000000001</v>
      </c>
      <c r="L18">
        <v>4.2569999999999997</v>
      </c>
      <c r="M18">
        <v>3.786</v>
      </c>
    </row>
    <row r="19" spans="1:13" x14ac:dyDescent="0.2">
      <c r="A19" t="s">
        <v>6</v>
      </c>
      <c r="C19">
        <f t="shared" ref="C19:M19" si="1">SQRT(1+C18^2)</f>
        <v>5.1853393331584385</v>
      </c>
      <c r="D19">
        <f t="shared" si="1"/>
        <v>4.3300541567052022</v>
      </c>
      <c r="E19">
        <f t="shared" si="1"/>
        <v>3.7719715004225578</v>
      </c>
      <c r="F19">
        <f t="shared" si="1"/>
        <v>3.2953907203850652</v>
      </c>
      <c r="G19">
        <f t="shared" si="1"/>
        <v>3.2487352923868698</v>
      </c>
      <c r="H19">
        <f t="shared" si="1"/>
        <v>3.0760820860308651</v>
      </c>
      <c r="I19">
        <f t="shared" si="1"/>
        <v>3.4214008826794911</v>
      </c>
      <c r="J19">
        <f t="shared" si="1"/>
        <v>3.0685177203333858</v>
      </c>
      <c r="K19">
        <f t="shared" si="1"/>
        <v>3.9226074236405561</v>
      </c>
      <c r="L19">
        <f t="shared" si="1"/>
        <v>4.372876513234738</v>
      </c>
      <c r="M19">
        <f t="shared" si="1"/>
        <v>3.9158391182478374</v>
      </c>
    </row>
    <row r="20" spans="1:13" x14ac:dyDescent="0.2">
      <c r="A20" t="s">
        <v>10</v>
      </c>
      <c r="C20">
        <f t="shared" ref="C20:M20" si="2">C17/190.07</f>
        <v>3.9183511337928132</v>
      </c>
      <c r="D20">
        <f t="shared" si="2"/>
        <v>6.2631293733887521</v>
      </c>
      <c r="E20">
        <f t="shared" si="2"/>
        <v>5.0675382753722307</v>
      </c>
      <c r="F20">
        <f t="shared" si="2"/>
        <v>5.1813963276687538</v>
      </c>
      <c r="G20">
        <f t="shared" si="2"/>
        <v>3.7810280423002052</v>
      </c>
      <c r="H20">
        <f t="shared" si="2"/>
        <v>2.4326721734097969</v>
      </c>
      <c r="I20">
        <f t="shared" si="2"/>
        <v>4.2437049508075972</v>
      </c>
      <c r="J20">
        <f t="shared" si="2"/>
        <v>4.7141737254695633</v>
      </c>
      <c r="K20">
        <f t="shared" si="2"/>
        <v>5.9896090913873836</v>
      </c>
      <c r="L20">
        <f t="shared" si="2"/>
        <v>5.4002893670752883</v>
      </c>
      <c r="M20">
        <f t="shared" si="2"/>
        <v>5.2155942547482503</v>
      </c>
    </row>
    <row r="21" spans="1:13" s="1" customFormat="1" x14ac:dyDescent="0.2">
      <c r="A21" s="1" t="s">
        <v>14</v>
      </c>
      <c r="C21" s="1" t="s">
        <v>23</v>
      </c>
      <c r="D21" s="1" t="s">
        <v>25</v>
      </c>
    </row>
    <row r="22" spans="1:13" x14ac:dyDescent="0.2">
      <c r="A22" t="s">
        <v>9</v>
      </c>
      <c r="B22">
        <v>216.81700000000001</v>
      </c>
      <c r="C22">
        <v>535.72299999999996</v>
      </c>
      <c r="D22">
        <v>896.23</v>
      </c>
      <c r="E22">
        <v>820.12099999999998</v>
      </c>
      <c r="F22">
        <v>793.47299999999996</v>
      </c>
      <c r="G22">
        <v>635.10199999999998</v>
      </c>
      <c r="H22">
        <v>548.13300000000004</v>
      </c>
      <c r="I22">
        <v>445.74200000000002</v>
      </c>
    </row>
    <row r="23" spans="1:13" x14ac:dyDescent="0.2">
      <c r="A23" t="s">
        <v>4</v>
      </c>
      <c r="C23">
        <f>C22-B22</f>
        <v>318.90599999999995</v>
      </c>
      <c r="D23">
        <f>D22-B22</f>
        <v>679.41300000000001</v>
      </c>
      <c r="E23">
        <f>E22-B22</f>
        <v>603.30399999999997</v>
      </c>
      <c r="F23">
        <f>F22-B22</f>
        <v>576.65599999999995</v>
      </c>
      <c r="G23">
        <f>G22-B22</f>
        <v>418.28499999999997</v>
      </c>
      <c r="H23">
        <f>H22-B22</f>
        <v>331.31600000000003</v>
      </c>
      <c r="I23">
        <f>I22-B22</f>
        <v>228.92500000000001</v>
      </c>
    </row>
    <row r="24" spans="1:13" x14ac:dyDescent="0.2">
      <c r="A24" t="s">
        <v>5</v>
      </c>
      <c r="C24">
        <v>8.9930000000000003</v>
      </c>
      <c r="D24">
        <v>10.759</v>
      </c>
      <c r="E24">
        <v>3.92</v>
      </c>
      <c r="F24">
        <v>3.637</v>
      </c>
      <c r="G24">
        <v>3.23</v>
      </c>
      <c r="H24">
        <v>3.726</v>
      </c>
      <c r="I24">
        <v>4.7649999999999997</v>
      </c>
    </row>
    <row r="25" spans="1:13" x14ac:dyDescent="0.2">
      <c r="A25" t="s">
        <v>6</v>
      </c>
      <c r="C25">
        <f t="shared" ref="C25:I25" si="3">SQRT(4+C24^2)</f>
        <v>9.2127112730183836</v>
      </c>
      <c r="D25">
        <f t="shared" si="3"/>
        <v>10.943312158574296</v>
      </c>
      <c r="E25">
        <f t="shared" si="3"/>
        <v>4.4007272126320212</v>
      </c>
      <c r="F25">
        <f t="shared" si="3"/>
        <v>4.150634770730858</v>
      </c>
      <c r="G25">
        <f t="shared" si="3"/>
        <v>3.7990656746100084</v>
      </c>
      <c r="H25">
        <f t="shared" si="3"/>
        <v>4.2288386112501382</v>
      </c>
      <c r="I25">
        <f t="shared" si="3"/>
        <v>5.167709840925669</v>
      </c>
    </row>
    <row r="26" spans="1:13" x14ac:dyDescent="0.2">
      <c r="A26" t="s">
        <v>10</v>
      </c>
      <c r="D26">
        <f t="shared" ref="D26:I26" si="4">D23/190.07</f>
        <v>3.5745409585942025</v>
      </c>
      <c r="E26">
        <f t="shared" si="4"/>
        <v>3.1741147998105959</v>
      </c>
      <c r="F26">
        <f t="shared" si="4"/>
        <v>3.0339138212237593</v>
      </c>
      <c r="G26">
        <f t="shared" si="4"/>
        <v>2.2006892197611405</v>
      </c>
      <c r="H26">
        <f t="shared" si="4"/>
        <v>1.7431262166570214</v>
      </c>
      <c r="I26">
        <f t="shared" si="4"/>
        <v>1.2044246856421319</v>
      </c>
    </row>
    <row r="28" spans="1:13" s="1" customFormat="1" x14ac:dyDescent="0.2">
      <c r="A28" s="1" t="s">
        <v>15</v>
      </c>
      <c r="C28" s="1" t="s">
        <v>23</v>
      </c>
      <c r="E28" s="1" t="s">
        <v>25</v>
      </c>
    </row>
    <row r="29" spans="1:13" x14ac:dyDescent="0.2">
      <c r="A29" t="s">
        <v>9</v>
      </c>
      <c r="B29">
        <v>216.81700000000001</v>
      </c>
      <c r="C29">
        <v>553.66</v>
      </c>
      <c r="D29">
        <v>367.27300000000002</v>
      </c>
      <c r="E29">
        <v>701.16800000000001</v>
      </c>
    </row>
    <row r="30" spans="1:13" x14ac:dyDescent="0.2">
      <c r="A30" t="s">
        <v>4</v>
      </c>
      <c r="C30">
        <f>C29-B29</f>
        <v>336.84299999999996</v>
      </c>
      <c r="D30">
        <f>D29-B29</f>
        <v>150.45600000000002</v>
      </c>
      <c r="E30">
        <f>E29-B29</f>
        <v>484.351</v>
      </c>
    </row>
    <row r="31" spans="1:13" x14ac:dyDescent="0.2">
      <c r="A31" t="s">
        <v>5</v>
      </c>
      <c r="C31">
        <v>8.891</v>
      </c>
      <c r="D31">
        <v>6.5060000000000002</v>
      </c>
      <c r="E31">
        <v>9.625</v>
      </c>
    </row>
    <row r="32" spans="1:13" x14ac:dyDescent="0.2">
      <c r="A32" t="s">
        <v>6</v>
      </c>
      <c r="C32">
        <f>SQRT(9+C31^2)</f>
        <v>9.3834898092340886</v>
      </c>
      <c r="D32">
        <f>SQRT(9+D31^2)</f>
        <v>7.1643587291536432</v>
      </c>
      <c r="E32">
        <f>SQRT(9+E31^2)</f>
        <v>10.081697525714606</v>
      </c>
    </row>
    <row r="33" spans="1:5" x14ac:dyDescent="0.2">
      <c r="A33" t="s">
        <v>10</v>
      </c>
      <c r="E33">
        <f>E30/190.07</f>
        <v>2.5482769505971485</v>
      </c>
    </row>
    <row r="35" spans="1:5" x14ac:dyDescent="0.2">
      <c r="A35" t="s">
        <v>33</v>
      </c>
      <c r="B35">
        <f>AVERAGE(C30:D30,C23,C11:E11,C4:D4)</f>
        <v>190.07437499999997</v>
      </c>
    </row>
    <row r="36" spans="1:5" x14ac:dyDescent="0.2">
      <c r="A36" t="s">
        <v>27</v>
      </c>
      <c r="B36">
        <v>45.39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AE56-7F9E-1842-A15C-F146129251F4}">
  <dimension ref="A1:N44"/>
  <sheetViews>
    <sheetView workbookViewId="0">
      <selection activeCell="R49" sqref="R49"/>
    </sheetView>
  </sheetViews>
  <sheetFormatPr baseColWidth="10" defaultColWidth="8.83203125" defaultRowHeight="15" x14ac:dyDescent="0.2"/>
  <cols>
    <col min="1" max="1" width="18" customWidth="1"/>
    <col min="2" max="2" width="13.33203125" customWidth="1"/>
  </cols>
  <sheetData>
    <row r="1" spans="1:13" x14ac:dyDescent="0.2">
      <c r="A1" t="s">
        <v>371</v>
      </c>
    </row>
    <row r="2" spans="1:13" s="1" customFormat="1" x14ac:dyDescent="0.2">
      <c r="A2" s="1" t="s">
        <v>8</v>
      </c>
      <c r="B2" s="1" t="s">
        <v>2</v>
      </c>
      <c r="C2" s="1" t="s">
        <v>25</v>
      </c>
    </row>
    <row r="3" spans="1:13" x14ac:dyDescent="0.2">
      <c r="A3" t="s">
        <v>9</v>
      </c>
      <c r="B3">
        <v>220.96799999999999</v>
      </c>
      <c r="C3">
        <v>389.82</v>
      </c>
      <c r="D3">
        <v>725.70299999999997</v>
      </c>
    </row>
    <row r="4" spans="1:13" x14ac:dyDescent="0.2">
      <c r="A4" t="s">
        <v>21</v>
      </c>
      <c r="C4">
        <f>C3-B3</f>
        <v>168.852</v>
      </c>
      <c r="D4">
        <f>D3-B3</f>
        <v>504.73500000000001</v>
      </c>
    </row>
    <row r="5" spans="1:13" x14ac:dyDescent="0.2">
      <c r="A5" t="s">
        <v>5</v>
      </c>
      <c r="C5">
        <v>2.5110000000000001</v>
      </c>
      <c r="D5">
        <v>3.6059999999999999</v>
      </c>
    </row>
    <row r="6" spans="1:13" x14ac:dyDescent="0.2">
      <c r="A6" t="s">
        <v>6</v>
      </c>
      <c r="C6">
        <f>SQRT(4+C5^2)</f>
        <v>3.2101590303285596</v>
      </c>
      <c r="D6">
        <f>SQRT(4+D5^2)</f>
        <v>4.1234980295860453</v>
      </c>
    </row>
    <row r="7" spans="1:13" x14ac:dyDescent="0.2">
      <c r="A7" t="s">
        <v>10</v>
      </c>
      <c r="C7">
        <f>C4/189.646</f>
        <v>0.89035360619259052</v>
      </c>
      <c r="D7">
        <f>D4/189.646</f>
        <v>2.6614587178216258</v>
      </c>
    </row>
    <row r="9" spans="1:13" s="1" customFormat="1" x14ac:dyDescent="0.2">
      <c r="A9" s="1" t="s">
        <v>11</v>
      </c>
      <c r="C9" s="1" t="s">
        <v>23</v>
      </c>
      <c r="D9" s="1" t="s">
        <v>25</v>
      </c>
    </row>
    <row r="10" spans="1:13" x14ac:dyDescent="0.2">
      <c r="A10" t="s">
        <v>9</v>
      </c>
      <c r="B10">
        <v>220.96799999999999</v>
      </c>
      <c r="C10">
        <v>410.45299999999997</v>
      </c>
      <c r="D10">
        <v>436.90199999999999</v>
      </c>
      <c r="E10">
        <v>1919.0229999999999</v>
      </c>
      <c r="F10">
        <v>951.35900000000004</v>
      </c>
      <c r="G10">
        <v>716.53899999999999</v>
      </c>
      <c r="H10">
        <v>598.63699999999994</v>
      </c>
      <c r="I10">
        <v>574.65200000000004</v>
      </c>
      <c r="J10">
        <v>478</v>
      </c>
      <c r="K10">
        <v>657.85500000000002</v>
      </c>
      <c r="L10">
        <v>982.47299999999996</v>
      </c>
      <c r="M10">
        <v>881.78099999999995</v>
      </c>
    </row>
    <row r="11" spans="1:13" x14ac:dyDescent="0.2">
      <c r="A11" t="s">
        <v>21</v>
      </c>
      <c r="C11">
        <f>C10-B10</f>
        <v>189.48499999999999</v>
      </c>
      <c r="D11">
        <f>D10-B10</f>
        <v>215.934</v>
      </c>
      <c r="E11">
        <f>E10-B10</f>
        <v>1698.0549999999998</v>
      </c>
      <c r="F11">
        <f>F10-B10</f>
        <v>730.39100000000008</v>
      </c>
      <c r="G11">
        <f>G10-B10</f>
        <v>495.57100000000003</v>
      </c>
      <c r="H11">
        <f>H10-B10</f>
        <v>377.66899999999998</v>
      </c>
      <c r="I11">
        <f>I10-B10</f>
        <v>353.68400000000008</v>
      </c>
      <c r="J11">
        <f>J10-B10</f>
        <v>257.03200000000004</v>
      </c>
      <c r="K11">
        <f>K10-B10</f>
        <v>436.88700000000006</v>
      </c>
      <c r="L11">
        <f>L10-B10</f>
        <v>761.505</v>
      </c>
      <c r="M11">
        <f>M10-B10</f>
        <v>660.81299999999999</v>
      </c>
    </row>
    <row r="12" spans="1:13" x14ac:dyDescent="0.2">
      <c r="A12" t="s">
        <v>31</v>
      </c>
      <c r="C12">
        <v>1.732</v>
      </c>
      <c r="D12">
        <v>6.3289999999999997</v>
      </c>
      <c r="E12">
        <v>3.5609999999999999</v>
      </c>
      <c r="F12">
        <v>2.7370000000000001</v>
      </c>
      <c r="G12">
        <v>3.3929999999999998</v>
      </c>
      <c r="H12">
        <v>2.2160000000000002</v>
      </c>
      <c r="I12">
        <v>1.913</v>
      </c>
      <c r="J12">
        <v>1.49</v>
      </c>
      <c r="K12">
        <v>2.0219999999999998</v>
      </c>
      <c r="L12">
        <v>2.6549999999999998</v>
      </c>
      <c r="M12">
        <v>3.2879999999999998</v>
      </c>
    </row>
    <row r="13" spans="1:13" x14ac:dyDescent="0.2">
      <c r="A13" t="s">
        <v>6</v>
      </c>
      <c r="C13">
        <f t="shared" ref="C13:M13" si="0">SQRT(1+C12^2)</f>
        <v>1.9999559995159892</v>
      </c>
      <c r="D13">
        <f t="shared" si="0"/>
        <v>6.4075144166829618</v>
      </c>
      <c r="E13">
        <f t="shared" si="0"/>
        <v>3.6987458685343606</v>
      </c>
      <c r="F13">
        <f t="shared" si="0"/>
        <v>2.9139610498426363</v>
      </c>
      <c r="G13">
        <f t="shared" si="0"/>
        <v>3.5372940222718268</v>
      </c>
      <c r="H13">
        <f t="shared" si="0"/>
        <v>2.4311840736562917</v>
      </c>
      <c r="I13">
        <f t="shared" si="0"/>
        <v>2.1586034837366497</v>
      </c>
      <c r="J13">
        <f t="shared" si="0"/>
        <v>1.7944637081869335</v>
      </c>
      <c r="K13">
        <f t="shared" si="0"/>
        <v>2.2557668319221293</v>
      </c>
      <c r="L13">
        <f t="shared" si="0"/>
        <v>2.837080365446139</v>
      </c>
      <c r="M13">
        <f t="shared" si="0"/>
        <v>3.4367053990704526</v>
      </c>
    </row>
    <row r="14" spans="1:13" x14ac:dyDescent="0.2">
      <c r="A14" t="s">
        <v>10</v>
      </c>
      <c r="D14">
        <f t="shared" ref="D14:M14" si="1">D11/189.646</f>
        <v>1.1386161585269396</v>
      </c>
      <c r="E14">
        <f t="shared" si="1"/>
        <v>8.9538139480927619</v>
      </c>
      <c r="F14">
        <f t="shared" si="1"/>
        <v>3.8513388102042758</v>
      </c>
      <c r="G14">
        <f t="shared" si="1"/>
        <v>2.6131371080855912</v>
      </c>
      <c r="H14">
        <f t="shared" si="1"/>
        <v>1.9914419497379328</v>
      </c>
      <c r="I14">
        <f t="shared" si="1"/>
        <v>1.8649694694325223</v>
      </c>
      <c r="J14">
        <f t="shared" si="1"/>
        <v>1.3553251848180297</v>
      </c>
      <c r="K14">
        <f t="shared" si="1"/>
        <v>2.3036974151840801</v>
      </c>
      <c r="L14">
        <f t="shared" si="1"/>
        <v>4.015402381278804</v>
      </c>
      <c r="M14">
        <f t="shared" si="1"/>
        <v>3.4844552481992768</v>
      </c>
    </row>
    <row r="16" spans="1:13" s="1" customFormat="1" x14ac:dyDescent="0.2">
      <c r="A16" s="1" t="s">
        <v>39</v>
      </c>
      <c r="C16" s="1" t="s">
        <v>25</v>
      </c>
    </row>
    <row r="17" spans="1:14" x14ac:dyDescent="0.2">
      <c r="A17" t="s">
        <v>9</v>
      </c>
      <c r="B17">
        <v>220.96799999999999</v>
      </c>
      <c r="C17">
        <v>670.37900000000002</v>
      </c>
      <c r="D17">
        <v>1221.3119999999999</v>
      </c>
      <c r="E17">
        <v>934.64499999999998</v>
      </c>
      <c r="F17">
        <v>794.66</v>
      </c>
      <c r="G17">
        <v>844.72299999999996</v>
      </c>
      <c r="H17">
        <v>633.29300000000001</v>
      </c>
      <c r="I17">
        <v>573.75</v>
      </c>
      <c r="J17">
        <v>1681.0160000000001</v>
      </c>
      <c r="K17">
        <v>1570.242</v>
      </c>
      <c r="L17">
        <v>645.66</v>
      </c>
      <c r="M17">
        <v>563.09400000000005</v>
      </c>
      <c r="N17">
        <v>554.01599999999996</v>
      </c>
    </row>
    <row r="18" spans="1:14" x14ac:dyDescent="0.2">
      <c r="A18" t="s">
        <v>4</v>
      </c>
      <c r="C18">
        <f>C17-B17</f>
        <v>449.41100000000006</v>
      </c>
      <c r="D18">
        <f>D17-B17</f>
        <v>1000.3439999999999</v>
      </c>
      <c r="E18">
        <f>E17-B17</f>
        <v>713.67700000000002</v>
      </c>
      <c r="F18">
        <f>F17-B17</f>
        <v>573.69200000000001</v>
      </c>
      <c r="G18">
        <f>G17-B17</f>
        <v>623.755</v>
      </c>
      <c r="H18">
        <f>H17-B17</f>
        <v>412.32500000000005</v>
      </c>
      <c r="I18">
        <f>I17-B17</f>
        <v>352.78200000000004</v>
      </c>
      <c r="J18">
        <f>J17-B17</f>
        <v>1460.048</v>
      </c>
      <c r="K18">
        <f>K17-B17</f>
        <v>1349.2739999999999</v>
      </c>
      <c r="L18">
        <f>L17-B17</f>
        <v>424.69200000000001</v>
      </c>
      <c r="M18">
        <f>M17-B17</f>
        <v>342.12600000000009</v>
      </c>
      <c r="N18">
        <f>N17-B17</f>
        <v>333.048</v>
      </c>
    </row>
    <row r="19" spans="1:14" x14ac:dyDescent="0.2">
      <c r="A19" t="s">
        <v>5</v>
      </c>
      <c r="C19">
        <v>6.2190000000000003</v>
      </c>
      <c r="D19">
        <v>3.4430000000000001</v>
      </c>
      <c r="E19">
        <v>3.1720000000000002</v>
      </c>
      <c r="F19">
        <v>2.5169999999999999</v>
      </c>
      <c r="G19">
        <v>1.4550000000000001</v>
      </c>
      <c r="H19">
        <v>1.105</v>
      </c>
      <c r="I19">
        <v>2.1269999999999998</v>
      </c>
      <c r="J19">
        <v>2.1619999999999999</v>
      </c>
      <c r="K19">
        <v>3.0640000000000001</v>
      </c>
      <c r="L19">
        <v>1.613</v>
      </c>
      <c r="M19">
        <v>2.4489999999999998</v>
      </c>
      <c r="N19">
        <v>2.4489999999999998</v>
      </c>
    </row>
    <row r="20" spans="1:14" x14ac:dyDescent="0.2">
      <c r="A20" t="s">
        <v>10</v>
      </c>
      <c r="C20">
        <f t="shared" ref="C20:N20" si="2">C18/189.646</f>
        <v>2.3697362454256883</v>
      </c>
      <c r="D20">
        <f t="shared" si="2"/>
        <v>5.2747961992343626</v>
      </c>
      <c r="E20">
        <f t="shared" si="2"/>
        <v>3.7632061841536339</v>
      </c>
      <c r="F20">
        <f t="shared" si="2"/>
        <v>3.0250677578224696</v>
      </c>
      <c r="G20">
        <f t="shared" si="2"/>
        <v>3.2890490703732218</v>
      </c>
      <c r="H20">
        <f t="shared" si="2"/>
        <v>2.1741824240954202</v>
      </c>
      <c r="I20">
        <f t="shared" si="2"/>
        <v>1.8602132394039423</v>
      </c>
      <c r="J20">
        <f t="shared" si="2"/>
        <v>7.6988072514052499</v>
      </c>
      <c r="K20">
        <f t="shared" si="2"/>
        <v>7.1146979108444155</v>
      </c>
      <c r="L20">
        <f t="shared" si="2"/>
        <v>2.2393933961169759</v>
      </c>
      <c r="M20">
        <f t="shared" si="2"/>
        <v>1.8040243400862666</v>
      </c>
      <c r="N20">
        <f t="shared" si="2"/>
        <v>1.7561562068274577</v>
      </c>
    </row>
    <row r="22" spans="1:14" s="1" customFormat="1" x14ac:dyDescent="0.2">
      <c r="A22" s="1" t="s">
        <v>13</v>
      </c>
      <c r="C22" s="1" t="s">
        <v>23</v>
      </c>
      <c r="E22" s="1" t="s">
        <v>25</v>
      </c>
    </row>
    <row r="23" spans="1:14" x14ac:dyDescent="0.2">
      <c r="A23" t="s">
        <v>9</v>
      </c>
      <c r="B23">
        <v>220.96799999999999</v>
      </c>
      <c r="C23">
        <v>425.94099999999997</v>
      </c>
      <c r="D23">
        <v>501.56900000000002</v>
      </c>
      <c r="E23">
        <v>618.83199999999999</v>
      </c>
      <c r="F23">
        <v>941.80100000000004</v>
      </c>
      <c r="G23">
        <v>1026.18</v>
      </c>
      <c r="H23">
        <v>1148.2149999999999</v>
      </c>
      <c r="I23">
        <v>1013.398</v>
      </c>
      <c r="J23">
        <v>664.10500000000002</v>
      </c>
      <c r="K23">
        <v>907.34400000000005</v>
      </c>
    </row>
    <row r="24" spans="1:14" x14ac:dyDescent="0.2">
      <c r="A24" t="s">
        <v>4</v>
      </c>
      <c r="C24">
        <f>C23-B23</f>
        <v>204.97299999999998</v>
      </c>
      <c r="D24">
        <f>D23-B23</f>
        <v>280.601</v>
      </c>
      <c r="E24">
        <f>E23-B23</f>
        <v>397.86400000000003</v>
      </c>
      <c r="F24">
        <f>F23-B23</f>
        <v>720.83300000000008</v>
      </c>
      <c r="G24">
        <f>G23-B23</f>
        <v>805.2120000000001</v>
      </c>
      <c r="H24">
        <f>H23-B23</f>
        <v>927.24699999999996</v>
      </c>
      <c r="I24">
        <f>I23-B23</f>
        <v>792.43000000000006</v>
      </c>
      <c r="J24">
        <f>J23-B23</f>
        <v>443.13700000000006</v>
      </c>
      <c r="K24">
        <f>K23-B23</f>
        <v>686.37600000000009</v>
      </c>
    </row>
    <row r="25" spans="1:14" x14ac:dyDescent="0.2">
      <c r="A25" t="s">
        <v>5</v>
      </c>
      <c r="C25">
        <v>4.4809999999999999</v>
      </c>
      <c r="D25">
        <v>3.5710000000000002</v>
      </c>
      <c r="E25">
        <v>3.1110000000000002</v>
      </c>
      <c r="F25">
        <v>2.8969999999999998</v>
      </c>
      <c r="G25">
        <v>2.0249999999999999</v>
      </c>
      <c r="H25">
        <v>1.895</v>
      </c>
      <c r="I25">
        <v>0.45300000000000001</v>
      </c>
      <c r="J25">
        <v>0.88800000000000001</v>
      </c>
      <c r="K25">
        <v>1.8320000000000001</v>
      </c>
    </row>
    <row r="26" spans="1:14" x14ac:dyDescent="0.2">
      <c r="A26" t="s">
        <v>6</v>
      </c>
      <c r="C26">
        <f t="shared" ref="C26:K26" si="3">SQRT(1+C25^2)</f>
        <v>4.5912265245792439</v>
      </c>
      <c r="D26">
        <f t="shared" si="3"/>
        <v>3.7083744417197142</v>
      </c>
      <c r="E26">
        <f t="shared" si="3"/>
        <v>3.2677700347484677</v>
      </c>
      <c r="F26">
        <f t="shared" si="3"/>
        <v>3.0647363671285004</v>
      </c>
      <c r="G26">
        <f t="shared" si="3"/>
        <v>2.2584563312138668</v>
      </c>
      <c r="H26">
        <f t="shared" si="3"/>
        <v>2.1426677297238599</v>
      </c>
      <c r="I26">
        <f t="shared" si="3"/>
        <v>1.0978201127689362</v>
      </c>
      <c r="J26">
        <f t="shared" si="3"/>
        <v>1.3373645725829588</v>
      </c>
      <c r="K26">
        <f t="shared" si="3"/>
        <v>2.0871569179148941</v>
      </c>
    </row>
    <row r="27" spans="1:14" x14ac:dyDescent="0.2">
      <c r="A27" t="s">
        <v>10</v>
      </c>
      <c r="E27">
        <f t="shared" ref="E27:K27" si="4">E24/189.646</f>
        <v>2.0979298271516407</v>
      </c>
      <c r="F27">
        <f t="shared" si="4"/>
        <v>3.8009396454446711</v>
      </c>
      <c r="G27">
        <f t="shared" si="4"/>
        <v>4.24586861837318</v>
      </c>
      <c r="H27">
        <f t="shared" si="4"/>
        <v>4.8893570125391523</v>
      </c>
      <c r="I27">
        <f t="shared" si="4"/>
        <v>4.1784693586998944</v>
      </c>
      <c r="J27">
        <f t="shared" si="4"/>
        <v>2.3366535545173646</v>
      </c>
      <c r="K27">
        <f t="shared" si="4"/>
        <v>3.6192484945635561</v>
      </c>
    </row>
    <row r="29" spans="1:14" s="1" customFormat="1" x14ac:dyDescent="0.2">
      <c r="A29" s="1" t="s">
        <v>14</v>
      </c>
      <c r="C29" s="1" t="s">
        <v>23</v>
      </c>
      <c r="E29" s="1" t="s">
        <v>25</v>
      </c>
    </row>
    <row r="30" spans="1:14" x14ac:dyDescent="0.2">
      <c r="A30" t="s">
        <v>9</v>
      </c>
      <c r="B30">
        <v>220.96799999999999</v>
      </c>
      <c r="C30">
        <v>491.24200000000002</v>
      </c>
      <c r="D30">
        <v>424.25</v>
      </c>
      <c r="E30">
        <v>736.26199999999994</v>
      </c>
      <c r="F30">
        <v>441.25</v>
      </c>
    </row>
    <row r="31" spans="1:14" x14ac:dyDescent="0.2">
      <c r="A31" t="s">
        <v>21</v>
      </c>
      <c r="C31">
        <f>C30-B30</f>
        <v>270.274</v>
      </c>
      <c r="D31">
        <f>D30-B30</f>
        <v>203.28200000000001</v>
      </c>
      <c r="E31">
        <f>E30-B30</f>
        <v>515.29399999999998</v>
      </c>
      <c r="F31">
        <f>F30-B30</f>
        <v>220.28200000000001</v>
      </c>
    </row>
    <row r="32" spans="1:14" x14ac:dyDescent="0.2">
      <c r="A32" t="s">
        <v>5</v>
      </c>
      <c r="C32">
        <v>1.1870000000000001</v>
      </c>
      <c r="D32">
        <v>3.28</v>
      </c>
      <c r="E32">
        <v>2.4729999999999999</v>
      </c>
      <c r="F32">
        <v>0.77100000000000002</v>
      </c>
    </row>
    <row r="33" spans="1:6" x14ac:dyDescent="0.2">
      <c r="A33" t="s">
        <v>6</v>
      </c>
      <c r="C33">
        <f>SQRT(4+C32^2)</f>
        <v>2.3257190286016924</v>
      </c>
      <c r="D33">
        <f>SQRT(4+D32^2)</f>
        <v>3.8416663051337498</v>
      </c>
      <c r="E33">
        <f>SQRT(4+E32^2)</f>
        <v>3.1805233846019743</v>
      </c>
      <c r="F33">
        <f>SQRT(4+F32^2)</f>
        <v>2.1434647186272975</v>
      </c>
    </row>
    <row r="34" spans="1:6" x14ac:dyDescent="0.2">
      <c r="A34" t="s">
        <v>7</v>
      </c>
      <c r="E34">
        <f>E31/189.646</f>
        <v>2.717136137856849</v>
      </c>
      <c r="F34">
        <f>F31/189.646</f>
        <v>1.1615430855383189</v>
      </c>
    </row>
    <row r="36" spans="1:6" s="1" customFormat="1" x14ac:dyDescent="0.2">
      <c r="A36" s="1" t="s">
        <v>15</v>
      </c>
      <c r="C36" s="1" t="s">
        <v>23</v>
      </c>
    </row>
    <row r="37" spans="1:6" x14ac:dyDescent="0.2">
      <c r="A37" t="s">
        <v>3</v>
      </c>
      <c r="B37">
        <v>220.96799999999999</v>
      </c>
      <c r="C37">
        <v>399.875</v>
      </c>
    </row>
    <row r="38" spans="1:6" x14ac:dyDescent="0.2">
      <c r="A38" t="s">
        <v>4</v>
      </c>
      <c r="C38">
        <f>C37-B37</f>
        <v>178.90700000000001</v>
      </c>
    </row>
    <row r="39" spans="1:6" x14ac:dyDescent="0.2">
      <c r="A39" t="s">
        <v>5</v>
      </c>
      <c r="C39">
        <v>3.3370000000000002</v>
      </c>
    </row>
    <row r="40" spans="1:6" x14ac:dyDescent="0.2">
      <c r="A40" t="s">
        <v>6</v>
      </c>
      <c r="C40">
        <f>SQRT(9+C39^2)</f>
        <v>4.4872674312993652</v>
      </c>
    </row>
    <row r="41" spans="1:6" x14ac:dyDescent="0.2">
      <c r="A41" t="s">
        <v>10</v>
      </c>
    </row>
    <row r="43" spans="1:6" x14ac:dyDescent="0.2">
      <c r="A43" t="s">
        <v>33</v>
      </c>
      <c r="B43">
        <f>AVERAGE(C38,C31:D31,C24:D24,C11,)</f>
        <v>189.64599999999999</v>
      </c>
    </row>
    <row r="44" spans="1:6" x14ac:dyDescent="0.2">
      <c r="A44" t="s">
        <v>27</v>
      </c>
      <c r="B44">
        <v>46.368000000000002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BDC9-C127-ED43-BE25-4274ECB89326}">
  <dimension ref="A1:W37"/>
  <sheetViews>
    <sheetView workbookViewId="0">
      <selection activeCell="H8" sqref="H8"/>
    </sheetView>
  </sheetViews>
  <sheetFormatPr baseColWidth="10" defaultColWidth="8.83203125" defaultRowHeight="15" x14ac:dyDescent="0.2"/>
  <cols>
    <col min="1" max="1" width="17.33203125" customWidth="1"/>
  </cols>
  <sheetData>
    <row r="1" spans="1:23" x14ac:dyDescent="0.2">
      <c r="A1" t="s">
        <v>373</v>
      </c>
    </row>
    <row r="2" spans="1:23" s="1" customFormat="1" x14ac:dyDescent="0.2">
      <c r="A2" s="1" t="s">
        <v>1</v>
      </c>
      <c r="C2" s="1" t="s">
        <v>25</v>
      </c>
    </row>
    <row r="3" spans="1:23" x14ac:dyDescent="0.2">
      <c r="A3" t="s">
        <v>9</v>
      </c>
      <c r="B3">
        <v>210.19</v>
      </c>
      <c r="C3">
        <v>270.22300000000001</v>
      </c>
      <c r="D3">
        <v>249.74600000000001</v>
      </c>
      <c r="E3">
        <v>276.14499999999998</v>
      </c>
    </row>
    <row r="4" spans="1:23" x14ac:dyDescent="0.2">
      <c r="A4" t="s">
        <v>4</v>
      </c>
      <c r="C4">
        <f>C3-B3</f>
        <v>60.033000000000015</v>
      </c>
      <c r="D4">
        <f>D3-B3</f>
        <v>39.556000000000012</v>
      </c>
      <c r="E4">
        <f>E3-B3</f>
        <v>65.954999999999984</v>
      </c>
    </row>
    <row r="5" spans="1:23" x14ac:dyDescent="0.2">
      <c r="A5" t="s">
        <v>31</v>
      </c>
      <c r="C5">
        <v>2.9990000000000001</v>
      </c>
      <c r="D5">
        <v>3.5990000000000002</v>
      </c>
      <c r="E5">
        <v>1.0489999999999999</v>
      </c>
    </row>
    <row r="6" spans="1:23" x14ac:dyDescent="0.2">
      <c r="A6" t="s">
        <v>6</v>
      </c>
      <c r="C6">
        <f>SQRT(1+C5^2)</f>
        <v>3.1613289926864621</v>
      </c>
      <c r="D6">
        <f>SQRT(1+D5^2)</f>
        <v>3.735344830132822</v>
      </c>
      <c r="E6">
        <f>SQRT(1+E5^2)</f>
        <v>1.4492760261592681</v>
      </c>
    </row>
    <row r="7" spans="1:23" x14ac:dyDescent="0.2">
      <c r="A7" t="s">
        <v>10</v>
      </c>
      <c r="C7">
        <f>C4/29.275</f>
        <v>2.0506575576430408</v>
      </c>
      <c r="D7">
        <f>D4/29.275</f>
        <v>1.3511870196413327</v>
      </c>
      <c r="E7">
        <f>E4/29.275</f>
        <v>2.2529461998292053</v>
      </c>
    </row>
    <row r="9" spans="1:23" s="1" customFormat="1" x14ac:dyDescent="0.2">
      <c r="A9" s="1" t="s">
        <v>372</v>
      </c>
      <c r="C9" s="1" t="s">
        <v>23</v>
      </c>
      <c r="D9" s="1" t="s">
        <v>25</v>
      </c>
    </row>
    <row r="10" spans="1:23" x14ac:dyDescent="0.2">
      <c r="A10" t="s">
        <v>3</v>
      </c>
      <c r="B10">
        <v>210.19</v>
      </c>
      <c r="C10">
        <v>238.523</v>
      </c>
      <c r="D10">
        <v>353.35899999999998</v>
      </c>
      <c r="E10">
        <v>377.512</v>
      </c>
      <c r="F10">
        <v>297.24200000000002</v>
      </c>
      <c r="G10">
        <v>333.45699999999999</v>
      </c>
      <c r="H10">
        <v>316.762</v>
      </c>
      <c r="I10">
        <v>287.41800000000001</v>
      </c>
      <c r="J10">
        <v>271.27</v>
      </c>
      <c r="K10">
        <v>280.36700000000002</v>
      </c>
      <c r="L10">
        <v>280.62900000000002</v>
      </c>
      <c r="M10">
        <v>260.363</v>
      </c>
      <c r="N10">
        <v>241.67599999999999</v>
      </c>
      <c r="O10">
        <v>291.64800000000002</v>
      </c>
      <c r="P10">
        <v>283.68</v>
      </c>
    </row>
    <row r="11" spans="1:23" x14ac:dyDescent="0.2">
      <c r="A11" t="s">
        <v>4</v>
      </c>
      <c r="C11">
        <f>C10-B10</f>
        <v>28.332999999999998</v>
      </c>
      <c r="D11">
        <f>D10-B10</f>
        <v>143.16899999999998</v>
      </c>
      <c r="E11">
        <f>E10-B10</f>
        <v>167.322</v>
      </c>
      <c r="F11">
        <f>F10-B10</f>
        <v>87.052000000000021</v>
      </c>
      <c r="G11">
        <f>G10-B10</f>
        <v>123.267</v>
      </c>
      <c r="H11">
        <f>H10-B10</f>
        <v>106.572</v>
      </c>
      <c r="I11">
        <f>I10-B10</f>
        <v>77.228000000000009</v>
      </c>
      <c r="J11">
        <f>J10-B10</f>
        <v>61.079999999999984</v>
      </c>
      <c r="K11">
        <f>K10-B10</f>
        <v>70.177000000000021</v>
      </c>
      <c r="L11">
        <f>L10-B10</f>
        <v>70.439000000000021</v>
      </c>
      <c r="M11">
        <f>M10-B10</f>
        <v>50.173000000000002</v>
      </c>
      <c r="N11">
        <f>N10-B10</f>
        <v>31.48599999999999</v>
      </c>
      <c r="O11">
        <f>O10-B10</f>
        <v>81.458000000000027</v>
      </c>
      <c r="P11">
        <f>P10-B10</f>
        <v>73.490000000000009</v>
      </c>
    </row>
    <row r="12" spans="1:23" x14ac:dyDescent="0.2">
      <c r="A12" t="s">
        <v>5</v>
      </c>
      <c r="C12">
        <v>8.8339999999999996</v>
      </c>
      <c r="D12">
        <v>3.637</v>
      </c>
      <c r="E12">
        <v>2.76</v>
      </c>
      <c r="F12">
        <v>1.7490000000000001</v>
      </c>
      <c r="G12">
        <v>1.1080000000000001</v>
      </c>
      <c r="H12">
        <v>2.7570000000000001</v>
      </c>
      <c r="I12">
        <v>2.6819999999999999</v>
      </c>
      <c r="J12">
        <v>2.0179999999999998</v>
      </c>
      <c r="K12">
        <v>1.2070000000000001</v>
      </c>
      <c r="L12">
        <v>1.0129999999999999</v>
      </c>
      <c r="M12">
        <v>2.1850000000000001</v>
      </c>
      <c r="N12">
        <v>2.8079999999999998</v>
      </c>
      <c r="O12">
        <v>3.5259999999999998</v>
      </c>
      <c r="P12">
        <v>4.2320000000000002</v>
      </c>
    </row>
    <row r="13" spans="1:23" x14ac:dyDescent="0.2">
      <c r="A13" t="s">
        <v>10</v>
      </c>
      <c r="D13">
        <f t="shared" ref="D13:P13" si="0">D11/29.275</f>
        <v>4.890486763450042</v>
      </c>
      <c r="E13">
        <f t="shared" si="0"/>
        <v>5.7155251921434678</v>
      </c>
      <c r="F13">
        <f t="shared" si="0"/>
        <v>2.9735952177625968</v>
      </c>
      <c r="G13">
        <f t="shared" si="0"/>
        <v>4.2106575576430405</v>
      </c>
      <c r="H13">
        <f t="shared" si="0"/>
        <v>3.6403757472245948</v>
      </c>
      <c r="I13">
        <f t="shared" si="0"/>
        <v>2.6380187873612302</v>
      </c>
      <c r="J13">
        <f t="shared" si="0"/>
        <v>2.0864218616567034</v>
      </c>
      <c r="K13">
        <f t="shared" si="0"/>
        <v>2.3971648163962436</v>
      </c>
      <c r="L13">
        <f t="shared" si="0"/>
        <v>2.4061144321093093</v>
      </c>
      <c r="M13">
        <f t="shared" si="0"/>
        <v>1.7138514090520924</v>
      </c>
      <c r="N13">
        <f t="shared" si="0"/>
        <v>1.0755251921434668</v>
      </c>
      <c r="O13">
        <f t="shared" si="0"/>
        <v>2.7825106746370634</v>
      </c>
      <c r="P13">
        <f t="shared" si="0"/>
        <v>2.5103330486763453</v>
      </c>
    </row>
    <row r="15" spans="1:23" s="1" customFormat="1" x14ac:dyDescent="0.2">
      <c r="A15" s="1" t="s">
        <v>11</v>
      </c>
      <c r="C15" s="1" t="s">
        <v>23</v>
      </c>
      <c r="E15" s="1" t="s">
        <v>25</v>
      </c>
    </row>
    <row r="16" spans="1:23" x14ac:dyDescent="0.2">
      <c r="A16" t="s">
        <v>9</v>
      </c>
      <c r="B16">
        <v>210.19</v>
      </c>
      <c r="C16">
        <v>250.988</v>
      </c>
      <c r="D16">
        <v>229.691</v>
      </c>
      <c r="E16">
        <v>336.73</v>
      </c>
      <c r="F16">
        <v>276.85199999999998</v>
      </c>
      <c r="G16">
        <v>300.14800000000002</v>
      </c>
      <c r="H16">
        <v>303.20699999999999</v>
      </c>
      <c r="I16">
        <v>318.00400000000002</v>
      </c>
      <c r="J16">
        <v>273.637</v>
      </c>
      <c r="K16">
        <v>394.87099999999998</v>
      </c>
      <c r="L16">
        <v>395.68799999999999</v>
      </c>
      <c r="M16">
        <v>411.75</v>
      </c>
      <c r="N16">
        <v>469.12900000000002</v>
      </c>
      <c r="O16">
        <v>341.488</v>
      </c>
      <c r="P16">
        <v>373.64800000000002</v>
      </c>
      <c r="Q16">
        <v>374.24599999999998</v>
      </c>
      <c r="R16">
        <v>436.10199999999998</v>
      </c>
      <c r="S16">
        <v>424.387</v>
      </c>
      <c r="T16">
        <v>398.64100000000002</v>
      </c>
      <c r="U16">
        <v>369.86700000000002</v>
      </c>
      <c r="V16">
        <v>444.21100000000001</v>
      </c>
      <c r="W16">
        <v>419.56200000000001</v>
      </c>
    </row>
    <row r="17" spans="1:23" x14ac:dyDescent="0.2">
      <c r="A17" t="s">
        <v>4</v>
      </c>
      <c r="C17">
        <f>C16-B16</f>
        <v>40.798000000000002</v>
      </c>
      <c r="D17">
        <f>D16-B16</f>
        <v>19.501000000000005</v>
      </c>
      <c r="E17">
        <f>E16-B16</f>
        <v>126.54000000000002</v>
      </c>
      <c r="F17">
        <f>F16-B16</f>
        <v>66.661999999999978</v>
      </c>
      <c r="G17">
        <f>G16-B16</f>
        <v>89.958000000000027</v>
      </c>
      <c r="H17">
        <f>H16-B16</f>
        <v>93.016999999999996</v>
      </c>
      <c r="I17">
        <f>I16-B16</f>
        <v>107.81400000000002</v>
      </c>
      <c r="J17">
        <f>J16-B16</f>
        <v>63.447000000000003</v>
      </c>
      <c r="K17">
        <f>K16-B16</f>
        <v>184.68099999999998</v>
      </c>
      <c r="L17">
        <f>L16-B16</f>
        <v>185.49799999999999</v>
      </c>
      <c r="M17">
        <f>M16-B16</f>
        <v>201.56</v>
      </c>
      <c r="N17">
        <f>N16-B16</f>
        <v>258.93900000000002</v>
      </c>
      <c r="O17">
        <f>O16-B16</f>
        <v>131.298</v>
      </c>
      <c r="P17">
        <f>P16-B16</f>
        <v>163.45800000000003</v>
      </c>
      <c r="Q17">
        <f>Q16-B16</f>
        <v>164.05599999999998</v>
      </c>
      <c r="R17">
        <f>R16-B16</f>
        <v>225.91199999999998</v>
      </c>
      <c r="S17">
        <f>S16-B16</f>
        <v>214.197</v>
      </c>
      <c r="T17">
        <f>T16-B16</f>
        <v>188.45100000000002</v>
      </c>
      <c r="U17">
        <f>U16-B16</f>
        <v>159.67700000000002</v>
      </c>
      <c r="V17">
        <f>V16-B16</f>
        <v>234.02100000000002</v>
      </c>
      <c r="W17">
        <f>W16-B16</f>
        <v>209.37200000000001</v>
      </c>
    </row>
    <row r="18" spans="1:23" x14ac:dyDescent="0.2">
      <c r="A18" t="s">
        <v>5</v>
      </c>
      <c r="C18">
        <v>7.3760000000000003</v>
      </c>
      <c r="D18">
        <v>6.9139999999999997</v>
      </c>
      <c r="E18">
        <v>7.6459999999999999</v>
      </c>
      <c r="F18">
        <v>3.7749999999999999</v>
      </c>
      <c r="G18">
        <v>2.72</v>
      </c>
      <c r="H18">
        <v>3.3210000000000002</v>
      </c>
      <c r="I18">
        <v>2.1179999999999999</v>
      </c>
      <c r="J18">
        <v>2.2010000000000001</v>
      </c>
      <c r="K18">
        <v>1.3169999999999999</v>
      </c>
      <c r="L18">
        <v>1.7769999999999999</v>
      </c>
      <c r="M18">
        <v>0.78200000000000003</v>
      </c>
      <c r="N18">
        <v>1.758</v>
      </c>
      <c r="O18">
        <v>0.873</v>
      </c>
      <c r="P18">
        <v>1.982</v>
      </c>
      <c r="Q18">
        <v>1.204</v>
      </c>
      <c r="R18">
        <v>2.5299999999999998</v>
      </c>
      <c r="S18">
        <v>1.9410000000000001</v>
      </c>
      <c r="T18">
        <v>2.4239999999999999</v>
      </c>
      <c r="U18">
        <v>4.5999999999999996</v>
      </c>
      <c r="V18">
        <v>3.9729999999999999</v>
      </c>
      <c r="W18">
        <v>3.5950000000000002</v>
      </c>
    </row>
    <row r="19" spans="1:23" x14ac:dyDescent="0.2">
      <c r="A19" t="s">
        <v>6</v>
      </c>
      <c r="C19">
        <f t="shared" ref="C19:W19" si="1">SQRT(1+C18^2)</f>
        <v>7.4434787566029907</v>
      </c>
      <c r="D19">
        <f t="shared" si="1"/>
        <v>6.9859427423934699</v>
      </c>
      <c r="E19">
        <f t="shared" si="1"/>
        <v>7.711116391288618</v>
      </c>
      <c r="F19">
        <f t="shared" si="1"/>
        <v>3.9052048601833937</v>
      </c>
      <c r="G19">
        <f t="shared" si="1"/>
        <v>2.8979993098687933</v>
      </c>
      <c r="H19">
        <f t="shared" si="1"/>
        <v>3.4682907894235169</v>
      </c>
      <c r="I19">
        <f t="shared" si="1"/>
        <v>2.3422049440644601</v>
      </c>
      <c r="J19">
        <f t="shared" si="1"/>
        <v>2.4175195966113701</v>
      </c>
      <c r="K19">
        <f t="shared" si="1"/>
        <v>1.6536290394160353</v>
      </c>
      <c r="L19">
        <f t="shared" si="1"/>
        <v>2.0390510047568697</v>
      </c>
      <c r="M19">
        <f t="shared" si="1"/>
        <v>1.2694581521263315</v>
      </c>
      <c r="N19">
        <f t="shared" si="1"/>
        <v>2.0225142768346531</v>
      </c>
      <c r="O19">
        <f t="shared" si="1"/>
        <v>1.3274520706978463</v>
      </c>
      <c r="P19">
        <f t="shared" si="1"/>
        <v>2.2199828828168924</v>
      </c>
      <c r="Q19">
        <f t="shared" si="1"/>
        <v>1.5651249151425581</v>
      </c>
      <c r="R19">
        <f t="shared" si="1"/>
        <v>2.7204595200076032</v>
      </c>
      <c r="S19">
        <f t="shared" si="1"/>
        <v>2.1834562051939579</v>
      </c>
      <c r="T19">
        <f t="shared" si="1"/>
        <v>2.6221700936438124</v>
      </c>
      <c r="U19">
        <f t="shared" si="1"/>
        <v>4.7074409183759274</v>
      </c>
      <c r="V19">
        <f t="shared" si="1"/>
        <v>4.0969170116076308</v>
      </c>
      <c r="W19">
        <f t="shared" si="1"/>
        <v>3.7314909888675869</v>
      </c>
    </row>
    <row r="20" spans="1:23" x14ac:dyDescent="0.2">
      <c r="A20" t="s">
        <v>10</v>
      </c>
      <c r="E20">
        <f t="shared" ref="E20:W20" si="2">E17/29.275</f>
        <v>4.3224594363791642</v>
      </c>
      <c r="F20">
        <f t="shared" si="2"/>
        <v>2.2770964987190427</v>
      </c>
      <c r="G20">
        <f t="shared" si="2"/>
        <v>3.0728608027327082</v>
      </c>
      <c r="H20">
        <f t="shared" si="2"/>
        <v>3.1773526900085396</v>
      </c>
      <c r="I20">
        <f t="shared" si="2"/>
        <v>3.6828010247651588</v>
      </c>
      <c r="J20">
        <f t="shared" si="2"/>
        <v>2.1672758326216912</v>
      </c>
      <c r="K20">
        <f t="shared" si="2"/>
        <v>6.3084884713919722</v>
      </c>
      <c r="L20">
        <f t="shared" si="2"/>
        <v>6.336396242527754</v>
      </c>
      <c r="M20">
        <f t="shared" si="2"/>
        <v>6.8850555081127247</v>
      </c>
      <c r="N20">
        <f t="shared" si="2"/>
        <v>8.8450555081127256</v>
      </c>
      <c r="O20">
        <f t="shared" si="2"/>
        <v>4.4849871904355254</v>
      </c>
      <c r="P20">
        <f t="shared" si="2"/>
        <v>5.5835354397950478</v>
      </c>
      <c r="Q20">
        <f t="shared" si="2"/>
        <v>5.6039624252775404</v>
      </c>
      <c r="R20">
        <f t="shared" si="2"/>
        <v>7.7168915456874458</v>
      </c>
      <c r="S20">
        <f t="shared" si="2"/>
        <v>7.3167207514944499</v>
      </c>
      <c r="T20">
        <f t="shared" si="2"/>
        <v>6.4372672929120425</v>
      </c>
      <c r="U20">
        <f t="shared" si="2"/>
        <v>5.4543808710503852</v>
      </c>
      <c r="V20">
        <f t="shared" si="2"/>
        <v>7.9938855678906924</v>
      </c>
      <c r="W20">
        <f t="shared" si="2"/>
        <v>7.1519043552519221</v>
      </c>
    </row>
    <row r="22" spans="1:23" s="1" customFormat="1" x14ac:dyDescent="0.2">
      <c r="A22" s="1" t="s">
        <v>29</v>
      </c>
      <c r="C22" s="1" t="s">
        <v>23</v>
      </c>
      <c r="F22" s="1" t="s">
        <v>25</v>
      </c>
    </row>
    <row r="23" spans="1:23" x14ac:dyDescent="0.2">
      <c r="A23" t="s">
        <v>9</v>
      </c>
      <c r="B23">
        <v>210.19</v>
      </c>
      <c r="C23">
        <v>250.98</v>
      </c>
      <c r="D23">
        <v>230.672</v>
      </c>
      <c r="E23">
        <v>235.934</v>
      </c>
      <c r="F23">
        <v>266.14100000000002</v>
      </c>
      <c r="G23">
        <v>272.59800000000001</v>
      </c>
      <c r="H23">
        <v>449.863</v>
      </c>
      <c r="I23">
        <v>455.52</v>
      </c>
      <c r="J23">
        <v>447.43799999999999</v>
      </c>
      <c r="K23">
        <v>406.97300000000001</v>
      </c>
      <c r="L23">
        <v>346.762</v>
      </c>
      <c r="M23">
        <v>324.21100000000001</v>
      </c>
      <c r="N23">
        <v>361.19099999999997</v>
      </c>
      <c r="O23">
        <v>341.5</v>
      </c>
      <c r="P23">
        <v>332.69099999999997</v>
      </c>
      <c r="Q23">
        <v>298.10199999999998</v>
      </c>
      <c r="R23">
        <v>329.23</v>
      </c>
      <c r="S23">
        <v>285.62099999999998</v>
      </c>
    </row>
    <row r="24" spans="1:23" x14ac:dyDescent="0.2">
      <c r="A24" t="s">
        <v>4</v>
      </c>
      <c r="C24">
        <f>C23-B23</f>
        <v>40.789999999999992</v>
      </c>
      <c r="D24">
        <f>D23-B23</f>
        <v>20.481999999999999</v>
      </c>
      <c r="E24">
        <f>E23-B23</f>
        <v>25.744</v>
      </c>
      <c r="F24">
        <f>F23-B23</f>
        <v>55.951000000000022</v>
      </c>
      <c r="G24">
        <f>G23-B23</f>
        <v>62.408000000000015</v>
      </c>
      <c r="H24">
        <f>H23-B23</f>
        <v>239.673</v>
      </c>
      <c r="I24">
        <f>I23-B23</f>
        <v>245.32999999999998</v>
      </c>
      <c r="J24">
        <f>J23-B23</f>
        <v>237.24799999999999</v>
      </c>
      <c r="K24">
        <f>K23-B23</f>
        <v>196.78300000000002</v>
      </c>
      <c r="L24">
        <f>L23-B23</f>
        <v>136.572</v>
      </c>
      <c r="M24">
        <f>M23-B23</f>
        <v>114.02100000000002</v>
      </c>
      <c r="N24">
        <f>N23-B23</f>
        <v>151.00099999999998</v>
      </c>
      <c r="O24">
        <f>O23-B23</f>
        <v>131.31</v>
      </c>
      <c r="P24">
        <f>P23-B23</f>
        <v>122.50099999999998</v>
      </c>
      <c r="Q24">
        <f>Q23-B23</f>
        <v>87.911999999999978</v>
      </c>
      <c r="R24">
        <f>R23-B23</f>
        <v>119.04000000000002</v>
      </c>
      <c r="S24">
        <f>S23-B23</f>
        <v>75.430999999999983</v>
      </c>
    </row>
    <row r="25" spans="1:23" x14ac:dyDescent="0.2">
      <c r="A25" t="s">
        <v>5</v>
      </c>
      <c r="C25">
        <v>6.0369999999999999</v>
      </c>
      <c r="D25">
        <v>6.4189999999999996</v>
      </c>
      <c r="E25">
        <v>5.7</v>
      </c>
      <c r="F25">
        <v>7.2859999999999996</v>
      </c>
      <c r="G25">
        <v>6.94</v>
      </c>
      <c r="H25">
        <v>1.7889999999999999</v>
      </c>
      <c r="I25">
        <v>2.5910000000000002</v>
      </c>
      <c r="J25">
        <v>1.256</v>
      </c>
      <c r="K25">
        <v>1.6279999999999999</v>
      </c>
      <c r="L25">
        <v>0.46</v>
      </c>
      <c r="M25">
        <v>0.94799999999999995</v>
      </c>
      <c r="N25">
        <v>1.3280000000000001</v>
      </c>
      <c r="O25">
        <v>1.6</v>
      </c>
      <c r="P25">
        <v>2.2010000000000001</v>
      </c>
      <c r="Q25">
        <v>2.6789999999999998</v>
      </c>
      <c r="R25">
        <v>3.9089999999999998</v>
      </c>
      <c r="S25">
        <v>3.774</v>
      </c>
    </row>
    <row r="26" spans="1:23" x14ac:dyDescent="0.2">
      <c r="A26" t="s">
        <v>6</v>
      </c>
      <c r="C26">
        <f t="shared" ref="C26:S26" si="3">SQRT(4+C25^2)</f>
        <v>6.3596673655152749</v>
      </c>
      <c r="D26">
        <f t="shared" si="3"/>
        <v>6.7233593537754617</v>
      </c>
      <c r="E26">
        <f t="shared" si="3"/>
        <v>6.0406953242155828</v>
      </c>
      <c r="F26">
        <f t="shared" si="3"/>
        <v>7.5555142776650221</v>
      </c>
      <c r="G26">
        <f t="shared" si="3"/>
        <v>7.2224372617558954</v>
      </c>
      <c r="H26">
        <f t="shared" si="3"/>
        <v>2.6833786538615829</v>
      </c>
      <c r="I26">
        <f t="shared" si="3"/>
        <v>3.2731148772996042</v>
      </c>
      <c r="J26">
        <f t="shared" si="3"/>
        <v>2.3616807574267948</v>
      </c>
      <c r="K26">
        <f t="shared" si="3"/>
        <v>2.5788338449772215</v>
      </c>
      <c r="L26">
        <f t="shared" si="3"/>
        <v>2.0522183119736552</v>
      </c>
      <c r="M26">
        <f t="shared" si="3"/>
        <v>2.2133016061983057</v>
      </c>
      <c r="N26">
        <f t="shared" si="3"/>
        <v>2.4007465505546395</v>
      </c>
      <c r="O26">
        <f t="shared" si="3"/>
        <v>2.5612496949731396</v>
      </c>
      <c r="P26">
        <f t="shared" si="3"/>
        <v>2.9739537656123711</v>
      </c>
      <c r="Q26">
        <f t="shared" si="3"/>
        <v>3.3432081897482839</v>
      </c>
      <c r="R26">
        <f t="shared" si="3"/>
        <v>4.3909316779016274</v>
      </c>
      <c r="S26">
        <f t="shared" si="3"/>
        <v>4.2711914028757834</v>
      </c>
    </row>
    <row r="27" spans="1:23" x14ac:dyDescent="0.2">
      <c r="A27" t="s">
        <v>10</v>
      </c>
      <c r="F27">
        <f t="shared" ref="F27:S27" si="4">F24/29.275</f>
        <v>1.9112211784799324</v>
      </c>
      <c r="G27">
        <f t="shared" si="4"/>
        <v>2.131784799316824</v>
      </c>
      <c r="H27">
        <f t="shared" si="4"/>
        <v>8.1869513236549967</v>
      </c>
      <c r="I27">
        <f t="shared" si="4"/>
        <v>8.3801878736122966</v>
      </c>
      <c r="J27">
        <f t="shared" si="4"/>
        <v>8.1041161400512376</v>
      </c>
      <c r="K27">
        <f t="shared" si="4"/>
        <v>6.7218787361229726</v>
      </c>
      <c r="L27">
        <f t="shared" si="4"/>
        <v>4.6651409052092232</v>
      </c>
      <c r="M27">
        <f t="shared" si="4"/>
        <v>3.8948249359521783</v>
      </c>
      <c r="N27">
        <f t="shared" si="4"/>
        <v>5.1580187873612289</v>
      </c>
      <c r="O27">
        <f t="shared" si="4"/>
        <v>4.4853970964987191</v>
      </c>
      <c r="P27">
        <f t="shared" si="4"/>
        <v>4.1844918872758319</v>
      </c>
      <c r="Q27">
        <f t="shared" si="4"/>
        <v>3.0029718189581547</v>
      </c>
      <c r="R27">
        <f t="shared" si="4"/>
        <v>4.0662681468830071</v>
      </c>
      <c r="S27">
        <f t="shared" si="4"/>
        <v>2.5766353543979501</v>
      </c>
    </row>
    <row r="29" spans="1:23" s="1" customFormat="1" x14ac:dyDescent="0.2">
      <c r="A29" s="1" t="s">
        <v>13</v>
      </c>
      <c r="C29" s="1" t="s">
        <v>25</v>
      </c>
    </row>
    <row r="30" spans="1:23" x14ac:dyDescent="0.2">
      <c r="A30" t="s">
        <v>9</v>
      </c>
      <c r="B30">
        <v>210.19</v>
      </c>
      <c r="C30">
        <v>257.70299999999997</v>
      </c>
      <c r="D30">
        <v>416.71600000000001</v>
      </c>
      <c r="E30">
        <v>313.78100000000001</v>
      </c>
    </row>
    <row r="31" spans="1:23" x14ac:dyDescent="0.2">
      <c r="A31" t="s">
        <v>4</v>
      </c>
      <c r="C31">
        <f>C30-B30</f>
        <v>47.512999999999977</v>
      </c>
      <c r="D31">
        <f>D30-B30</f>
        <v>206.52600000000001</v>
      </c>
      <c r="E31">
        <f>E30-B30</f>
        <v>103.59100000000001</v>
      </c>
    </row>
    <row r="32" spans="1:23" x14ac:dyDescent="0.2">
      <c r="A32" t="s">
        <v>5</v>
      </c>
      <c r="C32">
        <v>4.7359999999999998</v>
      </c>
      <c r="D32">
        <v>3.5390000000000001</v>
      </c>
      <c r="E32">
        <v>1.016</v>
      </c>
    </row>
    <row r="33" spans="1:5" x14ac:dyDescent="0.2">
      <c r="A33" t="s">
        <v>6</v>
      </c>
      <c r="C33">
        <f>SQRT(9+C32^2)</f>
        <v>5.606219403483955</v>
      </c>
      <c r="D33">
        <f>SQRT(9+D32^2)</f>
        <v>4.6394526616832721</v>
      </c>
      <c r="E33">
        <f>SQRT(9+E32^2)</f>
        <v>3.1673736754604751</v>
      </c>
    </row>
    <row r="34" spans="1:5" x14ac:dyDescent="0.2">
      <c r="A34" t="s">
        <v>10</v>
      </c>
      <c r="C34">
        <f>C31/29.275</f>
        <v>1.6229888983774545</v>
      </c>
      <c r="D34">
        <f>D31/29.275</f>
        <v>7.0546883005977801</v>
      </c>
      <c r="E34">
        <f>E31/29.275</f>
        <v>3.5385482493595224</v>
      </c>
    </row>
    <row r="36" spans="1:5" x14ac:dyDescent="0.2">
      <c r="A36" t="s">
        <v>33</v>
      </c>
      <c r="B36">
        <f>AVERAGE(C24:E24,C17:D17,C11)</f>
        <v>29.274666666666665</v>
      </c>
    </row>
    <row r="37" spans="1:5" x14ac:dyDescent="0.2">
      <c r="A37" t="s">
        <v>27</v>
      </c>
      <c r="B37">
        <v>39.511000000000003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5872-240C-9D47-918A-3FB4236F2431}">
  <dimension ref="A1:R51"/>
  <sheetViews>
    <sheetView workbookViewId="0">
      <selection activeCell="H48" sqref="H48"/>
    </sheetView>
  </sheetViews>
  <sheetFormatPr baseColWidth="10" defaultColWidth="8.83203125" defaultRowHeight="15" x14ac:dyDescent="0.2"/>
  <cols>
    <col min="1" max="1" width="17.6640625" customWidth="1"/>
    <col min="2" max="2" width="19" customWidth="1"/>
  </cols>
  <sheetData>
    <row r="1" spans="1:18" x14ac:dyDescent="0.2">
      <c r="A1" t="s">
        <v>620</v>
      </c>
    </row>
    <row r="2" spans="1:18" s="1" customFormat="1" x14ac:dyDescent="0.2">
      <c r="A2" s="1" t="s">
        <v>1</v>
      </c>
      <c r="B2" s="1" t="s">
        <v>256</v>
      </c>
      <c r="C2" s="1" t="s">
        <v>23</v>
      </c>
      <c r="D2" s="1" t="s">
        <v>25</v>
      </c>
    </row>
    <row r="3" spans="1:18" x14ac:dyDescent="0.2">
      <c r="A3" t="s">
        <v>9</v>
      </c>
      <c r="B3">
        <v>328.81299999999999</v>
      </c>
      <c r="C3">
        <v>746.327</v>
      </c>
      <c r="D3">
        <v>874.51900000000001</v>
      </c>
      <c r="E3">
        <v>872.36500000000001</v>
      </c>
      <c r="F3">
        <v>815.94200000000001</v>
      </c>
      <c r="G3">
        <v>744.30799999999999</v>
      </c>
      <c r="H3">
        <v>770.327</v>
      </c>
      <c r="I3">
        <v>1047.577</v>
      </c>
      <c r="J3">
        <v>1249.442</v>
      </c>
      <c r="K3">
        <v>1205.5</v>
      </c>
      <c r="L3">
        <v>1230.865</v>
      </c>
      <c r="M3">
        <v>1341.635</v>
      </c>
      <c r="N3">
        <v>943.86500000000001</v>
      </c>
      <c r="O3">
        <v>887.36500000000001</v>
      </c>
      <c r="P3">
        <v>971.28800000000001</v>
      </c>
    </row>
    <row r="4" spans="1:18" x14ac:dyDescent="0.2">
      <c r="A4" t="s">
        <v>21</v>
      </c>
      <c r="C4">
        <f>C3-B3</f>
        <v>417.51400000000001</v>
      </c>
      <c r="D4">
        <f>D3-B3</f>
        <v>545.70600000000002</v>
      </c>
      <c r="E4">
        <f>E3-B3</f>
        <v>543.55200000000002</v>
      </c>
      <c r="F4">
        <f>F3-B3</f>
        <v>487.12900000000002</v>
      </c>
      <c r="G4">
        <f>G3-B3</f>
        <v>415.495</v>
      </c>
      <c r="H4">
        <f>H3-B3</f>
        <v>441.51400000000001</v>
      </c>
      <c r="I4">
        <f>I3-B3</f>
        <v>718.76400000000001</v>
      </c>
      <c r="J4">
        <f>J3-B3</f>
        <v>920.62900000000002</v>
      </c>
      <c r="K4">
        <f>K3-B3</f>
        <v>876.68700000000001</v>
      </c>
      <c r="L4">
        <f>L3-B3</f>
        <v>902.05200000000002</v>
      </c>
      <c r="M4">
        <f>M3-B3</f>
        <v>1012.822</v>
      </c>
      <c r="N4">
        <f>N3-B3</f>
        <v>615.05200000000002</v>
      </c>
      <c r="O4">
        <f>O3-B3</f>
        <v>558.55200000000002</v>
      </c>
      <c r="P4">
        <f>P3-B3</f>
        <v>642.47500000000002</v>
      </c>
    </row>
    <row r="5" spans="1:18" x14ac:dyDescent="0.2">
      <c r="A5" t="s">
        <v>31</v>
      </c>
      <c r="C5">
        <v>1.5409999999999999</v>
      </c>
      <c r="D5" s="48">
        <v>2.1389999999999998</v>
      </c>
      <c r="E5">
        <v>1.0109999999999999</v>
      </c>
      <c r="F5">
        <v>1.881</v>
      </c>
      <c r="G5">
        <v>2.2469999999999999</v>
      </c>
      <c r="H5">
        <v>1.526</v>
      </c>
      <c r="I5">
        <v>0.747</v>
      </c>
      <c r="J5">
        <v>0.54100000000000004</v>
      </c>
      <c r="K5">
        <v>1.2110000000000001</v>
      </c>
      <c r="L5">
        <v>1.002</v>
      </c>
      <c r="M5">
        <v>1.1990000000000001</v>
      </c>
      <c r="N5">
        <v>1.845</v>
      </c>
      <c r="O5">
        <v>1.819</v>
      </c>
      <c r="P5">
        <v>2.6059999999999999</v>
      </c>
    </row>
    <row r="6" spans="1:18" x14ac:dyDescent="0.2">
      <c r="A6" t="s">
        <v>17</v>
      </c>
      <c r="C6">
        <f t="shared" ref="C6:P6" si="0">SQRT(1+C5^2)</f>
        <v>1.8370304842326379</v>
      </c>
      <c r="D6">
        <f t="shared" si="0"/>
        <v>2.3612117651748221</v>
      </c>
      <c r="E6">
        <f t="shared" si="0"/>
        <v>1.4220130097857755</v>
      </c>
      <c r="F6">
        <f t="shared" si="0"/>
        <v>2.1302959888240882</v>
      </c>
      <c r="G6">
        <f t="shared" si="0"/>
        <v>2.4594733176027748</v>
      </c>
      <c r="H6">
        <f t="shared" si="0"/>
        <v>1.8244659492574806</v>
      </c>
      <c r="I6">
        <f t="shared" si="0"/>
        <v>1.2482023073204118</v>
      </c>
      <c r="J6">
        <f t="shared" si="0"/>
        <v>1.1369613010124839</v>
      </c>
      <c r="K6">
        <f t="shared" si="0"/>
        <v>1.5705161571916413</v>
      </c>
      <c r="L6">
        <f t="shared" si="0"/>
        <v>1.4156284823356728</v>
      </c>
      <c r="M6">
        <f t="shared" si="0"/>
        <v>1.5612818451516048</v>
      </c>
      <c r="N6">
        <f t="shared" si="0"/>
        <v>2.0985768987578224</v>
      </c>
      <c r="O6">
        <f t="shared" si="0"/>
        <v>2.0757555251040523</v>
      </c>
      <c r="P6">
        <f t="shared" si="0"/>
        <v>2.7912785600867571</v>
      </c>
    </row>
    <row r="7" spans="1:18" x14ac:dyDescent="0.2">
      <c r="A7" t="s">
        <v>10</v>
      </c>
      <c r="D7">
        <f t="shared" ref="D7:P7" si="1">D4/392.469</f>
        <v>1.3904435764353364</v>
      </c>
      <c r="E7">
        <f t="shared" si="1"/>
        <v>1.3849552448728435</v>
      </c>
      <c r="F7">
        <f t="shared" si="1"/>
        <v>1.2411910240044437</v>
      </c>
      <c r="G7">
        <f t="shared" si="1"/>
        <v>1.0586696019303437</v>
      </c>
      <c r="H7">
        <f t="shared" si="1"/>
        <v>1.1249652838822939</v>
      </c>
      <c r="I7">
        <f t="shared" si="1"/>
        <v>1.8313905047277619</v>
      </c>
      <c r="J7">
        <f t="shared" si="1"/>
        <v>2.3457368607456894</v>
      </c>
      <c r="K7">
        <f t="shared" si="1"/>
        <v>2.2337738776820588</v>
      </c>
      <c r="L7">
        <f t="shared" si="1"/>
        <v>2.2984031859841161</v>
      </c>
      <c r="M7">
        <f t="shared" si="1"/>
        <v>2.580642037969878</v>
      </c>
      <c r="N7">
        <f t="shared" si="1"/>
        <v>1.5671352387067514</v>
      </c>
      <c r="O7">
        <f t="shared" si="1"/>
        <v>1.4231748239988382</v>
      </c>
      <c r="P7">
        <f t="shared" si="1"/>
        <v>1.637008273264895</v>
      </c>
    </row>
    <row r="9" spans="1:18" s="1" customFormat="1" x14ac:dyDescent="0.2">
      <c r="A9" s="1" t="s">
        <v>372</v>
      </c>
      <c r="B9" s="1" t="s">
        <v>2</v>
      </c>
      <c r="C9" s="1" t="s">
        <v>25</v>
      </c>
    </row>
    <row r="10" spans="1:18" x14ac:dyDescent="0.2">
      <c r="A10" t="s">
        <v>9</v>
      </c>
      <c r="B10">
        <v>328.81299999999999</v>
      </c>
      <c r="C10">
        <v>994.846</v>
      </c>
      <c r="D10">
        <v>1170.462</v>
      </c>
      <c r="E10">
        <v>1112.231</v>
      </c>
      <c r="F10">
        <v>1146.096</v>
      </c>
      <c r="G10">
        <v>1399.115</v>
      </c>
      <c r="H10">
        <v>1833.692</v>
      </c>
      <c r="I10">
        <v>1863.942</v>
      </c>
      <c r="J10">
        <v>1269.519</v>
      </c>
      <c r="K10">
        <v>1917.058</v>
      </c>
      <c r="L10">
        <v>1437.327</v>
      </c>
      <c r="M10">
        <v>946.38499999999999</v>
      </c>
      <c r="N10">
        <v>1136.404</v>
      </c>
      <c r="O10">
        <v>1012.731</v>
      </c>
      <c r="P10">
        <v>1214</v>
      </c>
      <c r="Q10">
        <v>1067.173</v>
      </c>
      <c r="R10">
        <v>729.654</v>
      </c>
    </row>
    <row r="11" spans="1:18" x14ac:dyDescent="0.2">
      <c r="A11" t="s">
        <v>21</v>
      </c>
      <c r="C11">
        <f>C10-B10</f>
        <v>666.03300000000002</v>
      </c>
      <c r="D11">
        <f>D10-B10</f>
        <v>841.649</v>
      </c>
      <c r="E11">
        <f>E10-B10</f>
        <v>783.41800000000001</v>
      </c>
      <c r="F11">
        <f>F10-B10</f>
        <v>817.28300000000002</v>
      </c>
      <c r="G11">
        <f>G10-B10</f>
        <v>1070.3020000000001</v>
      </c>
      <c r="H11">
        <f>H10-B10</f>
        <v>1504.8789999999999</v>
      </c>
      <c r="I11">
        <f>I10-B10</f>
        <v>1535.1289999999999</v>
      </c>
      <c r="J11">
        <f>J10-B10</f>
        <v>940.70600000000002</v>
      </c>
      <c r="K11">
        <f>K10-B10</f>
        <v>1588.2449999999999</v>
      </c>
      <c r="L11">
        <f>L10-B10</f>
        <v>1108.5140000000001</v>
      </c>
      <c r="M11">
        <f>M10-B10</f>
        <v>617.572</v>
      </c>
      <c r="N11">
        <f>N10-B10</f>
        <v>807.59100000000001</v>
      </c>
      <c r="O11">
        <f>O10-B10</f>
        <v>683.91800000000001</v>
      </c>
      <c r="P11">
        <f>P10-B10</f>
        <v>885.18700000000001</v>
      </c>
      <c r="Q11">
        <f>Q10-B10</f>
        <v>738.36</v>
      </c>
      <c r="R11">
        <f>R10-B10</f>
        <v>400.84100000000001</v>
      </c>
    </row>
    <row r="12" spans="1:18" x14ac:dyDescent="0.2">
      <c r="A12" t="s">
        <v>31</v>
      </c>
      <c r="C12">
        <v>2.7509999999999999</v>
      </c>
      <c r="D12">
        <v>2.145</v>
      </c>
      <c r="E12">
        <v>2.069</v>
      </c>
      <c r="F12">
        <v>1.85</v>
      </c>
      <c r="G12">
        <v>1.0720000000000001</v>
      </c>
      <c r="H12">
        <v>1.133</v>
      </c>
      <c r="I12">
        <v>0.65100000000000002</v>
      </c>
      <c r="J12">
        <v>1.8109999999999999</v>
      </c>
      <c r="K12">
        <v>1.1339999999999999</v>
      </c>
      <c r="L12">
        <v>0.81799999999999995</v>
      </c>
      <c r="M12">
        <v>1.7150000000000001</v>
      </c>
      <c r="N12">
        <v>0.85199999999999998</v>
      </c>
      <c r="O12">
        <v>1.883</v>
      </c>
      <c r="P12">
        <v>1.2529999999999999</v>
      </c>
      <c r="Q12">
        <v>1.7629999999999999</v>
      </c>
      <c r="R12">
        <v>6.3460000000000001</v>
      </c>
    </row>
    <row r="13" spans="1:18" x14ac:dyDescent="0.2">
      <c r="A13" t="s">
        <v>10</v>
      </c>
      <c r="C13">
        <f t="shared" ref="C13:R13" si="2">C11/392.469</f>
        <v>1.6970333962682405</v>
      </c>
      <c r="D13">
        <f t="shared" si="2"/>
        <v>2.1444980367876187</v>
      </c>
      <c r="E13">
        <f t="shared" si="2"/>
        <v>1.996127082648566</v>
      </c>
      <c r="F13">
        <f t="shared" si="2"/>
        <v>2.0824141524553532</v>
      </c>
      <c r="G13">
        <f t="shared" si="2"/>
        <v>2.7270994651806899</v>
      </c>
      <c r="H13">
        <f t="shared" si="2"/>
        <v>3.8343894677031813</v>
      </c>
      <c r="I13">
        <f t="shared" si="2"/>
        <v>3.9114656189406039</v>
      </c>
      <c r="J13">
        <f t="shared" si="2"/>
        <v>2.3968924934198625</v>
      </c>
      <c r="K13">
        <f t="shared" si="2"/>
        <v>4.046803696597693</v>
      </c>
      <c r="L13">
        <f t="shared" si="2"/>
        <v>2.8244625690181904</v>
      </c>
      <c r="M13">
        <f t="shared" si="2"/>
        <v>1.5735561279999184</v>
      </c>
      <c r="N13">
        <f t="shared" si="2"/>
        <v>2.0577192083960774</v>
      </c>
      <c r="O13">
        <f t="shared" si="2"/>
        <v>1.7426038744461347</v>
      </c>
      <c r="P13">
        <f t="shared" si="2"/>
        <v>2.2554316391867895</v>
      </c>
      <c r="Q13">
        <f t="shared" si="2"/>
        <v>1.8813205628979615</v>
      </c>
      <c r="R13">
        <f t="shared" si="2"/>
        <v>1.0213316210961885</v>
      </c>
    </row>
    <row r="15" spans="1:18" s="1" customFormat="1" x14ac:dyDescent="0.2">
      <c r="A15" s="1" t="s">
        <v>11</v>
      </c>
      <c r="B15" s="1" t="s">
        <v>2</v>
      </c>
      <c r="C15" s="1" t="s">
        <v>25</v>
      </c>
    </row>
    <row r="16" spans="1:18" x14ac:dyDescent="0.2">
      <c r="A16" t="s">
        <v>3</v>
      </c>
      <c r="B16">
        <v>328.81299999999999</v>
      </c>
      <c r="C16">
        <v>1447.077</v>
      </c>
      <c r="D16">
        <v>1710.788</v>
      </c>
      <c r="E16">
        <v>1651.327</v>
      </c>
      <c r="F16">
        <v>1853.365</v>
      </c>
      <c r="G16">
        <v>2662.212</v>
      </c>
      <c r="H16">
        <v>1921.904</v>
      </c>
      <c r="I16">
        <v>1990.442</v>
      </c>
      <c r="J16">
        <v>2331.1149999999998</v>
      </c>
      <c r="K16">
        <v>1226.788</v>
      </c>
      <c r="L16">
        <v>1877.712</v>
      </c>
      <c r="M16">
        <v>1645.635</v>
      </c>
      <c r="N16">
        <v>988.5</v>
      </c>
    </row>
    <row r="17" spans="1:16" x14ac:dyDescent="0.2">
      <c r="A17" t="s">
        <v>21</v>
      </c>
      <c r="C17">
        <f>C16-B16</f>
        <v>1118.2640000000001</v>
      </c>
      <c r="D17">
        <f>D16-B16</f>
        <v>1381.9749999999999</v>
      </c>
      <c r="E17">
        <f>E16-B16</f>
        <v>1322.5140000000001</v>
      </c>
      <c r="F17">
        <f>F16-B16</f>
        <v>1524.5520000000001</v>
      </c>
      <c r="G17">
        <f>G16-B16</f>
        <v>2333.3989999999999</v>
      </c>
      <c r="H17">
        <f>H16-B16</f>
        <v>1593.0909999999999</v>
      </c>
      <c r="I17">
        <f>I16-B16</f>
        <v>1661.6289999999999</v>
      </c>
      <c r="J17">
        <f>J16-B16</f>
        <v>2002.3019999999997</v>
      </c>
      <c r="K17">
        <f>K16-B16</f>
        <v>897.97500000000002</v>
      </c>
      <c r="L17">
        <f>L16-B16</f>
        <v>1548.8989999999999</v>
      </c>
      <c r="M17">
        <f>M16-B16</f>
        <v>1316.8220000000001</v>
      </c>
      <c r="N17">
        <f>N16-B16</f>
        <v>659.68700000000001</v>
      </c>
    </row>
    <row r="18" spans="1:16" x14ac:dyDescent="0.2">
      <c r="A18" t="s">
        <v>31</v>
      </c>
      <c r="C18">
        <v>1.8080000000000001</v>
      </c>
      <c r="D18">
        <v>1.496</v>
      </c>
      <c r="E18">
        <v>1.552</v>
      </c>
      <c r="F18">
        <v>2.1360000000000001</v>
      </c>
      <c r="G18">
        <v>1.3720000000000001</v>
      </c>
      <c r="H18">
        <v>1.1000000000000001</v>
      </c>
      <c r="I18">
        <v>0.59199999999999997</v>
      </c>
      <c r="J18">
        <v>0.65</v>
      </c>
      <c r="K18">
        <v>1.488</v>
      </c>
      <c r="L18">
        <v>0.67800000000000005</v>
      </c>
      <c r="M18">
        <v>1.4550000000000001</v>
      </c>
      <c r="N18">
        <v>2.0070000000000001</v>
      </c>
    </row>
    <row r="19" spans="1:16" x14ac:dyDescent="0.2">
      <c r="A19" t="s">
        <v>17</v>
      </c>
      <c r="C19">
        <f t="shared" ref="C19:N19" si="3">SQRT(1+C18^2)</f>
        <v>2.0661229392269957</v>
      </c>
      <c r="D19">
        <f t="shared" si="3"/>
        <v>1.7994488044954211</v>
      </c>
      <c r="E19">
        <f t="shared" si="3"/>
        <v>1.8462675862398712</v>
      </c>
      <c r="F19">
        <f t="shared" si="3"/>
        <v>2.3584944350156944</v>
      </c>
      <c r="G19">
        <f t="shared" si="3"/>
        <v>1.6977585222875484</v>
      </c>
      <c r="H19">
        <f t="shared" si="3"/>
        <v>1.4866068747318506</v>
      </c>
      <c r="I19">
        <f t="shared" si="3"/>
        <v>1.1620946605160871</v>
      </c>
      <c r="J19">
        <f t="shared" si="3"/>
        <v>1.1926860441876563</v>
      </c>
      <c r="K19">
        <f t="shared" si="3"/>
        <v>1.7928033913399428</v>
      </c>
      <c r="L19">
        <f t="shared" si="3"/>
        <v>1.2081738285528287</v>
      </c>
      <c r="M19">
        <f t="shared" si="3"/>
        <v>1.7655098413772721</v>
      </c>
      <c r="N19">
        <f t="shared" si="3"/>
        <v>2.242331153063704</v>
      </c>
    </row>
    <row r="20" spans="1:16" x14ac:dyDescent="0.2">
      <c r="A20" t="s">
        <v>10</v>
      </c>
      <c r="C20">
        <f t="shared" ref="C20:N20" si="4">C17/392.469</f>
        <v>2.8493052954500868</v>
      </c>
      <c r="D20">
        <f t="shared" si="4"/>
        <v>3.5212335241764317</v>
      </c>
      <c r="E20">
        <f t="shared" si="4"/>
        <v>3.3697285645490473</v>
      </c>
      <c r="F20">
        <f t="shared" si="4"/>
        <v>3.884515719712895</v>
      </c>
      <c r="G20">
        <f t="shared" si="4"/>
        <v>5.9454351808677881</v>
      </c>
      <c r="H20">
        <f t="shared" si="4"/>
        <v>4.0591511686273307</v>
      </c>
      <c r="I20">
        <f t="shared" si="4"/>
        <v>4.2337840695698254</v>
      </c>
      <c r="J20">
        <f t="shared" si="4"/>
        <v>5.1018093148758235</v>
      </c>
      <c r="K20">
        <f t="shared" si="4"/>
        <v>2.2880151043776706</v>
      </c>
      <c r="L20">
        <f t="shared" si="4"/>
        <v>3.946551192578267</v>
      </c>
      <c r="M20">
        <f t="shared" si="4"/>
        <v>3.3552255082567033</v>
      </c>
      <c r="N20">
        <f t="shared" si="4"/>
        <v>1.6808639663260028</v>
      </c>
    </row>
    <row r="22" spans="1:16" s="1" customFormat="1" x14ac:dyDescent="0.2">
      <c r="A22" s="1" t="s">
        <v>29</v>
      </c>
      <c r="B22" s="1" t="s">
        <v>2</v>
      </c>
      <c r="C22" s="1" t="s">
        <v>25</v>
      </c>
    </row>
    <row r="23" spans="1:16" x14ac:dyDescent="0.2">
      <c r="A23" t="s">
        <v>9</v>
      </c>
      <c r="B23">
        <v>328.81299999999999</v>
      </c>
      <c r="C23">
        <v>1076.635</v>
      </c>
      <c r="D23">
        <v>1518.654</v>
      </c>
      <c r="E23">
        <v>1211.25</v>
      </c>
      <c r="F23">
        <v>5427.25</v>
      </c>
      <c r="G23">
        <v>7336.9620000000004</v>
      </c>
      <c r="H23">
        <v>3868.5770000000002</v>
      </c>
      <c r="I23">
        <v>1504.231</v>
      </c>
      <c r="J23">
        <v>1366.25</v>
      </c>
      <c r="K23">
        <v>1168.154</v>
      </c>
      <c r="L23">
        <v>1022.885</v>
      </c>
      <c r="M23">
        <v>1345.231</v>
      </c>
      <c r="N23">
        <v>842.077</v>
      </c>
      <c r="O23">
        <v>903.63499999999999</v>
      </c>
      <c r="P23">
        <v>951.096</v>
      </c>
    </row>
    <row r="24" spans="1:16" x14ac:dyDescent="0.2">
      <c r="A24" t="s">
        <v>21</v>
      </c>
      <c r="C24">
        <f>C23-B23</f>
        <v>747.822</v>
      </c>
      <c r="D24">
        <f>D23-B23</f>
        <v>1189.8409999999999</v>
      </c>
      <c r="E24">
        <f>E23-B23</f>
        <v>882.43700000000001</v>
      </c>
      <c r="F24">
        <f>F23-B23</f>
        <v>5098.4369999999999</v>
      </c>
      <c r="G24">
        <f>G23-B23</f>
        <v>7008.1490000000003</v>
      </c>
      <c r="H24">
        <f>H23-B23</f>
        <v>3539.7640000000001</v>
      </c>
      <c r="I24">
        <f>I23-B23</f>
        <v>1175.4180000000001</v>
      </c>
      <c r="J24">
        <f>J23-B23</f>
        <v>1037.4369999999999</v>
      </c>
      <c r="K24">
        <f>K23-B23</f>
        <v>839.34100000000001</v>
      </c>
      <c r="L24">
        <f>L23-B23</f>
        <v>694.072</v>
      </c>
      <c r="M24">
        <f>M23-B23</f>
        <v>1016.418</v>
      </c>
      <c r="N24">
        <f>N23-B23</f>
        <v>513.26400000000001</v>
      </c>
      <c r="O24">
        <f>O23-B23</f>
        <v>574.822</v>
      </c>
      <c r="P24">
        <f>P23-B23</f>
        <v>622.28300000000002</v>
      </c>
    </row>
    <row r="25" spans="1:16" x14ac:dyDescent="0.2">
      <c r="A25" t="s">
        <v>31</v>
      </c>
      <c r="C25">
        <v>1.944</v>
      </c>
      <c r="D25">
        <v>1.7</v>
      </c>
      <c r="E25">
        <v>0.88500000000000001</v>
      </c>
      <c r="F25">
        <v>1.4750000000000001</v>
      </c>
      <c r="G25">
        <v>1.9</v>
      </c>
      <c r="H25">
        <v>1.077</v>
      </c>
      <c r="I25">
        <v>0.82499999999999996</v>
      </c>
      <c r="J25">
        <v>0.68500000000000005</v>
      </c>
      <c r="K25">
        <v>1.4279999999999999</v>
      </c>
      <c r="L25">
        <v>1.556</v>
      </c>
      <c r="M25">
        <v>0.73</v>
      </c>
      <c r="N25">
        <v>1.8640000000000001</v>
      </c>
      <c r="O25">
        <v>1.365</v>
      </c>
      <c r="P25">
        <v>5.907</v>
      </c>
    </row>
    <row r="26" spans="1:16" x14ac:dyDescent="0.2">
      <c r="A26" t="s">
        <v>17</v>
      </c>
      <c r="C26">
        <f t="shared" ref="C26:P26" si="5">SQRT(4+C25^2)</f>
        <v>2.7891102523923288</v>
      </c>
      <c r="D26">
        <f t="shared" si="5"/>
        <v>2.6248809496813372</v>
      </c>
      <c r="E26">
        <f t="shared" si="5"/>
        <v>2.1870585268803393</v>
      </c>
      <c r="F26">
        <f t="shared" si="5"/>
        <v>2.4850804815941072</v>
      </c>
      <c r="G26">
        <f t="shared" si="5"/>
        <v>2.758622844826744</v>
      </c>
      <c r="H26">
        <f t="shared" si="5"/>
        <v>2.2715477102627628</v>
      </c>
      <c r="I26">
        <f t="shared" si="5"/>
        <v>2.1634752136319935</v>
      </c>
      <c r="J26">
        <f t="shared" si="5"/>
        <v>2.1140541620308597</v>
      </c>
      <c r="K26">
        <f t="shared" si="5"/>
        <v>2.457475127035877</v>
      </c>
      <c r="L26">
        <f t="shared" si="5"/>
        <v>2.5339960536670141</v>
      </c>
      <c r="M26">
        <f t="shared" si="5"/>
        <v>2.1290608258102912</v>
      </c>
      <c r="N26">
        <f t="shared" si="5"/>
        <v>2.7339524502083061</v>
      </c>
      <c r="O26">
        <f t="shared" si="5"/>
        <v>2.4214097133694659</v>
      </c>
      <c r="P26">
        <f t="shared" si="5"/>
        <v>6.2363971169257653</v>
      </c>
    </row>
    <row r="27" spans="1:16" x14ac:dyDescent="0.2">
      <c r="A27" t="s">
        <v>36</v>
      </c>
      <c r="C27">
        <f t="shared" ref="C27:P27" si="6">C24/392.469</f>
        <v>1.9054294734106387</v>
      </c>
      <c r="D27">
        <f t="shared" si="6"/>
        <v>3.0316814831235077</v>
      </c>
      <c r="E27">
        <f t="shared" si="6"/>
        <v>2.2484247163470235</v>
      </c>
      <c r="F27">
        <f t="shared" si="6"/>
        <v>12.990674422693257</v>
      </c>
      <c r="G27">
        <f t="shared" si="6"/>
        <v>17.856567015484028</v>
      </c>
      <c r="H27">
        <f t="shared" si="6"/>
        <v>9.0192193523564921</v>
      </c>
      <c r="I27">
        <f t="shared" si="6"/>
        <v>2.9949320838078934</v>
      </c>
      <c r="J27">
        <f t="shared" si="6"/>
        <v>2.6433603673156347</v>
      </c>
      <c r="K27">
        <f t="shared" si="6"/>
        <v>2.1386173175460992</v>
      </c>
      <c r="L27">
        <f t="shared" si="6"/>
        <v>1.7684759815424913</v>
      </c>
      <c r="M27">
        <f t="shared" si="6"/>
        <v>2.5898045450723499</v>
      </c>
      <c r="N27">
        <f t="shared" si="6"/>
        <v>1.3077822707016351</v>
      </c>
      <c r="O27">
        <f t="shared" si="6"/>
        <v>1.4646303274908337</v>
      </c>
      <c r="P27">
        <f t="shared" si="6"/>
        <v>1.5855596238174225</v>
      </c>
    </row>
    <row r="29" spans="1:16" s="1" customFormat="1" x14ac:dyDescent="0.2">
      <c r="A29" s="1" t="s">
        <v>13</v>
      </c>
      <c r="B29" s="1" t="s">
        <v>2</v>
      </c>
      <c r="C29" s="1" t="s">
        <v>25</v>
      </c>
    </row>
    <row r="30" spans="1:16" x14ac:dyDescent="0.2">
      <c r="A30" t="s">
        <v>3</v>
      </c>
      <c r="B30">
        <v>328.81299999999999</v>
      </c>
      <c r="C30">
        <v>952.5</v>
      </c>
      <c r="D30">
        <v>807.51900000000001</v>
      </c>
      <c r="E30">
        <v>1164.327</v>
      </c>
      <c r="F30">
        <v>1051.365</v>
      </c>
      <c r="G30">
        <v>962.096</v>
      </c>
      <c r="H30">
        <v>922.14400000000001</v>
      </c>
      <c r="I30">
        <v>3802.4810000000002</v>
      </c>
      <c r="J30">
        <v>4643.9809999999998</v>
      </c>
      <c r="K30">
        <v>4059.692</v>
      </c>
    </row>
    <row r="31" spans="1:16" x14ac:dyDescent="0.2">
      <c r="A31" t="s">
        <v>21</v>
      </c>
      <c r="C31">
        <f>C30-B30</f>
        <v>623.68700000000001</v>
      </c>
      <c r="D31">
        <f>D30-B30</f>
        <v>478.70600000000002</v>
      </c>
      <c r="E31">
        <f>E30-B30</f>
        <v>835.51400000000001</v>
      </c>
      <c r="F31">
        <f>F30-B30</f>
        <v>722.55200000000002</v>
      </c>
      <c r="G31">
        <f>G30-B30</f>
        <v>633.28300000000002</v>
      </c>
      <c r="H31">
        <f>H30-B30</f>
        <v>593.33100000000002</v>
      </c>
      <c r="I31">
        <f>I30-B30</f>
        <v>3473.6680000000001</v>
      </c>
      <c r="J31">
        <f>J30-B30</f>
        <v>4315.1679999999997</v>
      </c>
      <c r="K31">
        <f>K30-B30</f>
        <v>3730.8789999999999</v>
      </c>
    </row>
    <row r="32" spans="1:16" x14ac:dyDescent="0.2">
      <c r="A32" t="s">
        <v>31</v>
      </c>
      <c r="C32">
        <v>6.08</v>
      </c>
      <c r="D32">
        <v>1.8640000000000001</v>
      </c>
      <c r="E32">
        <v>0.63100000000000001</v>
      </c>
      <c r="F32">
        <v>1.149</v>
      </c>
      <c r="G32">
        <v>1.6359999999999999</v>
      </c>
      <c r="H32">
        <v>1.355</v>
      </c>
      <c r="I32">
        <v>1.728</v>
      </c>
      <c r="J32">
        <v>1.6719999999999999</v>
      </c>
      <c r="K32">
        <v>2.3940000000000001</v>
      </c>
    </row>
    <row r="33" spans="1:12" x14ac:dyDescent="0.2">
      <c r="A33" t="s">
        <v>17</v>
      </c>
      <c r="C33">
        <f t="shared" ref="C33:K33" si="7">SQRT(9+C32^2)</f>
        <v>6.7798525057703136</v>
      </c>
      <c r="D33">
        <f t="shared" si="7"/>
        <v>3.531925254022231</v>
      </c>
      <c r="E33">
        <f t="shared" si="7"/>
        <v>3.0656420208497925</v>
      </c>
      <c r="F33">
        <f t="shared" si="7"/>
        <v>3.2125069649729947</v>
      </c>
      <c r="G33">
        <f t="shared" si="7"/>
        <v>3.4170888194485083</v>
      </c>
      <c r="H33">
        <f t="shared" si="7"/>
        <v>3.2918118111459531</v>
      </c>
      <c r="I33">
        <f t="shared" si="7"/>
        <v>3.4620779887229576</v>
      </c>
      <c r="J33">
        <f t="shared" si="7"/>
        <v>3.4344699736640587</v>
      </c>
      <c r="K33">
        <f t="shared" si="7"/>
        <v>3.8381292318003051</v>
      </c>
    </row>
    <row r="34" spans="1:12" x14ac:dyDescent="0.2">
      <c r="A34" t="s">
        <v>10</v>
      </c>
      <c r="C34">
        <f t="shared" ref="C34:K34" si="8">C31/392.469</f>
        <v>1.5891369764236156</v>
      </c>
      <c r="D34">
        <f t="shared" si="8"/>
        <v>1.2197294563392269</v>
      </c>
      <c r="E34">
        <f t="shared" si="8"/>
        <v>2.1288662289250873</v>
      </c>
      <c r="F34">
        <f t="shared" si="8"/>
        <v>1.8410422224430465</v>
      </c>
      <c r="G34">
        <f t="shared" si="8"/>
        <v>1.6135873151764852</v>
      </c>
      <c r="H34">
        <f t="shared" si="8"/>
        <v>1.5117907401603694</v>
      </c>
      <c r="I34">
        <f t="shared" si="8"/>
        <v>8.8508085988957088</v>
      </c>
      <c r="J34">
        <f t="shared" si="8"/>
        <v>10.994926987864009</v>
      </c>
      <c r="K34">
        <f t="shared" si="8"/>
        <v>9.5061750100007902</v>
      </c>
    </row>
    <row r="36" spans="1:12" s="1" customFormat="1" x14ac:dyDescent="0.2">
      <c r="A36" s="1" t="s">
        <v>14</v>
      </c>
      <c r="B36" s="1" t="s">
        <v>2</v>
      </c>
      <c r="C36" s="1" t="s">
        <v>23</v>
      </c>
      <c r="E36" s="1" t="s">
        <v>25</v>
      </c>
    </row>
    <row r="37" spans="1:12" x14ac:dyDescent="0.2">
      <c r="A37" t="s">
        <v>3</v>
      </c>
      <c r="B37">
        <v>328.81299999999999</v>
      </c>
      <c r="C37">
        <v>656</v>
      </c>
      <c r="D37">
        <v>761.51900000000001</v>
      </c>
      <c r="E37">
        <v>844.5</v>
      </c>
      <c r="F37">
        <v>775.154</v>
      </c>
      <c r="G37">
        <v>959.846</v>
      </c>
      <c r="H37">
        <v>970.173</v>
      </c>
      <c r="I37">
        <v>1176.731</v>
      </c>
      <c r="J37">
        <v>1589.731</v>
      </c>
      <c r="K37">
        <v>1515.577</v>
      </c>
      <c r="L37">
        <v>1586.692</v>
      </c>
    </row>
    <row r="38" spans="1:12" x14ac:dyDescent="0.2">
      <c r="A38" t="s">
        <v>4</v>
      </c>
      <c r="C38">
        <f>C37-B37</f>
        <v>327.18700000000001</v>
      </c>
      <c r="D38">
        <f>D37-B37</f>
        <v>432.70600000000002</v>
      </c>
      <c r="E38">
        <f>E37-B37</f>
        <v>515.68700000000001</v>
      </c>
      <c r="F38">
        <f>F37-B37</f>
        <v>446.34100000000001</v>
      </c>
      <c r="G38">
        <f>G37-B37</f>
        <v>631.03300000000002</v>
      </c>
      <c r="H38">
        <f>H37-B37</f>
        <v>641.36</v>
      </c>
      <c r="I38">
        <f>I37-B37</f>
        <v>847.91800000000001</v>
      </c>
      <c r="J38">
        <f>J37-B37</f>
        <v>1260.9180000000001</v>
      </c>
      <c r="K38">
        <f>K37-B37</f>
        <v>1186.7640000000001</v>
      </c>
      <c r="L38">
        <f>L37-B37</f>
        <v>1257.8789999999999</v>
      </c>
    </row>
    <row r="39" spans="1:12" x14ac:dyDescent="0.2">
      <c r="A39" t="s">
        <v>31</v>
      </c>
      <c r="C39">
        <v>7.2169999999999996</v>
      </c>
      <c r="D39">
        <v>6.28</v>
      </c>
      <c r="E39">
        <v>1.7230000000000001</v>
      </c>
      <c r="F39">
        <v>1.194</v>
      </c>
      <c r="G39">
        <v>1.742</v>
      </c>
      <c r="H39">
        <v>2.1440000000000001</v>
      </c>
      <c r="I39">
        <v>2.302</v>
      </c>
      <c r="J39">
        <v>2.524</v>
      </c>
      <c r="K39">
        <v>2.0470000000000002</v>
      </c>
      <c r="L39">
        <v>1.26</v>
      </c>
    </row>
    <row r="40" spans="1:12" x14ac:dyDescent="0.2">
      <c r="A40" t="s">
        <v>17</v>
      </c>
      <c r="C40">
        <f t="shared" ref="C40:L40" si="9">SQRT(16+C39^2)</f>
        <v>8.251368916731332</v>
      </c>
      <c r="D40">
        <f t="shared" si="9"/>
        <v>7.4456967437574306</v>
      </c>
      <c r="E40">
        <f t="shared" si="9"/>
        <v>4.3553104366967919</v>
      </c>
      <c r="F40">
        <f t="shared" si="9"/>
        <v>4.1744024722108435</v>
      </c>
      <c r="G40">
        <f t="shared" si="9"/>
        <v>4.3628619047593062</v>
      </c>
      <c r="H40">
        <f t="shared" si="9"/>
        <v>4.5383627003579168</v>
      </c>
      <c r="I40">
        <f t="shared" si="9"/>
        <v>4.6151060659534142</v>
      </c>
      <c r="J40">
        <f t="shared" si="9"/>
        <v>4.7297543276580445</v>
      </c>
      <c r="K40">
        <f t="shared" si="9"/>
        <v>4.4933516443741635</v>
      </c>
      <c r="L40">
        <f t="shared" si="9"/>
        <v>4.1937572652694151</v>
      </c>
    </row>
    <row r="41" spans="1:12" x14ac:dyDescent="0.2">
      <c r="A41" t="s">
        <v>10</v>
      </c>
      <c r="E41">
        <f t="shared" ref="E41:L41" si="10">E38/392.469</f>
        <v>1.3139560067164542</v>
      </c>
      <c r="F41">
        <f t="shared" si="10"/>
        <v>1.137264344445039</v>
      </c>
      <c r="G41">
        <f t="shared" si="10"/>
        <v>1.607854378307586</v>
      </c>
      <c r="H41">
        <f t="shared" si="10"/>
        <v>1.6341672845498625</v>
      </c>
      <c r="I41">
        <f t="shared" si="10"/>
        <v>2.160471272890343</v>
      </c>
      <c r="J41">
        <f t="shared" si="10"/>
        <v>3.2127836848260629</v>
      </c>
      <c r="K41">
        <f t="shared" si="10"/>
        <v>3.0238413734587959</v>
      </c>
      <c r="L41">
        <f t="shared" si="10"/>
        <v>3.2050403980951359</v>
      </c>
    </row>
    <row r="43" spans="1:12" s="1" customFormat="1" x14ac:dyDescent="0.2">
      <c r="A43" s="1" t="s">
        <v>15</v>
      </c>
      <c r="B43" s="1" t="s">
        <v>2</v>
      </c>
      <c r="C43" s="1" t="s">
        <v>25</v>
      </c>
    </row>
    <row r="44" spans="1:12" x14ac:dyDescent="0.2">
      <c r="A44" t="s">
        <v>3</v>
      </c>
      <c r="B44">
        <v>328.81299999999999</v>
      </c>
      <c r="C44">
        <v>880.21199999999999</v>
      </c>
      <c r="D44">
        <v>1052.827</v>
      </c>
      <c r="E44">
        <v>982.78800000000001</v>
      </c>
    </row>
    <row r="45" spans="1:12" x14ac:dyDescent="0.2">
      <c r="A45" t="s">
        <v>21</v>
      </c>
      <c r="C45">
        <f>C44-B44</f>
        <v>551.399</v>
      </c>
      <c r="D45">
        <f>D44-B44</f>
        <v>724.01400000000001</v>
      </c>
      <c r="E45">
        <f>E44-B44</f>
        <v>653.97500000000002</v>
      </c>
    </row>
    <row r="46" spans="1:12" x14ac:dyDescent="0.2">
      <c r="A46" t="s">
        <v>31</v>
      </c>
      <c r="C46">
        <v>1.8069999999999999</v>
      </c>
      <c r="D46">
        <v>1.484</v>
      </c>
      <c r="E46">
        <v>2.0590000000000002</v>
      </c>
    </row>
    <row r="47" spans="1:12" x14ac:dyDescent="0.2">
      <c r="A47" t="s">
        <v>17</v>
      </c>
      <c r="C47">
        <f>SQRT(25+C46^2)</f>
        <v>5.3165072180897113</v>
      </c>
      <c r="D47">
        <f>SQRT(25+D46^2)</f>
        <v>5.2155782038044451</v>
      </c>
      <c r="E47">
        <f>SQRT(25+E46^2)</f>
        <v>5.407354343854303</v>
      </c>
    </row>
    <row r="48" spans="1:12" x14ac:dyDescent="0.2">
      <c r="A48" t="s">
        <v>10</v>
      </c>
      <c r="C48">
        <f>C45/392.469</f>
        <v>1.4049491806996222</v>
      </c>
      <c r="D48">
        <f>D45/392.469</f>
        <v>1.8447673574218602</v>
      </c>
      <c r="E48">
        <f>E45/392.469</f>
        <v>1.6663099505948242</v>
      </c>
    </row>
    <row r="50" spans="1:2" x14ac:dyDescent="0.2">
      <c r="A50" t="s">
        <v>33</v>
      </c>
      <c r="B50">
        <f>AVERAGE(C38:D38,C4)</f>
        <v>392.46900000000005</v>
      </c>
    </row>
    <row r="51" spans="1:2" x14ac:dyDescent="0.2">
      <c r="A51" t="s">
        <v>27</v>
      </c>
      <c r="B51">
        <v>38.450000000000003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1EAD-197B-7B48-8E0C-F0B907378AA6}">
  <dimension ref="A1:W67"/>
  <sheetViews>
    <sheetView tabSelected="1" topLeftCell="A13" workbookViewId="0">
      <selection activeCell="F73" sqref="F73"/>
    </sheetView>
  </sheetViews>
  <sheetFormatPr baseColWidth="10" defaultColWidth="8.83203125" defaultRowHeight="15" x14ac:dyDescent="0.2"/>
  <cols>
    <col min="1" max="1" width="34.5" bestFit="1" customWidth="1"/>
    <col min="2" max="2" width="19.1640625" bestFit="1" customWidth="1"/>
    <col min="4" max="4" width="10.6640625" customWidth="1"/>
    <col min="5" max="5" width="12.5" customWidth="1"/>
    <col min="7" max="7" width="12.5" customWidth="1"/>
    <col min="8" max="9" width="12" customWidth="1"/>
    <col min="10" max="10" width="13.6640625" customWidth="1"/>
    <col min="16" max="16" width="10.1640625" customWidth="1"/>
  </cols>
  <sheetData>
    <row r="1" spans="1:9" ht="32" x14ac:dyDescent="0.2">
      <c r="A1" t="s">
        <v>227</v>
      </c>
      <c r="C1" s="26" t="s">
        <v>226</v>
      </c>
    </row>
    <row r="2" spans="1:9" x14ac:dyDescent="0.2">
      <c r="A2" t="s">
        <v>374</v>
      </c>
      <c r="C2" t="s">
        <v>222</v>
      </c>
    </row>
    <row r="3" spans="1:9" s="1" customFormat="1" x14ac:dyDescent="0.2">
      <c r="A3" s="1" t="s">
        <v>787</v>
      </c>
      <c r="B3" s="1" t="s">
        <v>256</v>
      </c>
      <c r="C3" s="1" t="s">
        <v>23</v>
      </c>
    </row>
    <row r="4" spans="1:9" x14ac:dyDescent="0.2">
      <c r="A4" t="s">
        <v>253</v>
      </c>
      <c r="B4">
        <v>207.53700000000001</v>
      </c>
      <c r="C4">
        <v>237.07400000000001</v>
      </c>
      <c r="D4">
        <v>247.81200000000001</v>
      </c>
      <c r="E4">
        <v>226.78100000000001</v>
      </c>
      <c r="F4">
        <v>280.03100000000001</v>
      </c>
      <c r="G4">
        <v>218.74600000000001</v>
      </c>
      <c r="H4">
        <v>230.44900000000001</v>
      </c>
      <c r="I4">
        <v>238.29300000000001</v>
      </c>
    </row>
    <row r="5" spans="1:9" x14ac:dyDescent="0.2">
      <c r="A5" t="s">
        <v>252</v>
      </c>
      <c r="C5">
        <f>C4-B4</f>
        <v>29.537000000000006</v>
      </c>
      <c r="D5">
        <f>D4-B4</f>
        <v>40.275000000000006</v>
      </c>
      <c r="E5">
        <f>E4-B4</f>
        <v>19.244</v>
      </c>
      <c r="F5">
        <f>F4-B4</f>
        <v>72.494</v>
      </c>
      <c r="G5">
        <f>G4-B4</f>
        <v>11.209000000000003</v>
      </c>
      <c r="H5">
        <f>H4-B4</f>
        <v>22.912000000000006</v>
      </c>
      <c r="I5">
        <f>I4-B4</f>
        <v>30.756</v>
      </c>
    </row>
    <row r="6" spans="1:9" x14ac:dyDescent="0.2">
      <c r="A6" t="s">
        <v>31</v>
      </c>
      <c r="C6">
        <v>10.185</v>
      </c>
      <c r="D6">
        <v>8.048</v>
      </c>
      <c r="E6">
        <v>9.0649999999999995</v>
      </c>
      <c r="F6">
        <v>4.84</v>
      </c>
      <c r="G6">
        <v>3.2530000000000001</v>
      </c>
      <c r="H6">
        <v>9.4939999999999998</v>
      </c>
      <c r="I6">
        <v>7.6849999999999996</v>
      </c>
    </row>
    <row r="7" spans="1:9" x14ac:dyDescent="0.2">
      <c r="A7" t="s">
        <v>6</v>
      </c>
      <c r="C7">
        <f t="shared" ref="C7:I7" si="0">SQRT(36 + C6^2)</f>
        <v>11.820923187298021</v>
      </c>
      <c r="D7">
        <f t="shared" si="0"/>
        <v>10.038441313271697</v>
      </c>
      <c r="E7">
        <f t="shared" si="0"/>
        <v>10.870796888912974</v>
      </c>
      <c r="F7">
        <f t="shared" si="0"/>
        <v>7.708800166044</v>
      </c>
      <c r="G7">
        <f t="shared" si="0"/>
        <v>6.8251013911882659</v>
      </c>
      <c r="H7">
        <f t="shared" si="0"/>
        <v>11.231030050712178</v>
      </c>
      <c r="I7">
        <f t="shared" si="0"/>
        <v>9.7498320498355255</v>
      </c>
    </row>
    <row r="9" spans="1:9" s="1" customFormat="1" x14ac:dyDescent="0.2">
      <c r="A9" s="1" t="s">
        <v>786</v>
      </c>
      <c r="B9" s="1" t="s">
        <v>256</v>
      </c>
      <c r="C9" s="1" t="s">
        <v>23</v>
      </c>
      <c r="E9" s="1" t="s">
        <v>254</v>
      </c>
    </row>
    <row r="10" spans="1:9" x14ac:dyDescent="0.2">
      <c r="A10" t="s">
        <v>253</v>
      </c>
      <c r="B10">
        <v>207.53700000000001</v>
      </c>
      <c r="C10">
        <v>224.477</v>
      </c>
      <c r="D10">
        <v>240.887</v>
      </c>
      <c r="E10">
        <v>279.54300000000001</v>
      </c>
      <c r="F10">
        <v>256.863</v>
      </c>
    </row>
    <row r="11" spans="1:9" x14ac:dyDescent="0.2">
      <c r="A11" t="s">
        <v>252</v>
      </c>
      <c r="C11">
        <f>C10-B10</f>
        <v>16.939999999999998</v>
      </c>
      <c r="D11">
        <f>D10-B10</f>
        <v>33.349999999999994</v>
      </c>
      <c r="E11">
        <f>E10-B10</f>
        <v>72.006</v>
      </c>
      <c r="F11">
        <f>F10-B10</f>
        <v>49.325999999999993</v>
      </c>
    </row>
    <row r="12" spans="1:9" x14ac:dyDescent="0.2">
      <c r="A12" t="s">
        <v>31</v>
      </c>
      <c r="C12">
        <v>8.0649999999999995</v>
      </c>
      <c r="D12">
        <v>4.9260000000000002</v>
      </c>
      <c r="E12">
        <v>7.7480000000000002</v>
      </c>
      <c r="F12">
        <v>7.8230000000000004</v>
      </c>
    </row>
    <row r="13" spans="1:9" x14ac:dyDescent="0.2">
      <c r="A13" t="s">
        <v>17</v>
      </c>
      <c r="C13">
        <f>SQRT(25+C12^2)</f>
        <v>9.4891635563942085</v>
      </c>
      <c r="D13">
        <f>SQRT(25+D12^2)</f>
        <v>7.0189369565483348</v>
      </c>
      <c r="E13">
        <f>SQRT(25+E12^2)</f>
        <v>9.2212528432962948</v>
      </c>
      <c r="F13">
        <f>SQRT(25+F12^2)</f>
        <v>9.2843593747764857</v>
      </c>
    </row>
    <row r="14" spans="1:9" x14ac:dyDescent="0.2">
      <c r="A14" t="s">
        <v>251</v>
      </c>
      <c r="E14">
        <f>E11/B67</f>
        <v>3.3023903914921982</v>
      </c>
      <c r="F14">
        <f>F11/B67</f>
        <v>2.2622240986965552</v>
      </c>
    </row>
    <row r="15" spans="1:9" s="1" customFormat="1" x14ac:dyDescent="0.2">
      <c r="A15" s="1" t="s">
        <v>785</v>
      </c>
      <c r="B15" s="1" t="s">
        <v>256</v>
      </c>
      <c r="C15" s="1" t="s">
        <v>254</v>
      </c>
    </row>
    <row r="16" spans="1:9" x14ac:dyDescent="0.2">
      <c r="A16" t="s">
        <v>253</v>
      </c>
      <c r="B16">
        <v>207.53700000000001</v>
      </c>
      <c r="C16">
        <v>216.43899999999999</v>
      </c>
      <c r="D16">
        <v>225.00399999999999</v>
      </c>
    </row>
    <row r="17" spans="1:18" x14ac:dyDescent="0.2">
      <c r="A17" t="s">
        <v>252</v>
      </c>
      <c r="C17">
        <f>C16-B16</f>
        <v>8.9019999999999868</v>
      </c>
      <c r="D17">
        <f>D16-B16</f>
        <v>17.466999999999985</v>
      </c>
    </row>
    <row r="18" spans="1:18" x14ac:dyDescent="0.2">
      <c r="A18" t="s">
        <v>5</v>
      </c>
      <c r="C18">
        <v>7.5949999999999998</v>
      </c>
      <c r="D18">
        <v>7.585</v>
      </c>
    </row>
    <row r="19" spans="1:18" x14ac:dyDescent="0.2">
      <c r="A19" t="s">
        <v>6</v>
      </c>
      <c r="C19">
        <f>SQRT(16+C18^2)</f>
        <v>8.5839399462018608</v>
      </c>
      <c r="D19">
        <f>SQRT(16+D18^2)</f>
        <v>8.5750932939531328</v>
      </c>
    </row>
    <row r="20" spans="1:18" x14ac:dyDescent="0.2">
      <c r="A20" t="s">
        <v>251</v>
      </c>
      <c r="C20">
        <f>C17/B67</f>
        <v>0.40826985619342143</v>
      </c>
      <c r="D20">
        <f>D17/B67</f>
        <v>0.80108397867114089</v>
      </c>
    </row>
    <row r="21" spans="1:18" s="1" customFormat="1" x14ac:dyDescent="0.2">
      <c r="A21" s="1" t="s">
        <v>784</v>
      </c>
      <c r="B21" s="1" t="s">
        <v>256</v>
      </c>
      <c r="C21" s="1" t="s">
        <v>23</v>
      </c>
    </row>
    <row r="22" spans="1:18" x14ac:dyDescent="0.2">
      <c r="A22" t="s">
        <v>253</v>
      </c>
      <c r="B22">
        <v>207.53700000000001</v>
      </c>
      <c r="C22">
        <v>227.82</v>
      </c>
      <c r="D22">
        <v>229.36699999999999</v>
      </c>
      <c r="E22">
        <v>221.60900000000001</v>
      </c>
    </row>
    <row r="23" spans="1:18" x14ac:dyDescent="0.2">
      <c r="A23" t="s">
        <v>252</v>
      </c>
      <c r="C23">
        <f>C22-B22</f>
        <v>20.282999999999987</v>
      </c>
      <c r="D23">
        <f>D22-B22</f>
        <v>21.829999999999984</v>
      </c>
      <c r="E23">
        <f>E22-B22</f>
        <v>14.072000000000003</v>
      </c>
    </row>
    <row r="24" spans="1:18" x14ac:dyDescent="0.2">
      <c r="A24" t="s">
        <v>31</v>
      </c>
      <c r="C24">
        <v>7.7210000000000001</v>
      </c>
      <c r="D24">
        <v>2.6240000000000001</v>
      </c>
      <c r="E24">
        <v>10.175000000000001</v>
      </c>
    </row>
    <row r="25" spans="1:18" x14ac:dyDescent="0.2">
      <c r="A25" t="s">
        <v>17</v>
      </c>
      <c r="C25">
        <f>SQRT(9+C24^2)</f>
        <v>8.2833472099146004</v>
      </c>
      <c r="D25">
        <f>SQRT(9+D24^2)</f>
        <v>3.9856462462190496</v>
      </c>
      <c r="E25">
        <f>SQRT(9+E24^2)</f>
        <v>10.608045295906312</v>
      </c>
    </row>
    <row r="27" spans="1:18" s="1" customFormat="1" x14ac:dyDescent="0.2">
      <c r="A27" s="1" t="s">
        <v>783</v>
      </c>
      <c r="B27" s="1" t="s">
        <v>256</v>
      </c>
      <c r="C27" s="1" t="s">
        <v>23</v>
      </c>
      <c r="H27" s="1" t="s">
        <v>254</v>
      </c>
    </row>
    <row r="28" spans="1:18" x14ac:dyDescent="0.2">
      <c r="A28" t="s">
        <v>253</v>
      </c>
      <c r="B28">
        <v>207.53700000000001</v>
      </c>
      <c r="C28">
        <v>216.547</v>
      </c>
      <c r="D28">
        <v>214.52699999999999</v>
      </c>
      <c r="E28">
        <v>215.78899999999999</v>
      </c>
      <c r="F28">
        <v>230.578</v>
      </c>
      <c r="G28">
        <v>230.29300000000001</v>
      </c>
      <c r="H28">
        <v>232.34</v>
      </c>
      <c r="I28">
        <v>282.53500000000003</v>
      </c>
      <c r="J28">
        <v>221.797</v>
      </c>
      <c r="K28">
        <v>220.44900000000001</v>
      </c>
      <c r="L28">
        <v>226.22900000000001</v>
      </c>
      <c r="M28">
        <v>216.30500000000001</v>
      </c>
      <c r="N28">
        <v>218.648</v>
      </c>
      <c r="O28">
        <v>214.74600000000001</v>
      </c>
      <c r="P28">
        <v>214.773</v>
      </c>
      <c r="Q28">
        <v>214.09</v>
      </c>
      <c r="R28">
        <v>216.55099999999999</v>
      </c>
    </row>
    <row r="29" spans="1:18" x14ac:dyDescent="0.2">
      <c r="A29" t="s">
        <v>267</v>
      </c>
      <c r="C29">
        <f>C28-B28</f>
        <v>9.0099999999999909</v>
      </c>
      <c r="D29">
        <f>D28-B28</f>
        <v>6.9899999999999807</v>
      </c>
      <c r="E29">
        <f>E28-B28</f>
        <v>8.2519999999999811</v>
      </c>
      <c r="F29">
        <f>F28-B28</f>
        <v>23.040999999999997</v>
      </c>
      <c r="G29">
        <f>G28-B28</f>
        <v>22.756</v>
      </c>
      <c r="H29">
        <f>H28-B28</f>
        <v>24.802999999999997</v>
      </c>
      <c r="I29">
        <f>I28-B28</f>
        <v>74.998000000000019</v>
      </c>
      <c r="J29">
        <f>J28-B28</f>
        <v>14.259999999999991</v>
      </c>
      <c r="K29">
        <f>K28-B28</f>
        <v>12.912000000000006</v>
      </c>
      <c r="L29">
        <f>L28-B28</f>
        <v>18.692000000000007</v>
      </c>
      <c r="M29">
        <f>M28-B28</f>
        <v>8.7680000000000007</v>
      </c>
      <c r="N29">
        <f>N28-B28</f>
        <v>11.11099999999999</v>
      </c>
      <c r="O29">
        <f>O28-B28</f>
        <v>7.2090000000000032</v>
      </c>
      <c r="P29">
        <f>P28-B28</f>
        <v>7.23599999999999</v>
      </c>
      <c r="Q29">
        <f>Q28-B28</f>
        <v>6.5529999999999973</v>
      </c>
      <c r="R29">
        <f>R28-B28</f>
        <v>9.0139999999999816</v>
      </c>
    </row>
    <row r="30" spans="1:18" x14ac:dyDescent="0.2">
      <c r="A30" t="s">
        <v>31</v>
      </c>
      <c r="C30">
        <v>14.794</v>
      </c>
      <c r="D30">
        <v>13.541</v>
      </c>
      <c r="E30">
        <v>14.959</v>
      </c>
      <c r="F30">
        <v>10.321999999999999</v>
      </c>
      <c r="G30">
        <v>4.8479999999999999</v>
      </c>
      <c r="H30">
        <v>2.0670000000000002</v>
      </c>
      <c r="I30">
        <v>2.532</v>
      </c>
      <c r="J30">
        <v>2.2290000000000001</v>
      </c>
      <c r="K30">
        <v>2.2709999999999999</v>
      </c>
      <c r="L30">
        <v>2.617</v>
      </c>
      <c r="M30">
        <v>4.12</v>
      </c>
      <c r="N30">
        <v>3.649</v>
      </c>
      <c r="O30">
        <v>4.202</v>
      </c>
      <c r="P30">
        <v>4.6509999999999998</v>
      </c>
      <c r="Q30">
        <v>5.4660000000000002</v>
      </c>
      <c r="R30">
        <v>5.3730000000000002</v>
      </c>
    </row>
    <row r="31" spans="1:18" x14ac:dyDescent="0.2">
      <c r="A31" t="s">
        <v>17</v>
      </c>
      <c r="C31">
        <f t="shared" ref="C31:R31" si="1">SQRT(4+C30^2)</f>
        <v>14.928577829116879</v>
      </c>
      <c r="D31">
        <f t="shared" si="1"/>
        <v>13.687902724668962</v>
      </c>
      <c r="E31">
        <f t="shared" si="1"/>
        <v>15.092106579268515</v>
      </c>
      <c r="F31">
        <f t="shared" si="1"/>
        <v>10.513975651484076</v>
      </c>
      <c r="G31">
        <f t="shared" si="1"/>
        <v>5.2443401872876247</v>
      </c>
      <c r="H31">
        <f t="shared" si="1"/>
        <v>2.8761934914049161</v>
      </c>
      <c r="I31">
        <f t="shared" si="1"/>
        <v>3.2266118452643169</v>
      </c>
      <c r="J31">
        <f t="shared" si="1"/>
        <v>2.9947355475901376</v>
      </c>
      <c r="K31">
        <f t="shared" si="1"/>
        <v>3.026126401854357</v>
      </c>
      <c r="L31">
        <f t="shared" si="1"/>
        <v>3.2937348102116539</v>
      </c>
      <c r="M31">
        <f t="shared" si="1"/>
        <v>4.5797816541839635</v>
      </c>
      <c r="N31">
        <f t="shared" si="1"/>
        <v>4.161153806337853</v>
      </c>
      <c r="O31">
        <f t="shared" si="1"/>
        <v>4.6536871403221767</v>
      </c>
      <c r="P31">
        <f t="shared" si="1"/>
        <v>5.0627858931619851</v>
      </c>
      <c r="Q31">
        <f t="shared" si="1"/>
        <v>5.8204085767238025</v>
      </c>
      <c r="R31">
        <f t="shared" si="1"/>
        <v>5.7331604722003027</v>
      </c>
    </row>
    <row r="32" spans="1:18" x14ac:dyDescent="0.2">
      <c r="A32" t="s">
        <v>251</v>
      </c>
      <c r="H32">
        <f t="shared" ref="H32:R32" si="2">H29/21.804206</f>
        <v>1.1375328227957484</v>
      </c>
      <c r="I32">
        <f t="shared" si="2"/>
        <v>3.4396116052104819</v>
      </c>
      <c r="J32">
        <f t="shared" si="2"/>
        <v>0.65400225993095051</v>
      </c>
      <c r="K32">
        <f t="shared" si="2"/>
        <v>0.59217932540171403</v>
      </c>
      <c r="L32">
        <f t="shared" si="2"/>
        <v>0.85726579541580217</v>
      </c>
      <c r="M32">
        <f t="shared" si="2"/>
        <v>0.40212425070649216</v>
      </c>
      <c r="N32">
        <f t="shared" si="2"/>
        <v>0.50958058275545504</v>
      </c>
      <c r="O32">
        <f t="shared" si="2"/>
        <v>0.33062428414040862</v>
      </c>
      <c r="P32">
        <f t="shared" si="2"/>
        <v>0.3318625773394358</v>
      </c>
      <c r="Q32">
        <f t="shared" si="2"/>
        <v>0.30053834567514165</v>
      </c>
      <c r="R32">
        <f t="shared" si="2"/>
        <v>0.41340647763096633</v>
      </c>
    </row>
    <row r="34" spans="1:23" s="1" customFormat="1" x14ac:dyDescent="0.2">
      <c r="A34" s="1" t="s">
        <v>782</v>
      </c>
      <c r="B34" s="1" t="s">
        <v>256</v>
      </c>
      <c r="C34" s="1" t="s">
        <v>626</v>
      </c>
      <c r="D34" s="1" t="s">
        <v>23</v>
      </c>
      <c r="G34" s="1" t="s">
        <v>776</v>
      </c>
    </row>
    <row r="35" spans="1:23" x14ac:dyDescent="0.2">
      <c r="A35" t="s">
        <v>781</v>
      </c>
      <c r="B35">
        <v>207.53700000000001</v>
      </c>
      <c r="C35">
        <v>231.75800000000001</v>
      </c>
      <c r="D35">
        <v>221.38300000000001</v>
      </c>
      <c r="E35">
        <v>223.797</v>
      </c>
      <c r="F35">
        <v>236.57</v>
      </c>
      <c r="G35">
        <v>272.24599999999998</v>
      </c>
      <c r="H35">
        <v>230.59</v>
      </c>
      <c r="I35">
        <v>222.863</v>
      </c>
      <c r="J35">
        <v>236.33600000000001</v>
      </c>
      <c r="K35">
        <v>228.56200000000001</v>
      </c>
      <c r="L35">
        <v>213.934</v>
      </c>
      <c r="M35">
        <v>215.64500000000001</v>
      </c>
      <c r="N35">
        <v>221.523</v>
      </c>
      <c r="O35">
        <v>221.84</v>
      </c>
      <c r="P35">
        <v>228.852</v>
      </c>
      <c r="Q35">
        <v>218.89099999999999</v>
      </c>
      <c r="R35">
        <v>219.82</v>
      </c>
      <c r="S35">
        <v>225.00800000000001</v>
      </c>
      <c r="T35">
        <v>219.16800000000001</v>
      </c>
      <c r="U35">
        <v>216.98</v>
      </c>
      <c r="V35">
        <v>225.27699999999999</v>
      </c>
    </row>
    <row r="36" spans="1:23" x14ac:dyDescent="0.2">
      <c r="A36" t="s">
        <v>252</v>
      </c>
      <c r="C36">
        <f>C35-B35</f>
        <v>24.221000000000004</v>
      </c>
      <c r="D36">
        <f>D35-B35</f>
        <v>13.846000000000004</v>
      </c>
      <c r="E36">
        <f>E35-B35</f>
        <v>16.259999999999991</v>
      </c>
      <c r="F36">
        <f>F35-B35</f>
        <v>29.032999999999987</v>
      </c>
      <c r="G36">
        <f>G35-B35</f>
        <v>64.708999999999975</v>
      </c>
      <c r="H36">
        <f>H35-B35</f>
        <v>23.052999999999997</v>
      </c>
      <c r="I36">
        <f>I35-B35</f>
        <v>15.325999999999993</v>
      </c>
      <c r="J36">
        <f>J35-B35</f>
        <v>28.799000000000007</v>
      </c>
      <c r="K36">
        <f>K35-B35</f>
        <v>21.025000000000006</v>
      </c>
      <c r="L36">
        <f>L35-B35</f>
        <v>6.3969999999999914</v>
      </c>
      <c r="M36">
        <f>M35-B35</f>
        <v>8.1080000000000041</v>
      </c>
      <c r="N36">
        <f>N35-B35</f>
        <v>13.98599999999999</v>
      </c>
      <c r="O36">
        <f>O35-B35</f>
        <v>14.302999999999997</v>
      </c>
      <c r="P36">
        <f>P35-B35</f>
        <v>21.314999999999998</v>
      </c>
      <c r="Q36">
        <f>Q35-B35</f>
        <v>11.353999999999985</v>
      </c>
      <c r="R36">
        <f>R35-B35</f>
        <v>12.282999999999987</v>
      </c>
      <c r="S36">
        <f>S35-B35</f>
        <v>17.471000000000004</v>
      </c>
      <c r="T36">
        <f>T35-B35</f>
        <v>11.631</v>
      </c>
      <c r="U36">
        <f>U35-B35</f>
        <v>9.4429999999999836</v>
      </c>
      <c r="V36">
        <f>V35-B35</f>
        <v>17.739999999999981</v>
      </c>
    </row>
    <row r="37" spans="1:23" x14ac:dyDescent="0.2">
      <c r="A37" t="s">
        <v>5</v>
      </c>
      <c r="C37">
        <v>12.223000000000001</v>
      </c>
      <c r="D37">
        <v>13.58</v>
      </c>
      <c r="E37">
        <v>14.942</v>
      </c>
      <c r="F37">
        <v>4.8369999999999997</v>
      </c>
      <c r="G37">
        <v>2.2250000000000001</v>
      </c>
      <c r="H37">
        <v>1.712</v>
      </c>
      <c r="I37">
        <v>2.1760000000000002</v>
      </c>
      <c r="J37">
        <v>2.1480000000000001</v>
      </c>
      <c r="K37">
        <v>2.95</v>
      </c>
      <c r="L37">
        <v>5.6539999999999999</v>
      </c>
      <c r="M37">
        <v>5.87</v>
      </c>
      <c r="N37">
        <v>4.0449999999999999</v>
      </c>
      <c r="O37">
        <v>3.891</v>
      </c>
      <c r="P37">
        <v>3.7719999999999998</v>
      </c>
      <c r="Q37">
        <v>4.37</v>
      </c>
      <c r="R37">
        <v>4.7359999999999998</v>
      </c>
      <c r="S37">
        <v>5.5949999999999998</v>
      </c>
      <c r="T37">
        <v>5.7590000000000003</v>
      </c>
      <c r="U37">
        <v>5.4829999999999997</v>
      </c>
      <c r="V37">
        <v>5.4</v>
      </c>
    </row>
    <row r="38" spans="1:23" x14ac:dyDescent="0.2">
      <c r="A38" t="s">
        <v>6</v>
      </c>
      <c r="C38">
        <f t="shared" ref="C38:V38" si="3">SQRT(1+C37^2)</f>
        <v>12.263838265404514</v>
      </c>
      <c r="D38">
        <f t="shared" si="3"/>
        <v>13.616769073462324</v>
      </c>
      <c r="E38">
        <f t="shared" si="3"/>
        <v>14.975425336196631</v>
      </c>
      <c r="F38">
        <f t="shared" si="3"/>
        <v>4.9392883090582993</v>
      </c>
      <c r="G38">
        <f t="shared" si="3"/>
        <v>2.4393902926756104</v>
      </c>
      <c r="H38">
        <f t="shared" si="3"/>
        <v>1.982660838368479</v>
      </c>
      <c r="I38">
        <f t="shared" si="3"/>
        <v>2.3947809920742231</v>
      </c>
      <c r="J38">
        <f t="shared" si="3"/>
        <v>2.3693678481822955</v>
      </c>
      <c r="K38">
        <f t="shared" si="3"/>
        <v>3.114883625434504</v>
      </c>
      <c r="L38">
        <f t="shared" si="3"/>
        <v>5.7417519974307494</v>
      </c>
      <c r="M38">
        <f t="shared" si="3"/>
        <v>5.9545696737883587</v>
      </c>
      <c r="N38">
        <f t="shared" si="3"/>
        <v>4.1667763318901576</v>
      </c>
      <c r="O38">
        <f t="shared" si="3"/>
        <v>4.0174470749469746</v>
      </c>
      <c r="P38">
        <f t="shared" si="3"/>
        <v>3.9023049598922941</v>
      </c>
      <c r="Q38">
        <f t="shared" si="3"/>
        <v>4.4829566136646921</v>
      </c>
      <c r="R38">
        <f t="shared" si="3"/>
        <v>4.8404231220008027</v>
      </c>
      <c r="S38">
        <f t="shared" si="3"/>
        <v>5.6836629914167149</v>
      </c>
      <c r="T38">
        <f t="shared" si="3"/>
        <v>5.8451758741717947</v>
      </c>
      <c r="U38">
        <f t="shared" si="3"/>
        <v>5.5734449849262884</v>
      </c>
      <c r="V38">
        <f t="shared" si="3"/>
        <v>5.4918120870983929</v>
      </c>
    </row>
    <row r="39" spans="1:23" ht="16" thickBot="1" x14ac:dyDescent="0.25">
      <c r="A39" t="s">
        <v>251</v>
      </c>
      <c r="G39">
        <f t="shared" ref="G39:V39" si="4">G36/21.804206</f>
        <v>2.9677301709587578</v>
      </c>
      <c r="H39">
        <f t="shared" si="4"/>
        <v>1.0572730784143205</v>
      </c>
      <c r="I39">
        <f t="shared" si="4"/>
        <v>0.70289190993700912</v>
      </c>
      <c r="J39">
        <f t="shared" si="4"/>
        <v>1.3208002162518555</v>
      </c>
      <c r="K39">
        <f t="shared" si="4"/>
        <v>0.96426350035401454</v>
      </c>
      <c r="L39">
        <f t="shared" si="4"/>
        <v>0.2933837627474255</v>
      </c>
      <c r="M39">
        <f t="shared" si="4"/>
        <v>0.37185486139692514</v>
      </c>
      <c r="N39">
        <f t="shared" si="4"/>
        <v>0.64143587709637262</v>
      </c>
      <c r="O39">
        <f t="shared" si="4"/>
        <v>0.65597435650718017</v>
      </c>
      <c r="P39">
        <f t="shared" si="4"/>
        <v>0.97756368656579362</v>
      </c>
      <c r="Q39">
        <f t="shared" si="4"/>
        <v>0.52072522154670453</v>
      </c>
      <c r="R39">
        <f t="shared" si="4"/>
        <v>0.56333168013547419</v>
      </c>
      <c r="S39">
        <f t="shared" si="4"/>
        <v>0.80126742519310279</v>
      </c>
      <c r="T39">
        <f t="shared" si="4"/>
        <v>0.53342919251450849</v>
      </c>
      <c r="U39">
        <f t="shared" si="4"/>
        <v>0.43308158068218505</v>
      </c>
      <c r="V39">
        <f t="shared" si="4"/>
        <v>0.8136044944723041</v>
      </c>
    </row>
    <row r="40" spans="1:23" ht="16" thickBot="1" x14ac:dyDescent="0.25">
      <c r="A40" s="1" t="s">
        <v>780</v>
      </c>
      <c r="B40" s="24" t="s">
        <v>70</v>
      </c>
      <c r="C40" s="1" t="s">
        <v>23</v>
      </c>
      <c r="D40" s="1" t="s">
        <v>23</v>
      </c>
      <c r="E40" s="1" t="s">
        <v>23</v>
      </c>
      <c r="F40" s="1" t="s">
        <v>23</v>
      </c>
      <c r="G40" s="1" t="s">
        <v>23</v>
      </c>
      <c r="H40" s="1" t="s">
        <v>23</v>
      </c>
      <c r="I40" s="1" t="s">
        <v>260</v>
      </c>
      <c r="J40" s="1" t="s">
        <v>776</v>
      </c>
      <c r="W40" t="s">
        <v>779</v>
      </c>
    </row>
    <row r="41" spans="1:23" x14ac:dyDescent="0.2">
      <c r="A41" t="s">
        <v>63</v>
      </c>
      <c r="B41">
        <v>207.53700000000001</v>
      </c>
      <c r="C41">
        <v>223.28899999999999</v>
      </c>
      <c r="D41">
        <v>226.672</v>
      </c>
      <c r="E41">
        <v>224.25800000000001</v>
      </c>
      <c r="F41">
        <v>230.34800000000001</v>
      </c>
      <c r="G41">
        <v>235.934</v>
      </c>
      <c r="H41">
        <v>220.89099999999999</v>
      </c>
      <c r="J41">
        <v>280.68799999999999</v>
      </c>
      <c r="K41">
        <v>270.24599999999998</v>
      </c>
      <c r="L41">
        <v>250.255</v>
      </c>
      <c r="M41">
        <v>260.60899999999998</v>
      </c>
      <c r="N41">
        <v>262.08600000000001</v>
      </c>
      <c r="O41">
        <v>269.05099999999999</v>
      </c>
      <c r="P41">
        <v>242.375</v>
      </c>
      <c r="Q41">
        <v>244.25399999999999</v>
      </c>
      <c r="R41">
        <v>227.40600000000001</v>
      </c>
      <c r="S41">
        <v>226.21100000000001</v>
      </c>
      <c r="T41">
        <v>220.703</v>
      </c>
      <c r="U41">
        <v>221.51599999999999</v>
      </c>
      <c r="W41">
        <v>55.932000000000002</v>
      </c>
    </row>
    <row r="42" spans="1:23" x14ac:dyDescent="0.2">
      <c r="A42" t="s">
        <v>62</v>
      </c>
      <c r="C42">
        <f>C41-B41</f>
        <v>15.751999999999981</v>
      </c>
      <c r="D42">
        <f>D41-B41</f>
        <v>19.134999999999991</v>
      </c>
      <c r="E42">
        <f>E41-B41</f>
        <v>16.721000000000004</v>
      </c>
      <c r="F42">
        <f>F41-B41</f>
        <v>22.811000000000007</v>
      </c>
      <c r="G42">
        <f>G41-B41</f>
        <v>28.396999999999991</v>
      </c>
      <c r="H42">
        <f>H41-B41</f>
        <v>13.353999999999985</v>
      </c>
      <c r="J42">
        <f>J41-B41</f>
        <v>73.150999999999982</v>
      </c>
      <c r="K42">
        <f>K41-B41</f>
        <v>62.708999999999975</v>
      </c>
      <c r="L42">
        <f>L41-B41</f>
        <v>42.717999999999989</v>
      </c>
      <c r="M42">
        <f>M41-B41</f>
        <v>53.071999999999974</v>
      </c>
      <c r="N42">
        <f>N41-B41</f>
        <v>54.549000000000007</v>
      </c>
      <c r="O42">
        <f>O41-B41</f>
        <v>61.513999999999982</v>
      </c>
      <c r="P42">
        <f>P41-B41</f>
        <v>34.837999999999994</v>
      </c>
      <c r="Q42">
        <f>Q41-B41</f>
        <v>36.716999999999985</v>
      </c>
      <c r="R42">
        <f>R41-B41</f>
        <v>19.869</v>
      </c>
      <c r="S42">
        <f>S41-B41</f>
        <v>18.674000000000007</v>
      </c>
      <c r="T42">
        <f>T41-B41</f>
        <v>13.165999999999997</v>
      </c>
      <c r="U42">
        <f>U41-B41</f>
        <v>13.978999999999985</v>
      </c>
    </row>
    <row r="43" spans="1:23" x14ac:dyDescent="0.2">
      <c r="A43" t="s">
        <v>778</v>
      </c>
      <c r="C43">
        <v>12.743</v>
      </c>
      <c r="D43">
        <v>12.176</v>
      </c>
      <c r="E43">
        <v>10.715999999999999</v>
      </c>
      <c r="F43">
        <v>5.5629999999999997</v>
      </c>
      <c r="G43">
        <v>5.649</v>
      </c>
      <c r="H43">
        <v>2.31</v>
      </c>
      <c r="J43">
        <v>3.4710000000000001</v>
      </c>
      <c r="K43">
        <v>4.0940000000000003</v>
      </c>
      <c r="L43">
        <v>4.758</v>
      </c>
      <c r="M43">
        <v>5.0960000000000001</v>
      </c>
      <c r="N43">
        <v>5.5810000000000004</v>
      </c>
      <c r="O43">
        <v>5.1429999999999998</v>
      </c>
      <c r="P43">
        <v>6.1719999999999997</v>
      </c>
      <c r="Q43">
        <v>6.1459999999999999</v>
      </c>
      <c r="R43">
        <v>3.302</v>
      </c>
      <c r="S43">
        <v>2.532</v>
      </c>
      <c r="T43">
        <v>2.411</v>
      </c>
      <c r="U43">
        <v>1.613</v>
      </c>
    </row>
    <row r="44" spans="1:23" x14ac:dyDescent="0.2">
      <c r="A44" t="s">
        <v>59</v>
      </c>
      <c r="J44">
        <f t="shared" ref="J44:U44" si="5">J42/21.804206</f>
        <v>3.3549031778547671</v>
      </c>
      <c r="K44">
        <f t="shared" si="5"/>
        <v>2.8760047488085543</v>
      </c>
      <c r="L44">
        <f t="shared" si="5"/>
        <v>1.9591632917061959</v>
      </c>
      <c r="M44">
        <f t="shared" si="5"/>
        <v>2.434025802177799</v>
      </c>
      <c r="N44">
        <f t="shared" si="5"/>
        <v>2.5017650264357254</v>
      </c>
      <c r="O44">
        <f t="shared" si="5"/>
        <v>2.8211988090738078</v>
      </c>
      <c r="P44">
        <f t="shared" si="5"/>
        <v>1.5977651284343943</v>
      </c>
      <c r="Q44">
        <f t="shared" si="5"/>
        <v>1.6839411625445102</v>
      </c>
      <c r="R44">
        <f t="shared" si="5"/>
        <v>0.91124620635119657</v>
      </c>
      <c r="S44">
        <f t="shared" si="5"/>
        <v>0.85644026661645034</v>
      </c>
      <c r="T44">
        <f t="shared" si="5"/>
        <v>0.60382845401478946</v>
      </c>
      <c r="U44">
        <f t="shared" si="5"/>
        <v>0.64111483811884662</v>
      </c>
    </row>
    <row r="46" spans="1:23" x14ac:dyDescent="0.2">
      <c r="A46" s="1" t="s">
        <v>777</v>
      </c>
      <c r="B46" s="1"/>
      <c r="C46" s="1" t="s">
        <v>23</v>
      </c>
      <c r="D46" s="1"/>
      <c r="E46" s="1"/>
      <c r="F46" s="1"/>
      <c r="G46" s="1" t="s">
        <v>33</v>
      </c>
      <c r="H46" s="1" t="s">
        <v>776</v>
      </c>
      <c r="I46" s="1"/>
    </row>
    <row r="47" spans="1:23" x14ac:dyDescent="0.2">
      <c r="A47" t="s">
        <v>215</v>
      </c>
      <c r="B47">
        <v>207.53700000000001</v>
      </c>
      <c r="C47">
        <v>227.06200000000001</v>
      </c>
      <c r="D47">
        <v>239.48400000000001</v>
      </c>
      <c r="E47">
        <v>248.465</v>
      </c>
      <c r="F47">
        <v>219.477</v>
      </c>
      <c r="H47">
        <v>231.43799999999999</v>
      </c>
      <c r="I47">
        <v>212.797</v>
      </c>
      <c r="J47">
        <v>222.08199999999999</v>
      </c>
      <c r="K47">
        <v>235.25399999999999</v>
      </c>
      <c r="L47">
        <v>274.60500000000002</v>
      </c>
      <c r="M47">
        <v>288.99599999999998</v>
      </c>
      <c r="N47">
        <v>256.97699999999998</v>
      </c>
      <c r="O47">
        <v>272.11700000000002</v>
      </c>
      <c r="P47">
        <v>270.14100000000002</v>
      </c>
      <c r="Q47">
        <v>245.01599999999999</v>
      </c>
      <c r="R47">
        <v>245.94499999999999</v>
      </c>
      <c r="S47">
        <v>271.79300000000001</v>
      </c>
      <c r="T47">
        <v>241.09399999999999</v>
      </c>
      <c r="U47">
        <v>276.54700000000003</v>
      </c>
      <c r="V47">
        <v>269.41000000000003</v>
      </c>
      <c r="W47">
        <v>239.922</v>
      </c>
    </row>
    <row r="48" spans="1:23" x14ac:dyDescent="0.2">
      <c r="A48" t="s">
        <v>62</v>
      </c>
      <c r="C48">
        <f>C47-B47</f>
        <v>19.525000000000006</v>
      </c>
      <c r="D48">
        <f>D47-B47</f>
        <v>31.947000000000003</v>
      </c>
      <c r="E48">
        <f>E47-B47</f>
        <v>40.927999999999997</v>
      </c>
      <c r="F48">
        <f>F47-B47</f>
        <v>11.939999999999998</v>
      </c>
      <c r="H48">
        <f>H47-B47</f>
        <v>23.900999999999982</v>
      </c>
      <c r="I48">
        <f>I47-B47</f>
        <v>5.2599999999999909</v>
      </c>
      <c r="J48">
        <f>J47-B47</f>
        <v>14.544999999999987</v>
      </c>
      <c r="K48">
        <f>K47-B47</f>
        <v>27.716999999999985</v>
      </c>
      <c r="L48">
        <f>L47-B47</f>
        <v>67.068000000000012</v>
      </c>
      <c r="M48">
        <f>M47-B47</f>
        <v>81.458999999999975</v>
      </c>
      <c r="N48">
        <f>N47-B47</f>
        <v>49.439999999999969</v>
      </c>
      <c r="O48">
        <f>O47-B47</f>
        <v>64.580000000000013</v>
      </c>
      <c r="P48">
        <f>P47-B47</f>
        <v>62.604000000000013</v>
      </c>
      <c r="Q48">
        <f>Q47-B47</f>
        <v>37.478999999999985</v>
      </c>
      <c r="R48">
        <f>R47-B47</f>
        <v>38.407999999999987</v>
      </c>
      <c r="S48">
        <f>S47-B47</f>
        <v>64.256</v>
      </c>
      <c r="T48">
        <f>T47-B47</f>
        <v>33.556999999999988</v>
      </c>
      <c r="U48">
        <f>U47-B47</f>
        <v>69.010000000000019</v>
      </c>
      <c r="V48">
        <f>V47-B47</f>
        <v>61.873000000000019</v>
      </c>
      <c r="W48">
        <f>W47-B47</f>
        <v>32.384999999999991</v>
      </c>
    </row>
    <row r="49" spans="1:23" x14ac:dyDescent="0.2">
      <c r="A49" t="s">
        <v>214</v>
      </c>
      <c r="C49">
        <v>12.824999999999999</v>
      </c>
      <c r="D49">
        <v>5.649</v>
      </c>
      <c r="E49">
        <v>1.9059999999999999</v>
      </c>
      <c r="F49">
        <v>2.343</v>
      </c>
      <c r="H49">
        <v>3.19</v>
      </c>
      <c r="I49">
        <v>2.1970000000000001</v>
      </c>
      <c r="J49">
        <v>4.282</v>
      </c>
      <c r="K49">
        <v>4.9889999999999999</v>
      </c>
      <c r="L49">
        <v>4.2370000000000001</v>
      </c>
      <c r="M49">
        <v>4.2809999999999997</v>
      </c>
      <c r="N49">
        <v>3.0270000000000001</v>
      </c>
      <c r="O49">
        <v>5.5869999999999997</v>
      </c>
      <c r="P49" s="48">
        <v>4.7649999999999997</v>
      </c>
      <c r="Q49">
        <v>4.0720000000000001</v>
      </c>
      <c r="R49">
        <v>5.9640000000000004</v>
      </c>
      <c r="S49">
        <v>5.6970000000000001</v>
      </c>
      <c r="T49">
        <v>4.7169999999999996</v>
      </c>
      <c r="U49">
        <v>6.2919999999999998</v>
      </c>
      <c r="V49">
        <v>5.4989999999999997</v>
      </c>
      <c r="W49">
        <v>5.0430000000000001</v>
      </c>
    </row>
    <row r="50" spans="1:23" x14ac:dyDescent="0.2">
      <c r="A50" t="s">
        <v>60</v>
      </c>
      <c r="C50">
        <f>SQRT(1+C49^2)</f>
        <v>12.863927277468571</v>
      </c>
      <c r="D50">
        <f>SQRT(1+D49^2)</f>
        <v>5.7368284792209021</v>
      </c>
      <c r="E50">
        <f>SQRT(1+E49^2)</f>
        <v>2.1524023787386963</v>
      </c>
      <c r="F50">
        <f>SQRT(1+F49^2)</f>
        <v>2.5474789498639629</v>
      </c>
      <c r="H50">
        <f t="shared" ref="H50:W50" si="6">SQRT(1+H49^2)</f>
        <v>3.3430674537017646</v>
      </c>
      <c r="I50">
        <f t="shared" si="6"/>
        <v>2.4138784145022716</v>
      </c>
      <c r="J50">
        <f t="shared" si="6"/>
        <v>4.3972177567184456</v>
      </c>
      <c r="K50">
        <f t="shared" si="6"/>
        <v>5.0882335834747208</v>
      </c>
      <c r="L50">
        <f t="shared" si="6"/>
        <v>4.3534088941885534</v>
      </c>
      <c r="M50">
        <f t="shared" si="6"/>
        <v>4.3962439650228688</v>
      </c>
      <c r="N50">
        <f t="shared" si="6"/>
        <v>3.1879035430828204</v>
      </c>
      <c r="O50">
        <f t="shared" si="6"/>
        <v>5.675787962917572</v>
      </c>
      <c r="P50">
        <f t="shared" si="6"/>
        <v>4.8688011871506935</v>
      </c>
      <c r="Q50">
        <f t="shared" si="6"/>
        <v>4.1929922489792419</v>
      </c>
      <c r="R50">
        <f t="shared" si="6"/>
        <v>6.0472552451504811</v>
      </c>
      <c r="S50">
        <f t="shared" si="6"/>
        <v>5.7840996706488381</v>
      </c>
      <c r="T50">
        <f t="shared" si="6"/>
        <v>4.8218346093577278</v>
      </c>
      <c r="U50">
        <f t="shared" si="6"/>
        <v>6.3709704127393341</v>
      </c>
      <c r="V50">
        <f t="shared" si="6"/>
        <v>5.5891860767020445</v>
      </c>
      <c r="W50">
        <f t="shared" si="6"/>
        <v>5.1411913988880054</v>
      </c>
    </row>
    <row r="51" spans="1:23" x14ac:dyDescent="0.2">
      <c r="A51" t="s">
        <v>59</v>
      </c>
      <c r="H51">
        <f t="shared" ref="H51:W51" si="7">H48/21.804206</f>
        <v>1.096164657406006</v>
      </c>
      <c r="I51">
        <f t="shared" si="7"/>
        <v>0.24123786025503477</v>
      </c>
      <c r="J51">
        <f t="shared" si="7"/>
        <v>0.66707313258735434</v>
      </c>
      <c r="K51">
        <f t="shared" si="7"/>
        <v>1.2711767628685944</v>
      </c>
      <c r="L51">
        <f t="shared" si="7"/>
        <v>3.0759203063849245</v>
      </c>
      <c r="M51">
        <f t="shared" si="7"/>
        <v>3.7359305814667119</v>
      </c>
      <c r="N51">
        <f t="shared" si="7"/>
        <v>2.2674524355530288</v>
      </c>
      <c r="O51">
        <f t="shared" si="7"/>
        <v>2.9618138812300714</v>
      </c>
      <c r="P51">
        <f t="shared" si="7"/>
        <v>2.8711891641456706</v>
      </c>
      <c r="Q51">
        <f t="shared" si="7"/>
        <v>1.7188885483837377</v>
      </c>
      <c r="R51">
        <f t="shared" si="7"/>
        <v>1.7614950069725073</v>
      </c>
      <c r="S51">
        <f t="shared" si="7"/>
        <v>2.9469543628417378</v>
      </c>
      <c r="T51">
        <f t="shared" si="7"/>
        <v>1.5390149955471888</v>
      </c>
      <c r="U51">
        <f t="shared" si="7"/>
        <v>3.1649856912927725</v>
      </c>
      <c r="V51">
        <f t="shared" si="7"/>
        <v>2.8376635223497715</v>
      </c>
      <c r="W51">
        <f t="shared" si="7"/>
        <v>1.4852638981671697</v>
      </c>
    </row>
    <row r="53" spans="1:23" x14ac:dyDescent="0.2">
      <c r="A53" s="1" t="s">
        <v>775</v>
      </c>
      <c r="B53" s="1"/>
      <c r="C53" s="1"/>
      <c r="D53" s="1"/>
      <c r="E53" s="1"/>
      <c r="F53" s="1"/>
      <c r="G53" s="1"/>
      <c r="H53" s="1"/>
      <c r="I53" s="1"/>
      <c r="J53" s="1"/>
    </row>
    <row r="54" spans="1:23" x14ac:dyDescent="0.2">
      <c r="A54" t="s">
        <v>772</v>
      </c>
      <c r="B54">
        <v>207.53700000000001</v>
      </c>
      <c r="C54" t="s">
        <v>23</v>
      </c>
      <c r="E54" t="s">
        <v>774</v>
      </c>
    </row>
    <row r="55" spans="1:23" x14ac:dyDescent="0.2">
      <c r="C55">
        <v>220.578</v>
      </c>
      <c r="D55">
        <v>212.809</v>
      </c>
      <c r="E55">
        <v>223.64500000000001</v>
      </c>
      <c r="F55">
        <v>236.375</v>
      </c>
      <c r="G55">
        <v>224.25</v>
      </c>
      <c r="H55">
        <v>223.25</v>
      </c>
      <c r="I55">
        <v>234.465</v>
      </c>
      <c r="J55">
        <v>226.14500000000001</v>
      </c>
    </row>
    <row r="56" spans="1:23" x14ac:dyDescent="0.2">
      <c r="A56" t="s">
        <v>252</v>
      </c>
      <c r="C56">
        <f>C55-B54</f>
        <v>13.040999999999997</v>
      </c>
      <c r="D56">
        <f>D55-B54</f>
        <v>5.2719999999999914</v>
      </c>
      <c r="E56">
        <f>E55-B54</f>
        <v>16.108000000000004</v>
      </c>
      <c r="F56">
        <f>F55-B54</f>
        <v>28.837999999999994</v>
      </c>
      <c r="G56">
        <f>G55-B54</f>
        <v>16.712999999999994</v>
      </c>
      <c r="H56">
        <f>H55-B54</f>
        <v>15.712999999999994</v>
      </c>
      <c r="I56">
        <f>I55-B54</f>
        <v>26.927999999999997</v>
      </c>
      <c r="J56">
        <f>J55-B54</f>
        <v>18.608000000000004</v>
      </c>
    </row>
    <row r="57" spans="1:23" x14ac:dyDescent="0.2">
      <c r="A57" t="s">
        <v>31</v>
      </c>
      <c r="C57">
        <v>1.9970000000000001</v>
      </c>
      <c r="D57">
        <v>3.415</v>
      </c>
      <c r="E57">
        <v>4.4279999999999999</v>
      </c>
      <c r="F57">
        <v>4.63</v>
      </c>
      <c r="G57">
        <v>5.72</v>
      </c>
      <c r="H57">
        <v>5.9710000000000001</v>
      </c>
      <c r="I57">
        <v>6.5209999999999999</v>
      </c>
      <c r="J57">
        <v>5.6660000000000004</v>
      </c>
    </row>
    <row r="58" spans="1:23" x14ac:dyDescent="0.2">
      <c r="A58" t="s">
        <v>17</v>
      </c>
      <c r="C58">
        <f t="shared" ref="C58:J58" si="8">SQRT(4+C57^2)</f>
        <v>2.8263066004947164</v>
      </c>
      <c r="D58">
        <f t="shared" si="8"/>
        <v>3.9575529055212892</v>
      </c>
      <c r="E58">
        <f t="shared" si="8"/>
        <v>4.8587224658339974</v>
      </c>
      <c r="F58">
        <f t="shared" si="8"/>
        <v>5.043500768315595</v>
      </c>
      <c r="G58">
        <f t="shared" si="8"/>
        <v>6.0595709419066957</v>
      </c>
      <c r="H58">
        <f t="shared" si="8"/>
        <v>6.2970501824266893</v>
      </c>
      <c r="I58">
        <f t="shared" si="8"/>
        <v>6.8208094094469462</v>
      </c>
      <c r="J58">
        <f t="shared" si="8"/>
        <v>6.0086234696476035</v>
      </c>
    </row>
    <row r="59" spans="1:23" x14ac:dyDescent="0.2">
      <c r="E59">
        <f t="shared" ref="E59:J59" si="9">E56/21.804206</f>
        <v>0.7387565499977391</v>
      </c>
      <c r="F59">
        <f t="shared" si="9"/>
        <v>1.322588861983784</v>
      </c>
      <c r="G59">
        <f t="shared" si="9"/>
        <v>0.76650349019817521</v>
      </c>
      <c r="H59">
        <f t="shared" si="9"/>
        <v>0.72064077912307345</v>
      </c>
      <c r="I59">
        <f t="shared" si="9"/>
        <v>1.2349910838303397</v>
      </c>
      <c r="J59">
        <f t="shared" si="9"/>
        <v>0.85341332768549349</v>
      </c>
    </row>
    <row r="61" spans="1:23" x14ac:dyDescent="0.2">
      <c r="A61" s="1" t="s">
        <v>773</v>
      </c>
      <c r="B61" s="1"/>
      <c r="C61" s="1" t="s">
        <v>23</v>
      </c>
      <c r="D61" s="1" t="s">
        <v>254</v>
      </c>
      <c r="E61" s="1"/>
      <c r="F61" s="1"/>
      <c r="G61" s="1"/>
      <c r="H61" s="1"/>
      <c r="I61" s="1"/>
      <c r="J61" s="1"/>
      <c r="K61" s="1"/>
    </row>
    <row r="62" spans="1:23" x14ac:dyDescent="0.2">
      <c r="A62" t="s">
        <v>772</v>
      </c>
      <c r="B62">
        <v>207.53700000000001</v>
      </c>
      <c r="C62">
        <v>223.74600000000001</v>
      </c>
      <c r="D62">
        <v>214.453</v>
      </c>
      <c r="E62">
        <v>214.453</v>
      </c>
      <c r="F62">
        <v>212.352</v>
      </c>
      <c r="G62">
        <v>210.86699999999999</v>
      </c>
      <c r="H62">
        <v>212.77699999999999</v>
      </c>
      <c r="I62">
        <v>214.05099999999999</v>
      </c>
      <c r="J62">
        <v>213.715</v>
      </c>
      <c r="K62">
        <v>212.31200000000001</v>
      </c>
    </row>
    <row r="63" spans="1:23" x14ac:dyDescent="0.2">
      <c r="A63" t="s">
        <v>252</v>
      </c>
      <c r="C63">
        <f>C62-B62</f>
        <v>16.209000000000003</v>
      </c>
      <c r="D63">
        <f>D62-B62</f>
        <v>6.9159999999999968</v>
      </c>
      <c r="E63">
        <f>E62-B62</f>
        <v>6.9159999999999968</v>
      </c>
      <c r="F63">
        <f>F62-B62</f>
        <v>4.8149999999999977</v>
      </c>
      <c r="G63">
        <f>G62-B62</f>
        <v>3.3299999999999841</v>
      </c>
      <c r="H63">
        <f>H62-B62</f>
        <v>5.2399999999999807</v>
      </c>
      <c r="I63">
        <f>I62-B62</f>
        <v>6.5139999999999816</v>
      </c>
      <c r="J63">
        <f>J62-B62</f>
        <v>6.1779999999999973</v>
      </c>
      <c r="K63">
        <f>K62-B62</f>
        <v>4.7750000000000057</v>
      </c>
    </row>
    <row r="64" spans="1:23" x14ac:dyDescent="0.2">
      <c r="A64" t="s">
        <v>5</v>
      </c>
      <c r="C64">
        <v>17.434999999999999</v>
      </c>
      <c r="D64">
        <v>5.3010000000000002</v>
      </c>
      <c r="E64">
        <v>4.2709999999999999</v>
      </c>
      <c r="F64">
        <v>3.6480000000000001</v>
      </c>
      <c r="G64">
        <v>4.4589999999999996</v>
      </c>
      <c r="H64">
        <v>5.2839999999999998</v>
      </c>
      <c r="I64">
        <v>6.7370000000000001</v>
      </c>
      <c r="J64">
        <v>6.5780000000000003</v>
      </c>
      <c r="K64">
        <v>6.26</v>
      </c>
    </row>
    <row r="65" spans="1:11" x14ac:dyDescent="0.2">
      <c r="A65" t="s">
        <v>17</v>
      </c>
      <c r="C65">
        <f t="shared" ref="C65:K65" si="10">SQRT(9+C64^2)</f>
        <v>17.691218866997264</v>
      </c>
      <c r="D65">
        <f t="shared" si="10"/>
        <v>6.0910262682080099</v>
      </c>
      <c r="E65">
        <f t="shared" si="10"/>
        <v>5.2193333865542639</v>
      </c>
      <c r="F65">
        <f t="shared" si="10"/>
        <v>4.7231243896387065</v>
      </c>
      <c r="G65">
        <f t="shared" si="10"/>
        <v>5.3742609724500721</v>
      </c>
      <c r="H65">
        <f t="shared" si="10"/>
        <v>6.0762369934030716</v>
      </c>
      <c r="I65">
        <f t="shared" si="10"/>
        <v>7.3747656911931783</v>
      </c>
      <c r="J65">
        <f t="shared" si="10"/>
        <v>7.2298052532554431</v>
      </c>
      <c r="K65">
        <f t="shared" si="10"/>
        <v>6.9417288912777337</v>
      </c>
    </row>
    <row r="66" spans="1:11" x14ac:dyDescent="0.2">
      <c r="D66">
        <f t="shared" ref="D66:K66" si="11">D63/21.804206</f>
        <v>0.31718650979540353</v>
      </c>
      <c r="E66">
        <f t="shared" si="11"/>
        <v>0.31718650979540353</v>
      </c>
      <c r="F66">
        <f t="shared" si="11"/>
        <v>0.2208289538266148</v>
      </c>
      <c r="G66">
        <f t="shared" si="11"/>
        <v>0.15272282788008809</v>
      </c>
      <c r="H66">
        <f t="shared" si="11"/>
        <v>0.24032060603353228</v>
      </c>
      <c r="I66">
        <f t="shared" si="11"/>
        <v>0.29874969994321193</v>
      </c>
      <c r="J66">
        <f t="shared" si="11"/>
        <v>0.28333982902197846</v>
      </c>
      <c r="K66">
        <f t="shared" si="11"/>
        <v>0.2189944453836111</v>
      </c>
    </row>
    <row r="67" spans="1:11" x14ac:dyDescent="0.2">
      <c r="A67" t="s">
        <v>260</v>
      </c>
      <c r="B67">
        <f>AVERAGE(C5:I5,C11:D11,C23:E23,C29:G29,C36:F36,C42:H42,C48:F48,C56:D56,C63)</f>
        <v>21.804205882352935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5358-0816-244F-9707-CECD95E2BF3D}">
  <dimension ref="A1:Q83"/>
  <sheetViews>
    <sheetView workbookViewId="0">
      <selection activeCell="P46" sqref="P46"/>
    </sheetView>
  </sheetViews>
  <sheetFormatPr baseColWidth="10" defaultRowHeight="15" x14ac:dyDescent="0.2"/>
  <cols>
    <col min="1" max="1" width="28.5" customWidth="1"/>
    <col min="2" max="2" width="16.5" customWidth="1"/>
  </cols>
  <sheetData>
    <row r="1" spans="1:17" s="1" customFormat="1" x14ac:dyDescent="0.2">
      <c r="A1" s="1" t="s">
        <v>411</v>
      </c>
      <c r="B1" s="1" t="s">
        <v>70</v>
      </c>
      <c r="C1" s="1">
        <v>1</v>
      </c>
      <c r="D1" s="1">
        <v>1</v>
      </c>
      <c r="E1" s="1">
        <v>1</v>
      </c>
      <c r="F1" s="1">
        <v>1</v>
      </c>
      <c r="G1" s="1" t="s">
        <v>283</v>
      </c>
      <c r="H1" s="1" t="s">
        <v>283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  <c r="N1" s="1" t="s">
        <v>283</v>
      </c>
      <c r="O1" s="1" t="s">
        <v>283</v>
      </c>
      <c r="P1" s="1" t="s">
        <v>283</v>
      </c>
      <c r="Q1" s="1" t="s">
        <v>283</v>
      </c>
    </row>
    <row r="2" spans="1:17" x14ac:dyDescent="0.2">
      <c r="A2" t="s">
        <v>63</v>
      </c>
      <c r="B2">
        <v>211.31800000000001</v>
      </c>
      <c r="C2">
        <v>245.68</v>
      </c>
      <c r="D2">
        <v>265.01600000000002</v>
      </c>
      <c r="E2">
        <v>251.738</v>
      </c>
      <c r="F2">
        <v>288.64800000000002</v>
      </c>
      <c r="G2">
        <v>227.559</v>
      </c>
      <c r="H2">
        <v>241.398</v>
      </c>
      <c r="I2">
        <v>247.273</v>
      </c>
      <c r="J2">
        <v>322.86700000000002</v>
      </c>
      <c r="K2">
        <v>433.613</v>
      </c>
      <c r="L2">
        <v>366.68</v>
      </c>
      <c r="M2">
        <v>385.863</v>
      </c>
      <c r="N2">
        <v>275.83600000000001</v>
      </c>
      <c r="O2">
        <v>338.512</v>
      </c>
      <c r="P2">
        <v>313.76600000000002</v>
      </c>
      <c r="Q2">
        <v>251.297</v>
      </c>
    </row>
    <row r="3" spans="1:17" x14ac:dyDescent="0.2">
      <c r="A3" t="s">
        <v>62</v>
      </c>
      <c r="C3">
        <v>34.361999999999995</v>
      </c>
      <c r="D3">
        <v>53.698000000000008</v>
      </c>
      <c r="E3">
        <v>40.419999999999987</v>
      </c>
      <c r="F3">
        <v>77.330000000000013</v>
      </c>
      <c r="G3">
        <v>16.240999999999985</v>
      </c>
      <c r="H3">
        <v>30.079999999999984</v>
      </c>
      <c r="I3">
        <v>35.954999999999984</v>
      </c>
      <c r="J3">
        <v>111.54900000000001</v>
      </c>
      <c r="K3">
        <v>222.29499999999999</v>
      </c>
      <c r="L3">
        <v>155.36199999999999</v>
      </c>
      <c r="M3">
        <v>174.54499999999999</v>
      </c>
      <c r="N3">
        <v>64.518000000000001</v>
      </c>
      <c r="O3">
        <v>127.19399999999999</v>
      </c>
      <c r="P3">
        <v>102.44800000000001</v>
      </c>
      <c r="Q3">
        <v>39.978999999999985</v>
      </c>
    </row>
    <row r="4" spans="1:17" x14ac:dyDescent="0.2">
      <c r="A4" t="s">
        <v>61</v>
      </c>
      <c r="C4">
        <v>11.334</v>
      </c>
      <c r="D4">
        <v>15.333</v>
      </c>
      <c r="E4">
        <v>15.624000000000001</v>
      </c>
      <c r="F4">
        <v>1.4279999999999999</v>
      </c>
      <c r="G4">
        <v>11.349</v>
      </c>
      <c r="H4">
        <v>8.8680000000000003</v>
      </c>
      <c r="I4">
        <v>4.141</v>
      </c>
      <c r="J4">
        <v>1.8859999999999999</v>
      </c>
      <c r="K4">
        <v>2.1</v>
      </c>
      <c r="L4">
        <v>2.4750000000000001</v>
      </c>
      <c r="M4">
        <v>1.6379999999999999</v>
      </c>
      <c r="N4">
        <v>0.71899999999999997</v>
      </c>
      <c r="O4">
        <v>2.0369999999999999</v>
      </c>
      <c r="P4">
        <v>1.119</v>
      </c>
      <c r="Q4">
        <v>2.2080000000000002</v>
      </c>
    </row>
    <row r="5" spans="1:17" x14ac:dyDescent="0.2">
      <c r="A5" t="s">
        <v>60</v>
      </c>
      <c r="C5">
        <v>11.334</v>
      </c>
      <c r="D5">
        <v>15.333</v>
      </c>
      <c r="E5">
        <v>15.624000000000001</v>
      </c>
      <c r="F5">
        <v>1.4279999999999999</v>
      </c>
      <c r="G5">
        <v>11.349</v>
      </c>
      <c r="H5">
        <v>8.8680000000000003</v>
      </c>
      <c r="I5">
        <v>4.141</v>
      </c>
      <c r="J5">
        <v>1.8859999999999999</v>
      </c>
      <c r="K5">
        <v>2.1</v>
      </c>
      <c r="L5">
        <v>2.4750000000000001</v>
      </c>
      <c r="M5">
        <v>1.6379999999999999</v>
      </c>
      <c r="N5">
        <v>0.71899999999999997</v>
      </c>
      <c r="O5">
        <v>2.0369999999999999</v>
      </c>
      <c r="P5">
        <v>1.119</v>
      </c>
      <c r="Q5">
        <v>2.2080000000000002</v>
      </c>
    </row>
    <row r="6" spans="1:17" x14ac:dyDescent="0.2">
      <c r="A6" t="s">
        <v>376</v>
      </c>
      <c r="G6">
        <v>22.064312932576406</v>
      </c>
      <c r="H6">
        <v>17.240842989345985</v>
      </c>
      <c r="I6">
        <v>8.0507815537755647</v>
      </c>
      <c r="J6">
        <v>3.6666925888482771</v>
      </c>
      <c r="K6">
        <v>4.0827436037016875</v>
      </c>
      <c r="L6">
        <v>4.8118049615055609</v>
      </c>
      <c r="M6">
        <v>3.1845400108873165</v>
      </c>
      <c r="N6">
        <v>1.3978536433626252</v>
      </c>
      <c r="O6">
        <v>3.9602612955906369</v>
      </c>
      <c r="P6">
        <v>2.1755190916867564</v>
      </c>
      <c r="Q6">
        <v>4.2927132747492029</v>
      </c>
    </row>
    <row r="7" spans="1:17" x14ac:dyDescent="0.2">
      <c r="A7" t="s">
        <v>59</v>
      </c>
      <c r="G7">
        <v>0.201873990070704</v>
      </c>
      <c r="H7">
        <v>0.37389136268251821</v>
      </c>
      <c r="I7">
        <v>0.44691701945644763</v>
      </c>
      <c r="J7">
        <v>1.3865428063787317</v>
      </c>
      <c r="K7">
        <v>2.7631044038401074</v>
      </c>
      <c r="L7">
        <v>1.9311339723763772</v>
      </c>
      <c r="M7">
        <v>2.1695767253796601</v>
      </c>
      <c r="N7">
        <v>0.80195222531751076</v>
      </c>
      <c r="O7">
        <v>1.5810085766303272</v>
      </c>
      <c r="P7">
        <v>1.2734182953490243</v>
      </c>
      <c r="Q7">
        <v>0.49693493313445475</v>
      </c>
    </row>
    <row r="9" spans="1:17" s="1" customFormat="1" x14ac:dyDescent="0.2">
      <c r="A9" s="1" t="s">
        <v>412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 t="s">
        <v>283</v>
      </c>
      <c r="L9" s="1" t="s">
        <v>283</v>
      </c>
      <c r="M9" s="1" t="s">
        <v>283</v>
      </c>
      <c r="N9" s="1" t="s">
        <v>283</v>
      </c>
      <c r="O9" s="1" t="s">
        <v>283</v>
      </c>
    </row>
    <row r="10" spans="1:17" x14ac:dyDescent="0.2">
      <c r="A10" t="s">
        <v>63</v>
      </c>
      <c r="C10">
        <v>280.95299999999997</v>
      </c>
      <c r="D10">
        <v>294.863</v>
      </c>
      <c r="E10">
        <v>262.375</v>
      </c>
      <c r="F10">
        <v>274.77</v>
      </c>
      <c r="G10">
        <v>275.387</v>
      </c>
      <c r="H10">
        <v>313.24200000000002</v>
      </c>
      <c r="I10">
        <v>320.637</v>
      </c>
      <c r="J10">
        <v>292.93799999999999</v>
      </c>
      <c r="K10">
        <v>319.613</v>
      </c>
      <c r="L10">
        <v>325.32</v>
      </c>
      <c r="M10">
        <v>336.113</v>
      </c>
      <c r="N10">
        <v>341.45699999999999</v>
      </c>
      <c r="O10">
        <v>310.53899999999999</v>
      </c>
    </row>
    <row r="11" spans="1:17" x14ac:dyDescent="0.2">
      <c r="A11" t="s">
        <v>62</v>
      </c>
      <c r="C11">
        <v>69.634999999999962</v>
      </c>
      <c r="D11">
        <v>83.544999999999987</v>
      </c>
      <c r="E11">
        <v>51.056999999999988</v>
      </c>
      <c r="F11">
        <v>63.45199999999997</v>
      </c>
      <c r="G11">
        <v>64.068999999999988</v>
      </c>
      <c r="H11">
        <v>101.92400000000001</v>
      </c>
      <c r="I11">
        <v>109.31899999999999</v>
      </c>
      <c r="J11">
        <v>81.619999999999976</v>
      </c>
      <c r="K11">
        <v>108.29499999999999</v>
      </c>
      <c r="L11">
        <v>114.00199999999998</v>
      </c>
      <c r="M11">
        <v>124.79499999999999</v>
      </c>
      <c r="N11">
        <v>130.13899999999998</v>
      </c>
      <c r="O11">
        <v>99.220999999999975</v>
      </c>
    </row>
    <row r="12" spans="1:17" x14ac:dyDescent="0.2">
      <c r="A12" t="s">
        <v>61</v>
      </c>
      <c r="C12">
        <v>2.302</v>
      </c>
      <c r="D12">
        <v>1.857</v>
      </c>
      <c r="E12">
        <v>2.4289999999999998</v>
      </c>
      <c r="F12">
        <v>8.9039999999999999</v>
      </c>
      <c r="G12">
        <v>9.4410000000000007</v>
      </c>
      <c r="H12">
        <v>11.242000000000001</v>
      </c>
      <c r="I12">
        <v>15.95</v>
      </c>
      <c r="J12">
        <v>16.552</v>
      </c>
      <c r="K12">
        <v>1.2390000000000001</v>
      </c>
      <c r="L12">
        <v>1.5289999999999999</v>
      </c>
      <c r="M12">
        <v>0.79100000000000004</v>
      </c>
      <c r="N12">
        <v>1.9219999999999999</v>
      </c>
      <c r="O12">
        <v>1.256</v>
      </c>
    </row>
    <row r="13" spans="1:17" x14ac:dyDescent="0.2">
      <c r="A13" t="s">
        <v>60</v>
      </c>
      <c r="C13">
        <v>2.5098215075977017</v>
      </c>
      <c r="D13">
        <v>2.1091346566779468</v>
      </c>
      <c r="E13">
        <v>2.6267929115177693</v>
      </c>
      <c r="F13">
        <v>8.9599785714029476</v>
      </c>
      <c r="G13">
        <v>9.4938127746443381</v>
      </c>
      <c r="H13">
        <v>11.286388439177522</v>
      </c>
      <c r="I13">
        <v>15.981317217300957</v>
      </c>
      <c r="J13">
        <v>16.582180315024921</v>
      </c>
      <c r="K13">
        <v>1.5922063308503707</v>
      </c>
      <c r="L13">
        <v>1.8269759166447705</v>
      </c>
      <c r="M13">
        <v>1.2750219605951891</v>
      </c>
      <c r="N13">
        <v>2.1665834855827737</v>
      </c>
      <c r="O13">
        <v>1.6054706475049614</v>
      </c>
    </row>
    <row r="14" spans="1:17" x14ac:dyDescent="0.2">
      <c r="A14" t="s">
        <v>376</v>
      </c>
      <c r="K14">
        <v>3.0955096252631829</v>
      </c>
      <c r="L14">
        <v>3.551940113237364</v>
      </c>
      <c r="M14">
        <v>2.4788513115234254</v>
      </c>
      <c r="N14">
        <v>4.2121927941184651</v>
      </c>
      <c r="O14">
        <v>3.1212976271579462</v>
      </c>
    </row>
    <row r="15" spans="1:17" x14ac:dyDescent="0.2">
      <c r="A15" t="s">
        <v>59</v>
      </c>
      <c r="K15">
        <v>1.3460959149502436</v>
      </c>
      <c r="L15">
        <v>1.4170333486879143</v>
      </c>
      <c r="M15">
        <v>1.5511892488685135</v>
      </c>
      <c r="N15">
        <v>1.617614629259982</v>
      </c>
      <c r="O15">
        <v>1.2333070111942206</v>
      </c>
    </row>
    <row r="17" spans="1:14" s="1" customFormat="1" x14ac:dyDescent="0.2">
      <c r="A17" s="1" t="s">
        <v>413</v>
      </c>
      <c r="C17" s="1">
        <v>1</v>
      </c>
      <c r="D17" s="1" t="s">
        <v>283</v>
      </c>
      <c r="E17" s="1" t="s">
        <v>283</v>
      </c>
      <c r="F17" s="1" t="s">
        <v>283</v>
      </c>
      <c r="G17" s="1" t="s">
        <v>283</v>
      </c>
      <c r="H17" s="1" t="s">
        <v>283</v>
      </c>
      <c r="I17" s="1" t="s">
        <v>283</v>
      </c>
      <c r="J17" s="1" t="s">
        <v>283</v>
      </c>
      <c r="K17" s="1" t="s">
        <v>283</v>
      </c>
      <c r="L17" s="1" t="s">
        <v>283</v>
      </c>
      <c r="M17" s="1" t="s">
        <v>283</v>
      </c>
      <c r="N17" s="1" t="s">
        <v>283</v>
      </c>
    </row>
    <row r="18" spans="1:14" x14ac:dyDescent="0.2">
      <c r="A18" t="s">
        <v>63</v>
      </c>
      <c r="C18">
        <v>307.83999999999997</v>
      </c>
      <c r="D18">
        <v>254.10900000000001</v>
      </c>
      <c r="E18">
        <v>251.922</v>
      </c>
      <c r="F18">
        <v>380.29700000000003</v>
      </c>
      <c r="G18">
        <v>313.29700000000003</v>
      </c>
      <c r="H18">
        <v>346.25400000000002</v>
      </c>
      <c r="I18">
        <v>288.30500000000001</v>
      </c>
      <c r="J18">
        <v>245.512</v>
      </c>
      <c r="K18">
        <v>341.27</v>
      </c>
      <c r="L18">
        <v>327.90199999999999</v>
      </c>
      <c r="M18">
        <v>396.94099999999997</v>
      </c>
      <c r="N18">
        <v>294.35199999999998</v>
      </c>
    </row>
    <row r="19" spans="1:14" x14ac:dyDescent="0.2">
      <c r="A19" t="s">
        <v>62</v>
      </c>
      <c r="C19">
        <v>96.521999999999963</v>
      </c>
      <c r="D19">
        <v>42.790999999999997</v>
      </c>
      <c r="E19">
        <v>40.603999999999985</v>
      </c>
      <c r="F19">
        <v>168.97900000000001</v>
      </c>
      <c r="G19">
        <v>101.97900000000001</v>
      </c>
      <c r="H19">
        <v>134.93600000000001</v>
      </c>
      <c r="I19">
        <v>76.986999999999995</v>
      </c>
      <c r="J19">
        <v>34.193999999999988</v>
      </c>
      <c r="K19">
        <v>129.95199999999997</v>
      </c>
      <c r="L19">
        <v>116.58399999999997</v>
      </c>
      <c r="M19">
        <v>185.62299999999996</v>
      </c>
      <c r="N19">
        <v>83.033999999999963</v>
      </c>
    </row>
    <row r="20" spans="1:14" x14ac:dyDescent="0.2">
      <c r="A20" t="s">
        <v>61</v>
      </c>
      <c r="C20">
        <v>8.7129999999999992</v>
      </c>
      <c r="D20">
        <v>9.4269999999999996</v>
      </c>
      <c r="E20">
        <v>11.288</v>
      </c>
      <c r="F20">
        <v>15.923</v>
      </c>
      <c r="G20">
        <v>16.393999999999998</v>
      </c>
      <c r="H20">
        <v>1.214</v>
      </c>
      <c r="I20">
        <v>1.776</v>
      </c>
      <c r="J20">
        <v>2.2200000000000002</v>
      </c>
      <c r="K20">
        <v>14.069000000000001</v>
      </c>
      <c r="L20">
        <v>15.006</v>
      </c>
      <c r="M20">
        <v>14.491</v>
      </c>
      <c r="N20">
        <v>15.086</v>
      </c>
    </row>
    <row r="21" spans="1:14" x14ac:dyDescent="0.2">
      <c r="A21" t="s">
        <v>60</v>
      </c>
      <c r="C21">
        <v>8.9395955725077396</v>
      </c>
      <c r="D21">
        <v>9.6368215195675386</v>
      </c>
      <c r="E21">
        <v>11.463810186844512</v>
      </c>
      <c r="F21">
        <v>16.048112942025302</v>
      </c>
      <c r="G21">
        <v>16.515545283156712</v>
      </c>
      <c r="H21">
        <v>2.3396144981599001</v>
      </c>
      <c r="I21">
        <v>2.6747291451659176</v>
      </c>
      <c r="J21">
        <v>2.9880428377116686</v>
      </c>
      <c r="K21">
        <v>14.210445489146355</v>
      </c>
      <c r="L21">
        <v>15.138693338594319</v>
      </c>
      <c r="M21">
        <v>14.628365629830284</v>
      </c>
      <c r="N21">
        <v>15.217995794453355</v>
      </c>
    </row>
    <row r="22" spans="1:14" x14ac:dyDescent="0.2">
      <c r="A22" t="s">
        <v>376</v>
      </c>
      <c r="D22">
        <v>18.735557818585306</v>
      </c>
      <c r="E22">
        <v>22.287522721137943</v>
      </c>
      <c r="F22">
        <v>31.200157364540988</v>
      </c>
      <c r="G22">
        <v>32.108922317358882</v>
      </c>
      <c r="H22">
        <v>4.5485933940428884</v>
      </c>
      <c r="I22">
        <v>5.2001110995526822</v>
      </c>
      <c r="J22">
        <v>5.8092441825018835</v>
      </c>
      <c r="K22">
        <v>27.62743115550656</v>
      </c>
      <c r="L22">
        <v>29.432096855498713</v>
      </c>
      <c r="M22">
        <v>28.439936289428193</v>
      </c>
      <c r="N22">
        <v>29.58627380522077</v>
      </c>
    </row>
    <row r="23" spans="1:14" x14ac:dyDescent="0.2">
      <c r="A23" t="s">
        <v>59</v>
      </c>
      <c r="D23">
        <v>0.53188780919373824</v>
      </c>
      <c r="E23">
        <v>0.50470362002529834</v>
      </c>
      <c r="F23">
        <v>2.1003919074045641</v>
      </c>
      <c r="G23">
        <v>1.2675886727061354</v>
      </c>
      <c r="H23">
        <v>1.6772408548845847</v>
      </c>
      <c r="I23">
        <v>0.95694063626459591</v>
      </c>
      <c r="J23">
        <v>0.42502796727280689</v>
      </c>
      <c r="K23">
        <v>1.6152902381422416</v>
      </c>
      <c r="L23">
        <v>1.4491273479713671</v>
      </c>
      <c r="M23">
        <v>2.3072751467824837</v>
      </c>
      <c r="N23">
        <v>1.0321042356708849</v>
      </c>
    </row>
    <row r="25" spans="1:14" s="1" customFormat="1" x14ac:dyDescent="0.2">
      <c r="A25" s="1" t="s">
        <v>414</v>
      </c>
      <c r="C25" s="1">
        <v>1</v>
      </c>
      <c r="D25" s="1" t="s">
        <v>283</v>
      </c>
      <c r="E25" s="1" t="s">
        <v>283</v>
      </c>
      <c r="F25" s="1" t="s">
        <v>283</v>
      </c>
      <c r="G25" s="1" t="s">
        <v>283</v>
      </c>
      <c r="H25" s="1" t="s">
        <v>283</v>
      </c>
      <c r="I25" s="1" t="s">
        <v>283</v>
      </c>
      <c r="J25" s="1" t="s">
        <v>283</v>
      </c>
      <c r="K25" s="1" t="s">
        <v>283</v>
      </c>
      <c r="L25" s="1" t="s">
        <v>283</v>
      </c>
      <c r="M25" s="1" t="s">
        <v>283</v>
      </c>
      <c r="N25" s="1" t="s">
        <v>283</v>
      </c>
    </row>
    <row r="26" spans="1:14" x14ac:dyDescent="0.2">
      <c r="A26" t="s">
        <v>63</v>
      </c>
      <c r="C26">
        <v>327.54300000000001</v>
      </c>
      <c r="D26">
        <v>259.71499999999997</v>
      </c>
      <c r="E26">
        <v>241.37100000000001</v>
      </c>
      <c r="F26">
        <v>472.12099999999998</v>
      </c>
      <c r="G26">
        <v>410.35899999999998</v>
      </c>
      <c r="H26">
        <v>636.04700000000003</v>
      </c>
      <c r="I26">
        <v>323.48399999999998</v>
      </c>
      <c r="J26">
        <v>731.25400000000002</v>
      </c>
      <c r="K26">
        <v>452.5</v>
      </c>
      <c r="L26">
        <v>223.04300000000001</v>
      </c>
      <c r="M26">
        <v>246.35900000000001</v>
      </c>
      <c r="N26">
        <v>242.62100000000001</v>
      </c>
    </row>
    <row r="27" spans="1:14" x14ac:dyDescent="0.2">
      <c r="A27" t="s">
        <v>62</v>
      </c>
      <c r="C27">
        <v>116.22499999999999</v>
      </c>
      <c r="D27">
        <v>48.396999999999963</v>
      </c>
      <c r="E27">
        <v>30.052999999999997</v>
      </c>
      <c r="F27">
        <v>260.803</v>
      </c>
      <c r="G27">
        <v>199.04099999999997</v>
      </c>
      <c r="H27">
        <v>424.72900000000004</v>
      </c>
      <c r="I27">
        <v>112.16599999999997</v>
      </c>
      <c r="J27">
        <v>519.93600000000004</v>
      </c>
      <c r="K27">
        <v>241.18199999999999</v>
      </c>
      <c r="L27">
        <v>11.724999999999994</v>
      </c>
      <c r="M27">
        <v>35.040999999999997</v>
      </c>
      <c r="N27">
        <v>31.302999999999997</v>
      </c>
    </row>
    <row r="28" spans="1:14" x14ac:dyDescent="0.2">
      <c r="A28" t="s">
        <v>61</v>
      </c>
      <c r="C28">
        <v>14.131</v>
      </c>
      <c r="D28">
        <v>8.7579999999999991</v>
      </c>
      <c r="E28">
        <v>19.141999999999999</v>
      </c>
      <c r="F28">
        <v>14.135999999999999</v>
      </c>
      <c r="G28">
        <v>13.831</v>
      </c>
      <c r="H28">
        <v>14.763999999999999</v>
      </c>
      <c r="I28">
        <v>15.635</v>
      </c>
      <c r="J28">
        <v>14.436999999999999</v>
      </c>
      <c r="K28">
        <v>14.91</v>
      </c>
      <c r="L28">
        <v>3.956</v>
      </c>
      <c r="M28">
        <v>13.711</v>
      </c>
      <c r="N28">
        <v>18.015000000000001</v>
      </c>
    </row>
    <row r="29" spans="1:14" x14ac:dyDescent="0.2">
      <c r="A29" t="s">
        <v>60</v>
      </c>
      <c r="C29">
        <v>14.445939256413894</v>
      </c>
      <c r="D29">
        <v>9.2575679311577286</v>
      </c>
      <c r="E29">
        <v>19.375659059758458</v>
      </c>
      <c r="F29">
        <v>14.450830287564795</v>
      </c>
      <c r="G29">
        <v>14.152616754508687</v>
      </c>
      <c r="H29">
        <v>15.065712595161239</v>
      </c>
      <c r="I29">
        <v>15.92021435157203</v>
      </c>
      <c r="J29">
        <v>14.745405013087975</v>
      </c>
      <c r="K29">
        <v>15.208816522004597</v>
      </c>
      <c r="L29">
        <v>4.9648701896424239</v>
      </c>
      <c r="M29">
        <v>14.035366792499582</v>
      </c>
      <c r="N29">
        <v>18.263083666237748</v>
      </c>
    </row>
    <row r="30" spans="1:14" x14ac:dyDescent="0.2">
      <c r="A30" t="s">
        <v>376</v>
      </c>
      <c r="D30">
        <v>17.998226788937181</v>
      </c>
      <c r="E30">
        <v>37.669451473206429</v>
      </c>
      <c r="F30">
        <v>28.094778535587515</v>
      </c>
      <c r="G30">
        <v>27.515002633386516</v>
      </c>
      <c r="H30">
        <v>29.29021034909643</v>
      </c>
      <c r="I30">
        <v>30.951501577828815</v>
      </c>
      <c r="J30">
        <v>28.66748000055987</v>
      </c>
      <c r="K30">
        <v>29.568427797660384</v>
      </c>
      <c r="L30">
        <v>9.6525200047484709</v>
      </c>
      <c r="M30">
        <v>27.287049522707019</v>
      </c>
      <c r="N30">
        <v>35.506422867714726</v>
      </c>
    </row>
    <row r="31" spans="1:14" x14ac:dyDescent="0.2">
      <c r="A31" t="s">
        <v>59</v>
      </c>
      <c r="D31">
        <v>0.60156982312984808</v>
      </c>
      <c r="E31">
        <v>0.37355575540883396</v>
      </c>
      <c r="F31">
        <v>3.2417549555082732</v>
      </c>
      <c r="G31">
        <v>2.4740595319046257</v>
      </c>
      <c r="H31">
        <v>5.2793385831377453</v>
      </c>
      <c r="I31">
        <v>1.3942120540773721</v>
      </c>
      <c r="J31">
        <v>6.4627519796442128</v>
      </c>
      <c r="K31">
        <v>2.9978679067318867</v>
      </c>
      <c r="L31">
        <v>0.14574056607222496</v>
      </c>
      <c r="M31">
        <v>0.43555609174727816</v>
      </c>
      <c r="N31">
        <v>0.38909312919052108</v>
      </c>
    </row>
    <row r="33" spans="1:16" s="1" customFormat="1" x14ac:dyDescent="0.2">
      <c r="A33" s="1" t="s">
        <v>415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 t="s">
        <v>283</v>
      </c>
      <c r="I33" s="1" t="s">
        <v>283</v>
      </c>
      <c r="J33" s="1" t="s">
        <v>283</v>
      </c>
      <c r="K33" s="1" t="s">
        <v>283</v>
      </c>
      <c r="L33" s="1" t="s">
        <v>283</v>
      </c>
      <c r="M33" s="1" t="s">
        <v>283</v>
      </c>
      <c r="N33" s="1" t="s">
        <v>283</v>
      </c>
      <c r="O33" s="1" t="s">
        <v>283</v>
      </c>
      <c r="P33" s="1" t="s">
        <v>283</v>
      </c>
    </row>
    <row r="34" spans="1:16" x14ac:dyDescent="0.2">
      <c r="A34" t="s">
        <v>63</v>
      </c>
      <c r="C34">
        <v>355.40600000000001</v>
      </c>
      <c r="D34">
        <v>391.15600000000001</v>
      </c>
      <c r="E34">
        <v>272.84399999999999</v>
      </c>
      <c r="F34">
        <v>273.02699999999999</v>
      </c>
      <c r="G34">
        <v>361.47699999999998</v>
      </c>
      <c r="H34">
        <v>248.19900000000001</v>
      </c>
      <c r="I34">
        <v>226.684</v>
      </c>
      <c r="J34">
        <v>223.84399999999999</v>
      </c>
      <c r="K34">
        <v>226.35900000000001</v>
      </c>
      <c r="L34">
        <v>296.21100000000001</v>
      </c>
      <c r="M34">
        <v>382.92200000000003</v>
      </c>
      <c r="N34">
        <v>503.30500000000001</v>
      </c>
      <c r="O34">
        <v>323.36700000000002</v>
      </c>
      <c r="P34">
        <v>359.16399999999999</v>
      </c>
    </row>
    <row r="35" spans="1:16" x14ac:dyDescent="0.2">
      <c r="A35" t="s">
        <v>62</v>
      </c>
      <c r="C35">
        <v>144.08799999999999</v>
      </c>
      <c r="D35">
        <v>179.83799999999999</v>
      </c>
      <c r="E35">
        <v>61.525999999999982</v>
      </c>
      <c r="F35">
        <v>61.708999999999975</v>
      </c>
      <c r="G35">
        <v>150.15899999999996</v>
      </c>
      <c r="H35">
        <v>36.881</v>
      </c>
      <c r="I35">
        <v>15.365999999999985</v>
      </c>
      <c r="J35">
        <v>12.525999999999982</v>
      </c>
      <c r="K35">
        <v>15.040999999999997</v>
      </c>
      <c r="L35">
        <v>84.893000000000001</v>
      </c>
      <c r="M35">
        <v>171.60400000000001</v>
      </c>
      <c r="N35">
        <v>291.98699999999997</v>
      </c>
      <c r="O35">
        <v>112.04900000000001</v>
      </c>
      <c r="P35">
        <v>147.84599999999998</v>
      </c>
    </row>
    <row r="36" spans="1:16" x14ac:dyDescent="0.2">
      <c r="A36" t="s">
        <v>61</v>
      </c>
      <c r="C36">
        <v>14.15</v>
      </c>
      <c r="D36">
        <v>18.015000000000001</v>
      </c>
      <c r="E36">
        <v>15.414</v>
      </c>
      <c r="F36">
        <v>14.22</v>
      </c>
      <c r="G36">
        <v>13.708</v>
      </c>
      <c r="H36">
        <v>19.181999999999999</v>
      </c>
      <c r="I36">
        <v>17.012</v>
      </c>
      <c r="J36">
        <v>7.5179999999999998</v>
      </c>
      <c r="K36">
        <v>16.204999999999998</v>
      </c>
      <c r="L36">
        <v>14.102</v>
      </c>
      <c r="M36">
        <v>13.677</v>
      </c>
      <c r="N36">
        <v>14.426</v>
      </c>
      <c r="O36">
        <v>14.766999999999999</v>
      </c>
      <c r="P36">
        <v>15.372999999999999</v>
      </c>
    </row>
    <row r="37" spans="1:16" x14ac:dyDescent="0.2">
      <c r="A37" t="s">
        <v>60</v>
      </c>
      <c r="C37">
        <v>14.704506112073265</v>
      </c>
      <c r="D37">
        <v>18.453732007374551</v>
      </c>
      <c r="E37">
        <v>15.924553243340926</v>
      </c>
      <c r="F37">
        <v>14.771878688914285</v>
      </c>
      <c r="G37">
        <v>14.279680108461815</v>
      </c>
      <c r="H37">
        <v>19.594619771763877</v>
      </c>
      <c r="I37">
        <v>17.475930418721632</v>
      </c>
      <c r="J37">
        <v>8.5158865657076479</v>
      </c>
      <c r="K37">
        <v>16.691375767143942</v>
      </c>
      <c r="L37">
        <v>14.658322004922665</v>
      </c>
      <c r="M37">
        <v>14.249923824357799</v>
      </c>
      <c r="N37">
        <v>14.970286436805409</v>
      </c>
      <c r="O37">
        <v>15.299159748169178</v>
      </c>
      <c r="P37">
        <v>15.884871072816424</v>
      </c>
    </row>
    <row r="38" spans="1:16" x14ac:dyDescent="0.2">
      <c r="A38" t="s">
        <v>376</v>
      </c>
      <c r="H38">
        <v>38.09514692387409</v>
      </c>
      <c r="I38">
        <v>33.976068159891184</v>
      </c>
      <c r="J38">
        <v>16.556276859996206</v>
      </c>
      <c r="K38">
        <v>32.450765547756319</v>
      </c>
      <c r="L38">
        <v>28.498176384094148</v>
      </c>
      <c r="M38">
        <v>27.704183498634805</v>
      </c>
      <c r="N38">
        <v>29.104686283547338</v>
      </c>
      <c r="O38">
        <v>29.744069811356205</v>
      </c>
      <c r="P38">
        <v>30.882788461032007</v>
      </c>
    </row>
    <row r="39" spans="1:16" x14ac:dyDescent="0.2">
      <c r="A39" t="s">
        <v>59</v>
      </c>
      <c r="H39">
        <v>0.45842710595392161</v>
      </c>
      <c r="I39">
        <v>0.19099782842352303</v>
      </c>
      <c r="J39">
        <v>0.15569691519152989</v>
      </c>
      <c r="K39">
        <v>0.18695811124028452</v>
      </c>
      <c r="L39">
        <v>1.0552114179590106</v>
      </c>
      <c r="M39">
        <v>2.1330203923461069</v>
      </c>
      <c r="N39">
        <v>3.6293689267147773</v>
      </c>
      <c r="O39">
        <v>1.3927577558914066</v>
      </c>
      <c r="P39">
        <v>1.8377108513018487</v>
      </c>
    </row>
    <row r="41" spans="1:16" s="1" customFormat="1" x14ac:dyDescent="0.2">
      <c r="A41" s="1" t="s">
        <v>416</v>
      </c>
      <c r="C41" s="1" t="s">
        <v>283</v>
      </c>
      <c r="D41" s="1" t="s">
        <v>283</v>
      </c>
      <c r="E41" s="1" t="s">
        <v>283</v>
      </c>
      <c r="F41" s="1" t="s">
        <v>283</v>
      </c>
    </row>
    <row r="42" spans="1:16" x14ac:dyDescent="0.2">
      <c r="A42" t="s">
        <v>63</v>
      </c>
      <c r="C42">
        <v>273.99200000000002</v>
      </c>
      <c r="D42">
        <v>241.078</v>
      </c>
      <c r="E42">
        <v>263.31599999999997</v>
      </c>
      <c r="F42">
        <v>247.84399999999999</v>
      </c>
    </row>
    <row r="43" spans="1:16" x14ac:dyDescent="0.2">
      <c r="A43" t="s">
        <v>62</v>
      </c>
      <c r="C43">
        <v>62.674000000000007</v>
      </c>
      <c r="D43">
        <v>29.759999999999991</v>
      </c>
      <c r="E43">
        <v>51.997999999999962</v>
      </c>
      <c r="F43">
        <v>36.525999999999982</v>
      </c>
    </row>
    <row r="44" spans="1:16" x14ac:dyDescent="0.2">
      <c r="A44" t="s">
        <v>61</v>
      </c>
      <c r="C44">
        <v>13.554</v>
      </c>
      <c r="D44">
        <v>15.284000000000001</v>
      </c>
      <c r="E44">
        <v>17.872</v>
      </c>
      <c r="F44">
        <v>14.632999999999999</v>
      </c>
    </row>
    <row r="45" spans="1:16" x14ac:dyDescent="0.2">
      <c r="A45" t="s">
        <v>60</v>
      </c>
      <c r="C45">
        <v>14.446830655891278</v>
      </c>
      <c r="D45">
        <v>16.081065138851965</v>
      </c>
      <c r="E45">
        <v>18.558243020286159</v>
      </c>
      <c r="F45">
        <v>15.463657038359328</v>
      </c>
    </row>
    <row r="46" spans="1:16" x14ac:dyDescent="0.2">
      <c r="A46" t="s">
        <v>376</v>
      </c>
      <c r="C46">
        <v>28.087002597191223</v>
      </c>
      <c r="D46">
        <v>31.264221826837169</v>
      </c>
      <c r="E46">
        <v>36.080260946197527</v>
      </c>
      <c r="F46">
        <v>30.063879458665777</v>
      </c>
    </row>
    <row r="47" spans="1:16" x14ac:dyDescent="0.2">
      <c r="A47" t="s">
        <v>59</v>
      </c>
      <c r="C47">
        <v>0.77903149151476603</v>
      </c>
      <c r="D47">
        <v>0.36991379499440641</v>
      </c>
      <c r="E47">
        <v>0.64632988952013226</v>
      </c>
      <c r="F47">
        <v>0.45401449179992226</v>
      </c>
    </row>
    <row r="49" spans="1:14" s="1" customFormat="1" x14ac:dyDescent="0.2">
      <c r="A49" s="1" t="s">
        <v>417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 t="s">
        <v>283</v>
      </c>
      <c r="I49" s="1" t="s">
        <v>283</v>
      </c>
      <c r="J49" s="1" t="s">
        <v>283</v>
      </c>
      <c r="K49" s="1" t="s">
        <v>283</v>
      </c>
      <c r="L49" s="1" t="s">
        <v>283</v>
      </c>
      <c r="M49" s="1" t="s">
        <v>283</v>
      </c>
      <c r="N49" s="1" t="s">
        <v>283</v>
      </c>
    </row>
    <row r="50" spans="1:14" x14ac:dyDescent="0.2">
      <c r="A50" t="s">
        <v>63</v>
      </c>
      <c r="C50">
        <v>348.738</v>
      </c>
      <c r="D50">
        <v>250.48400000000001</v>
      </c>
      <c r="E50">
        <v>262.66399999999999</v>
      </c>
      <c r="F50">
        <v>263.54700000000003</v>
      </c>
      <c r="G50">
        <v>305.35500000000002</v>
      </c>
      <c r="H50">
        <v>438.375</v>
      </c>
      <c r="I50">
        <v>354.47300000000001</v>
      </c>
      <c r="J50">
        <v>464.67599999999999</v>
      </c>
      <c r="K50">
        <v>555.69899999999996</v>
      </c>
      <c r="L50">
        <v>362.30500000000001</v>
      </c>
      <c r="M50">
        <v>272.08999999999997</v>
      </c>
      <c r="N50">
        <v>273.84800000000001</v>
      </c>
    </row>
    <row r="51" spans="1:14" x14ac:dyDescent="0.2">
      <c r="A51" t="s">
        <v>62</v>
      </c>
      <c r="C51">
        <v>137.41999999999999</v>
      </c>
      <c r="D51">
        <v>39.165999999999997</v>
      </c>
      <c r="E51">
        <v>51.345999999999975</v>
      </c>
      <c r="F51">
        <v>52.229000000000013</v>
      </c>
      <c r="G51">
        <v>94.037000000000006</v>
      </c>
      <c r="H51">
        <v>227.05699999999999</v>
      </c>
      <c r="I51">
        <v>143.155</v>
      </c>
      <c r="J51">
        <v>253.35799999999998</v>
      </c>
      <c r="K51">
        <v>344.38099999999997</v>
      </c>
      <c r="L51">
        <v>150.98699999999999</v>
      </c>
      <c r="M51">
        <v>60.771999999999963</v>
      </c>
      <c r="N51">
        <v>62.53</v>
      </c>
    </row>
    <row r="52" spans="1:14" x14ac:dyDescent="0.2">
      <c r="A52" t="s">
        <v>61</v>
      </c>
      <c r="C52">
        <v>0.59799999999999998</v>
      </c>
      <c r="D52">
        <v>1.397</v>
      </c>
      <c r="E52">
        <v>1.9</v>
      </c>
      <c r="F52">
        <v>14.301</v>
      </c>
      <c r="G52">
        <v>15.631</v>
      </c>
      <c r="H52">
        <v>1.758</v>
      </c>
      <c r="I52">
        <v>1.81</v>
      </c>
      <c r="J52">
        <v>1.353</v>
      </c>
      <c r="K52">
        <v>2.2810000000000001</v>
      </c>
      <c r="L52">
        <v>4.4640000000000004</v>
      </c>
      <c r="M52">
        <v>3.617</v>
      </c>
      <c r="N52">
        <v>15.215999999999999</v>
      </c>
    </row>
    <row r="53" spans="1:14" x14ac:dyDescent="0.2">
      <c r="A53" t="s">
        <v>60</v>
      </c>
      <c r="C53">
        <v>1.1651626495901763</v>
      </c>
      <c r="D53">
        <v>1.7180247378894171</v>
      </c>
      <c r="E53">
        <v>2.1470910553583886</v>
      </c>
      <c r="F53">
        <v>14.335919956528777</v>
      </c>
      <c r="G53">
        <v>15.662955053245859</v>
      </c>
      <c r="H53">
        <v>2.0225142768346531</v>
      </c>
      <c r="I53">
        <v>2.067873303662485</v>
      </c>
      <c r="J53">
        <v>1.6824413808510537</v>
      </c>
      <c r="K53">
        <v>2.4905744317325675</v>
      </c>
      <c r="L53">
        <v>4.57463616039571</v>
      </c>
      <c r="M53">
        <v>3.7526909012067593</v>
      </c>
      <c r="N53">
        <v>15.24882474159894</v>
      </c>
    </row>
    <row r="54" spans="1:14" x14ac:dyDescent="0.2">
      <c r="A54" t="s">
        <v>376</v>
      </c>
      <c r="H54">
        <v>3.9320986795914399</v>
      </c>
      <c r="I54">
        <v>4.0202840494254701</v>
      </c>
      <c r="J54">
        <v>3.2709413267965113</v>
      </c>
      <c r="K54">
        <v>4.8420842050948121</v>
      </c>
      <c r="L54">
        <v>8.8938412014847774</v>
      </c>
      <c r="M54">
        <v>7.2958451302721032</v>
      </c>
      <c r="N54">
        <v>29.6462103227291</v>
      </c>
    </row>
    <row r="55" spans="1:14" x14ac:dyDescent="0.2">
      <c r="A55" t="s">
        <v>59</v>
      </c>
      <c r="H55">
        <v>2.8222955829988225</v>
      </c>
      <c r="I55">
        <v>1.7794021949739338</v>
      </c>
      <c r="J55">
        <v>3.1492143572645444</v>
      </c>
      <c r="K55">
        <v>4.2806210562489486</v>
      </c>
      <c r="L55">
        <v>1.8767531641404724</v>
      </c>
      <c r="M55">
        <v>0.75538982356855044</v>
      </c>
      <c r="N55">
        <v>0.77724158605511562</v>
      </c>
    </row>
    <row r="57" spans="1:14" s="1" customFormat="1" x14ac:dyDescent="0.2">
      <c r="A57" s="1" t="s">
        <v>418</v>
      </c>
      <c r="C57" s="1">
        <v>1</v>
      </c>
      <c r="D57" s="1">
        <v>1</v>
      </c>
      <c r="E57" s="1">
        <v>1</v>
      </c>
      <c r="F57" s="1">
        <v>1</v>
      </c>
      <c r="G57" s="1">
        <v>1</v>
      </c>
      <c r="H57" s="1" t="s">
        <v>283</v>
      </c>
      <c r="I57" s="1" t="s">
        <v>283</v>
      </c>
      <c r="J57" s="1" t="s">
        <v>283</v>
      </c>
      <c r="K57" s="1" t="s">
        <v>283</v>
      </c>
      <c r="L57" s="1" t="s">
        <v>283</v>
      </c>
      <c r="M57" s="1" t="s">
        <v>283</v>
      </c>
      <c r="N57" s="1" t="s">
        <v>283</v>
      </c>
    </row>
    <row r="58" spans="1:14" x14ac:dyDescent="0.2">
      <c r="A58" t="s">
        <v>63</v>
      </c>
      <c r="C58">
        <v>288.61700000000002</v>
      </c>
      <c r="D58">
        <v>282.24200000000002</v>
      </c>
      <c r="E58">
        <v>270.97699999999998</v>
      </c>
      <c r="F58">
        <v>266.36700000000002</v>
      </c>
      <c r="G58">
        <v>279.83600000000001</v>
      </c>
      <c r="H58">
        <v>244.25800000000001</v>
      </c>
      <c r="I58">
        <v>266.04700000000003</v>
      </c>
      <c r="J58">
        <v>365.26600000000002</v>
      </c>
      <c r="K58">
        <v>299.07</v>
      </c>
      <c r="L58">
        <v>252.887</v>
      </c>
      <c r="M58">
        <v>223.30099999999999</v>
      </c>
      <c r="N58">
        <v>231.96100000000001</v>
      </c>
    </row>
    <row r="59" spans="1:14" x14ac:dyDescent="0.2">
      <c r="A59" t="s">
        <v>62</v>
      </c>
      <c r="C59">
        <v>77.299000000000007</v>
      </c>
      <c r="D59">
        <v>70.924000000000007</v>
      </c>
      <c r="E59">
        <v>59.658999999999963</v>
      </c>
      <c r="F59">
        <v>55.049000000000007</v>
      </c>
      <c r="G59">
        <v>68.518000000000001</v>
      </c>
      <c r="H59">
        <v>32.94</v>
      </c>
      <c r="I59">
        <v>54.729000000000013</v>
      </c>
      <c r="J59">
        <v>153.94800000000001</v>
      </c>
      <c r="K59">
        <v>87.751999999999981</v>
      </c>
      <c r="L59">
        <v>41.568999999999988</v>
      </c>
      <c r="M59">
        <v>11.982999999999976</v>
      </c>
      <c r="N59">
        <v>20.643000000000001</v>
      </c>
    </row>
    <row r="60" spans="1:14" x14ac:dyDescent="0.2">
      <c r="A60" t="s">
        <v>61</v>
      </c>
      <c r="C60">
        <v>1.6160000000000001</v>
      </c>
      <c r="D60">
        <v>3.7280000000000002</v>
      </c>
      <c r="E60">
        <v>4.3250000000000002</v>
      </c>
      <c r="F60">
        <v>6.0439999999999996</v>
      </c>
      <c r="G60">
        <v>9.9749999999999996</v>
      </c>
      <c r="H60">
        <v>14.702999999999999</v>
      </c>
      <c r="I60">
        <v>1.0489999999999999</v>
      </c>
      <c r="J60">
        <v>1.857</v>
      </c>
      <c r="K60">
        <v>1.8879999999999999</v>
      </c>
      <c r="L60">
        <v>9.8610000000000007</v>
      </c>
      <c r="M60">
        <v>15.669</v>
      </c>
      <c r="N60">
        <v>4.8760000000000003</v>
      </c>
    </row>
    <row r="61" spans="1:14" x14ac:dyDescent="0.2">
      <c r="A61" t="s">
        <v>60</v>
      </c>
      <c r="C61">
        <v>2.5712751700275098</v>
      </c>
      <c r="D61">
        <v>4.2306009029451124</v>
      </c>
      <c r="E61">
        <v>4.7650419725328756</v>
      </c>
      <c r="F61">
        <v>6.3663125905032336</v>
      </c>
      <c r="G61">
        <v>10.17352569171573</v>
      </c>
      <c r="H61">
        <v>14.838403182283463</v>
      </c>
      <c r="I61">
        <v>2.2584067392743936</v>
      </c>
      <c r="J61">
        <v>2.729184676785358</v>
      </c>
      <c r="K61">
        <v>2.7503716112554679</v>
      </c>
      <c r="L61">
        <v>10.061775240980094</v>
      </c>
      <c r="M61">
        <v>15.796124872892086</v>
      </c>
      <c r="N61">
        <v>5.2702349093754828</v>
      </c>
    </row>
    <row r="62" spans="1:14" x14ac:dyDescent="0.2">
      <c r="A62" t="s">
        <v>376</v>
      </c>
      <c r="H62">
        <v>28.848283657911701</v>
      </c>
      <c r="I62">
        <v>4.3907122234901497</v>
      </c>
      <c r="J62">
        <v>5.3059815630790848</v>
      </c>
      <c r="K62">
        <v>5.3471724303123649</v>
      </c>
      <c r="L62">
        <v>19.561737384283564</v>
      </c>
      <c r="M62">
        <v>30.710251327653953</v>
      </c>
      <c r="N62">
        <v>10.246198983932427</v>
      </c>
    </row>
    <row r="63" spans="1:14" x14ac:dyDescent="0.2">
      <c r="A63" t="s">
        <v>59</v>
      </c>
      <c r="H63">
        <v>0.40944087389501849</v>
      </c>
      <c r="I63">
        <v>0.68027594375836287</v>
      </c>
      <c r="J63">
        <v>1.913558095154533</v>
      </c>
      <c r="K63">
        <v>1.090748499272485</v>
      </c>
      <c r="L63">
        <v>0.51669847258476076</v>
      </c>
      <c r="M63">
        <v>0.14894748002076494</v>
      </c>
      <c r="N63">
        <v>0.2565904055802935</v>
      </c>
    </row>
    <row r="65" spans="1:9" s="1" customFormat="1" x14ac:dyDescent="0.2">
      <c r="A65" s="1" t="s">
        <v>419</v>
      </c>
      <c r="C65" s="1">
        <v>1</v>
      </c>
      <c r="D65" s="1">
        <v>1</v>
      </c>
      <c r="E65" s="1">
        <v>1</v>
      </c>
      <c r="F65" s="1">
        <v>1</v>
      </c>
      <c r="G65" s="1">
        <v>1</v>
      </c>
      <c r="H65" s="1" t="s">
        <v>283</v>
      </c>
      <c r="I65" s="1" t="s">
        <v>283</v>
      </c>
    </row>
    <row r="66" spans="1:9" x14ac:dyDescent="0.2">
      <c r="A66" t="s">
        <v>63</v>
      </c>
      <c r="C66">
        <v>326.02699999999999</v>
      </c>
      <c r="D66">
        <v>271.78100000000001</v>
      </c>
      <c r="E66">
        <v>263.91000000000003</v>
      </c>
      <c r="F66">
        <v>350.26600000000002</v>
      </c>
      <c r="G66">
        <v>233.80099999999999</v>
      </c>
      <c r="H66">
        <v>246</v>
      </c>
      <c r="I66">
        <v>289.52699999999999</v>
      </c>
    </row>
    <row r="67" spans="1:9" x14ac:dyDescent="0.2">
      <c r="A67" t="s">
        <v>62</v>
      </c>
      <c r="C67">
        <v>114.70899999999997</v>
      </c>
      <c r="D67">
        <v>60.462999999999994</v>
      </c>
      <c r="E67">
        <v>52.592000000000013</v>
      </c>
      <c r="F67">
        <v>138.94800000000001</v>
      </c>
      <c r="G67">
        <v>22.482999999999976</v>
      </c>
      <c r="H67">
        <v>34.681999999999988</v>
      </c>
      <c r="I67">
        <v>78.208999999999975</v>
      </c>
    </row>
    <row r="68" spans="1:9" x14ac:dyDescent="0.2">
      <c r="A68" t="s">
        <v>61</v>
      </c>
      <c r="C68">
        <v>4.7850000000000001</v>
      </c>
      <c r="D68">
        <v>1.887</v>
      </c>
      <c r="E68">
        <v>6.109</v>
      </c>
      <c r="F68">
        <v>9.798</v>
      </c>
      <c r="G68">
        <v>10.962</v>
      </c>
      <c r="H68">
        <v>9.9290000000000003</v>
      </c>
      <c r="I68">
        <v>1.6850000000000001</v>
      </c>
    </row>
    <row r="69" spans="1:9" x14ac:dyDescent="0.2">
      <c r="A69" t="s">
        <v>60</v>
      </c>
      <c r="C69">
        <v>5.647674300099113</v>
      </c>
      <c r="D69">
        <v>3.5441175206248454</v>
      </c>
      <c r="E69">
        <v>6.8058710684232038</v>
      </c>
      <c r="F69">
        <v>10.246989997067432</v>
      </c>
      <c r="G69">
        <v>11.365097623865797</v>
      </c>
      <c r="H69">
        <v>10.372320907106568</v>
      </c>
      <c r="I69">
        <v>3.4408174900741249</v>
      </c>
    </row>
    <row r="70" spans="1:9" x14ac:dyDescent="0.2">
      <c r="A70" t="s">
        <v>376</v>
      </c>
      <c r="H70">
        <v>20.165488970966962</v>
      </c>
      <c r="I70">
        <v>6.6895121900500136</v>
      </c>
    </row>
    <row r="71" spans="1:9" x14ac:dyDescent="0.2">
      <c r="A71" t="s">
        <v>59</v>
      </c>
      <c r="H71">
        <v>0.43109375799717753</v>
      </c>
      <c r="I71">
        <v>0.97212997287357295</v>
      </c>
    </row>
    <row r="73" spans="1:9" s="1" customFormat="1" x14ac:dyDescent="0.2">
      <c r="A73" s="1" t="s">
        <v>420</v>
      </c>
      <c r="C73" s="1" t="s">
        <v>283</v>
      </c>
      <c r="D73" s="1" t="s">
        <v>283</v>
      </c>
      <c r="E73" s="1" t="s">
        <v>283</v>
      </c>
    </row>
    <row r="74" spans="1:9" x14ac:dyDescent="0.2">
      <c r="A74" t="s">
        <v>63</v>
      </c>
      <c r="C74">
        <v>260.58199999999999</v>
      </c>
      <c r="D74">
        <v>259.96100000000001</v>
      </c>
      <c r="E74">
        <v>237.28200000000001</v>
      </c>
    </row>
    <row r="75" spans="1:9" x14ac:dyDescent="0.2">
      <c r="A75" t="s">
        <v>62</v>
      </c>
      <c r="C75">
        <v>49.263999999999982</v>
      </c>
      <c r="D75">
        <v>48.643000000000001</v>
      </c>
      <c r="E75">
        <v>25.963999999999999</v>
      </c>
    </row>
    <row r="76" spans="1:9" x14ac:dyDescent="0.2">
      <c r="A76" t="s">
        <v>61</v>
      </c>
      <c r="C76">
        <v>4.83</v>
      </c>
      <c r="D76">
        <v>1.8540000000000001</v>
      </c>
      <c r="E76">
        <v>9.8030000000000008</v>
      </c>
    </row>
    <row r="77" spans="1:9" x14ac:dyDescent="0.2">
      <c r="A77" t="s">
        <v>60</v>
      </c>
      <c r="C77">
        <v>6.2712757872700831</v>
      </c>
      <c r="D77">
        <v>4.4087771547221575</v>
      </c>
      <c r="E77">
        <v>10.587672501546315</v>
      </c>
    </row>
    <row r="78" spans="1:9" x14ac:dyDescent="0.2">
      <c r="A78" t="s">
        <v>376</v>
      </c>
      <c r="C78">
        <v>12.192386241679142</v>
      </c>
      <c r="D78">
        <v>8.5713841564704829</v>
      </c>
      <c r="E78">
        <v>20.584167706560223</v>
      </c>
    </row>
    <row r="79" spans="1:9" x14ac:dyDescent="0.2">
      <c r="A79" t="s">
        <v>59</v>
      </c>
      <c r="C79">
        <v>0.61234654558482648</v>
      </c>
      <c r="D79">
        <v>0.60462757829008462</v>
      </c>
      <c r="E79">
        <v>0.32272989829417914</v>
      </c>
    </row>
    <row r="82" spans="3:3" x14ac:dyDescent="0.2">
      <c r="C82" t="s">
        <v>421</v>
      </c>
    </row>
    <row r="83" spans="3:3" x14ac:dyDescent="0.2">
      <c r="C83">
        <v>80.451176470588237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36BB-6939-0F4D-9719-82035E7C9D7B}">
  <dimension ref="A1:AL37"/>
  <sheetViews>
    <sheetView workbookViewId="0">
      <selection activeCell="B44" sqref="B44"/>
    </sheetView>
  </sheetViews>
  <sheetFormatPr baseColWidth="10" defaultRowHeight="15" x14ac:dyDescent="0.2"/>
  <cols>
    <col min="1" max="1" width="27.6640625" customWidth="1"/>
    <col min="2" max="2" width="17.5" customWidth="1"/>
  </cols>
  <sheetData>
    <row r="1" spans="1:38" x14ac:dyDescent="0.2">
      <c r="C1" t="s">
        <v>294</v>
      </c>
    </row>
    <row r="2" spans="1:38" x14ac:dyDescent="0.2">
      <c r="C2">
        <v>72.604071428571416</v>
      </c>
    </row>
    <row r="4" spans="1:38" s="1" customFormat="1" x14ac:dyDescent="0.2">
      <c r="A4" s="1" t="s">
        <v>439</v>
      </c>
      <c r="B4" s="1" t="s">
        <v>70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 t="s">
        <v>283</v>
      </c>
      <c r="J4" s="1" t="s">
        <v>283</v>
      </c>
      <c r="K4" s="1" t="s">
        <v>283</v>
      </c>
      <c r="L4" s="1" t="s">
        <v>283</v>
      </c>
      <c r="M4" s="1" t="s">
        <v>283</v>
      </c>
      <c r="N4" s="1" t="s">
        <v>283</v>
      </c>
      <c r="O4" s="1" t="s">
        <v>283</v>
      </c>
      <c r="P4" s="1" t="s">
        <v>283</v>
      </c>
      <c r="Q4" s="1" t="s">
        <v>283</v>
      </c>
      <c r="R4" s="1" t="s">
        <v>283</v>
      </c>
      <c r="S4" s="1" t="s">
        <v>283</v>
      </c>
      <c r="T4" s="1" t="s">
        <v>283</v>
      </c>
      <c r="U4" s="1" t="s">
        <v>283</v>
      </c>
      <c r="V4" s="1" t="s">
        <v>283</v>
      </c>
      <c r="W4" s="1" t="s">
        <v>283</v>
      </c>
      <c r="X4" s="1" t="s">
        <v>283</v>
      </c>
      <c r="Y4" s="1" t="s">
        <v>283</v>
      </c>
      <c r="Z4" s="1" t="s">
        <v>283</v>
      </c>
      <c r="AA4" s="1" t="s">
        <v>283</v>
      </c>
      <c r="AB4" s="1" t="s">
        <v>283</v>
      </c>
      <c r="AC4" s="1" t="s">
        <v>283</v>
      </c>
      <c r="AD4" s="1" t="s">
        <v>283</v>
      </c>
      <c r="AE4" s="1" t="s">
        <v>283</v>
      </c>
      <c r="AF4" s="1" t="s">
        <v>283</v>
      </c>
      <c r="AG4" s="1" t="s">
        <v>283</v>
      </c>
      <c r="AH4" s="1" t="s">
        <v>283</v>
      </c>
      <c r="AI4" s="1" t="s">
        <v>283</v>
      </c>
      <c r="AJ4" s="1" t="s">
        <v>283</v>
      </c>
      <c r="AK4" s="1" t="s">
        <v>283</v>
      </c>
      <c r="AL4" s="1" t="s">
        <v>283</v>
      </c>
    </row>
    <row r="5" spans="1:38" x14ac:dyDescent="0.2">
      <c r="A5" t="s">
        <v>63</v>
      </c>
      <c r="B5">
        <v>209.542</v>
      </c>
      <c r="C5">
        <v>272.387</v>
      </c>
      <c r="D5">
        <v>331.02</v>
      </c>
      <c r="E5">
        <v>289.95299999999997</v>
      </c>
      <c r="F5">
        <v>257.54300000000001</v>
      </c>
      <c r="G5">
        <v>284.35500000000002</v>
      </c>
      <c r="H5">
        <v>267.05500000000001</v>
      </c>
      <c r="I5">
        <v>262.61700000000002</v>
      </c>
      <c r="J5">
        <v>444.40600000000001</v>
      </c>
      <c r="K5">
        <v>331.67599999999999</v>
      </c>
      <c r="L5">
        <v>535.89499999999998</v>
      </c>
      <c r="M5">
        <v>663.52</v>
      </c>
      <c r="N5">
        <v>568.77</v>
      </c>
      <c r="O5">
        <v>351.14499999999998</v>
      </c>
      <c r="P5">
        <v>342.27300000000002</v>
      </c>
      <c r="Q5">
        <v>292.64800000000002</v>
      </c>
      <c r="R5">
        <v>257.262</v>
      </c>
      <c r="S5">
        <v>254.465</v>
      </c>
      <c r="T5">
        <v>232.19900000000001</v>
      </c>
      <c r="U5">
        <v>317.44099999999997</v>
      </c>
      <c r="V5">
        <v>301.15600000000001</v>
      </c>
      <c r="W5">
        <v>252.00800000000001</v>
      </c>
      <c r="X5">
        <v>256.44099999999997</v>
      </c>
      <c r="Y5">
        <v>344.54700000000003</v>
      </c>
      <c r="Z5">
        <v>411.25799999999998</v>
      </c>
      <c r="AA5">
        <v>318.91399999999999</v>
      </c>
      <c r="AB5">
        <v>400.61700000000002</v>
      </c>
      <c r="AC5">
        <v>260.65199999999999</v>
      </c>
      <c r="AD5">
        <v>227.86699999999999</v>
      </c>
      <c r="AE5">
        <v>234.22300000000001</v>
      </c>
      <c r="AF5">
        <v>234.14099999999999</v>
      </c>
      <c r="AG5">
        <v>233.953</v>
      </c>
      <c r="AH5">
        <v>245.52</v>
      </c>
      <c r="AI5">
        <v>277.34399999999999</v>
      </c>
      <c r="AJ5">
        <v>227.03899999999999</v>
      </c>
      <c r="AK5">
        <v>227.102</v>
      </c>
      <c r="AL5">
        <v>227.45699999999999</v>
      </c>
    </row>
    <row r="6" spans="1:38" x14ac:dyDescent="0.2">
      <c r="A6" t="s">
        <v>62</v>
      </c>
      <c r="C6">
        <v>62.844999999999999</v>
      </c>
      <c r="D6">
        <v>121.47799999999998</v>
      </c>
      <c r="E6">
        <v>80.410999999999973</v>
      </c>
      <c r="F6">
        <v>48.001000000000005</v>
      </c>
      <c r="G6">
        <v>74.813000000000017</v>
      </c>
      <c r="H6">
        <v>57.513000000000005</v>
      </c>
      <c r="I6">
        <v>53.075000000000017</v>
      </c>
      <c r="J6">
        <v>234.864</v>
      </c>
      <c r="K6">
        <v>122.13399999999999</v>
      </c>
      <c r="L6">
        <v>326.35299999999995</v>
      </c>
      <c r="M6">
        <v>453.97799999999995</v>
      </c>
      <c r="N6">
        <v>359.22799999999995</v>
      </c>
      <c r="O6">
        <v>141.60299999999998</v>
      </c>
      <c r="P6">
        <v>132.73100000000002</v>
      </c>
      <c r="Q6">
        <v>83.106000000000023</v>
      </c>
      <c r="R6">
        <v>47.72</v>
      </c>
      <c r="S6">
        <v>44.923000000000002</v>
      </c>
      <c r="T6">
        <v>22.657000000000011</v>
      </c>
      <c r="U6">
        <v>107.89899999999997</v>
      </c>
      <c r="V6">
        <v>91.614000000000004</v>
      </c>
      <c r="W6">
        <v>42.466000000000008</v>
      </c>
      <c r="X6">
        <v>46.898999999999972</v>
      </c>
      <c r="Y6">
        <v>135.00500000000002</v>
      </c>
      <c r="Z6">
        <v>201.71599999999998</v>
      </c>
      <c r="AA6">
        <v>109.37199999999999</v>
      </c>
      <c r="AB6">
        <v>191.07500000000002</v>
      </c>
      <c r="AC6">
        <v>51.109999999999985</v>
      </c>
      <c r="AD6">
        <v>18.324999999999989</v>
      </c>
      <c r="AE6">
        <v>24.681000000000012</v>
      </c>
      <c r="AF6">
        <v>24.59899999999999</v>
      </c>
      <c r="AG6">
        <v>24.411000000000001</v>
      </c>
      <c r="AH6">
        <v>35.978000000000009</v>
      </c>
      <c r="AI6">
        <v>67.801999999999992</v>
      </c>
      <c r="AJ6">
        <v>17.496999999999986</v>
      </c>
      <c r="AK6">
        <v>17.560000000000002</v>
      </c>
      <c r="AL6">
        <v>17.914999999999992</v>
      </c>
    </row>
    <row r="7" spans="1:38" x14ac:dyDescent="0.2">
      <c r="A7" t="s">
        <v>61</v>
      </c>
      <c r="C7">
        <v>4.2619999999999996</v>
      </c>
      <c r="D7">
        <v>1.9219999999999999</v>
      </c>
      <c r="E7">
        <v>10.329000000000001</v>
      </c>
      <c r="F7">
        <v>15.717000000000001</v>
      </c>
      <c r="G7">
        <v>3.5350000000000001</v>
      </c>
      <c r="H7">
        <v>2.3460000000000001</v>
      </c>
      <c r="I7">
        <v>4.0590000000000002</v>
      </c>
      <c r="J7">
        <v>3.782</v>
      </c>
      <c r="K7">
        <v>2.9870000000000001</v>
      </c>
      <c r="L7">
        <v>1.9530000000000001</v>
      </c>
      <c r="M7">
        <v>2.96</v>
      </c>
      <c r="N7">
        <v>2.5259999999999998</v>
      </c>
      <c r="O7">
        <v>3.4580000000000002</v>
      </c>
      <c r="P7">
        <v>1.9930000000000001</v>
      </c>
      <c r="Q7">
        <v>2.57</v>
      </c>
      <c r="R7">
        <v>1.62</v>
      </c>
      <c r="S7">
        <v>3.0529999999999999</v>
      </c>
      <c r="T7">
        <v>3.8119999999999998</v>
      </c>
      <c r="U7">
        <v>1.9970000000000001</v>
      </c>
      <c r="V7">
        <v>1.161</v>
      </c>
      <c r="W7">
        <v>3.9380000000000002</v>
      </c>
      <c r="X7">
        <v>3.2040000000000002</v>
      </c>
      <c r="Y7">
        <v>2.5110000000000001</v>
      </c>
      <c r="Z7">
        <v>1.8120000000000001</v>
      </c>
      <c r="AA7">
        <v>2.6360000000000001</v>
      </c>
      <c r="AB7">
        <v>3.0139999999999998</v>
      </c>
      <c r="AC7">
        <v>3.4380000000000002</v>
      </c>
      <c r="AD7">
        <v>2.7090000000000001</v>
      </c>
      <c r="AE7">
        <v>3.843</v>
      </c>
      <c r="AF7">
        <v>8.0730000000000004</v>
      </c>
      <c r="AG7">
        <v>7.4630000000000001</v>
      </c>
      <c r="AH7">
        <v>13.834</v>
      </c>
      <c r="AI7">
        <v>14.627000000000001</v>
      </c>
      <c r="AJ7">
        <v>14.002000000000001</v>
      </c>
      <c r="AK7">
        <v>19.373999999999999</v>
      </c>
      <c r="AL7">
        <v>18.736000000000001</v>
      </c>
    </row>
    <row r="8" spans="1:38" x14ac:dyDescent="0.2">
      <c r="A8" t="s">
        <v>60</v>
      </c>
      <c r="C8">
        <v>4.2619999999999996</v>
      </c>
      <c r="D8">
        <v>1.9219999999999999</v>
      </c>
      <c r="E8">
        <v>10.329000000000001</v>
      </c>
      <c r="F8">
        <v>15.717000000000001</v>
      </c>
      <c r="G8">
        <v>3.5350000000000001</v>
      </c>
      <c r="H8">
        <v>2.3460000000000001</v>
      </c>
      <c r="I8">
        <v>4.0590000000000002</v>
      </c>
      <c r="J8">
        <v>3.782</v>
      </c>
      <c r="K8">
        <v>2.9870000000000001</v>
      </c>
      <c r="L8">
        <v>1.9530000000000001</v>
      </c>
      <c r="M8">
        <v>2.96</v>
      </c>
      <c r="N8">
        <v>2.5259999999999998</v>
      </c>
      <c r="O8">
        <v>3.4580000000000002</v>
      </c>
      <c r="P8">
        <v>1.9930000000000001</v>
      </c>
      <c r="Q8">
        <v>2.57</v>
      </c>
      <c r="R8">
        <v>1.62</v>
      </c>
      <c r="S8">
        <v>3.0529999999999999</v>
      </c>
      <c r="T8">
        <v>3.8119999999999998</v>
      </c>
      <c r="U8">
        <v>1.9970000000000001</v>
      </c>
      <c r="V8">
        <v>1.161</v>
      </c>
      <c r="W8">
        <v>3.9380000000000002</v>
      </c>
      <c r="X8">
        <v>3.2040000000000002</v>
      </c>
      <c r="Y8">
        <v>2.5110000000000001</v>
      </c>
      <c r="Z8">
        <v>1.8120000000000001</v>
      </c>
      <c r="AA8">
        <v>2.6360000000000001</v>
      </c>
      <c r="AB8">
        <v>3.0139999999999998</v>
      </c>
      <c r="AC8">
        <v>3.4380000000000002</v>
      </c>
      <c r="AD8">
        <v>2.7090000000000001</v>
      </c>
      <c r="AE8">
        <v>3.843</v>
      </c>
      <c r="AF8">
        <v>8.0730000000000004</v>
      </c>
      <c r="AG8">
        <v>7.4630000000000001</v>
      </c>
      <c r="AH8">
        <v>13.834</v>
      </c>
      <c r="AI8">
        <v>14.627000000000001</v>
      </c>
      <c r="AJ8">
        <v>14.002000000000001</v>
      </c>
      <c r="AK8">
        <v>19.373999999999999</v>
      </c>
      <c r="AL8">
        <v>18.736000000000001</v>
      </c>
    </row>
    <row r="9" spans="1:38" x14ac:dyDescent="0.2">
      <c r="A9" t="s">
        <v>59</v>
      </c>
      <c r="I9">
        <v>0.73101961027372564</v>
      </c>
      <c r="J9">
        <v>3.2348599104536646</v>
      </c>
      <c r="K9">
        <v>1.6821921635642236</v>
      </c>
      <c r="L9">
        <v>4.4949683065786354</v>
      </c>
      <c r="M9">
        <v>6.2527898376419273</v>
      </c>
      <c r="N9">
        <v>4.9477666049818145</v>
      </c>
      <c r="O9">
        <v>1.9503451695448013</v>
      </c>
      <c r="P9">
        <v>1.8281481656380945</v>
      </c>
      <c r="Q9">
        <v>1.144646551698695</v>
      </c>
      <c r="R9">
        <v>0.65726341596348892</v>
      </c>
      <c r="S9">
        <v>0.61873940560200791</v>
      </c>
      <c r="T9">
        <v>0.31206238925994922</v>
      </c>
      <c r="U9">
        <v>1.4861287786891131</v>
      </c>
      <c r="V9">
        <v>1.2618300626588239</v>
      </c>
      <c r="W9">
        <v>0.58489832821260535</v>
      </c>
      <c r="X9">
        <v>0.6459555101691461</v>
      </c>
      <c r="Y9">
        <v>1.8594687232219373</v>
      </c>
      <c r="Z9">
        <v>2.7783014923405518</v>
      </c>
      <c r="AA9">
        <v>1.5064168971240299</v>
      </c>
      <c r="AB9">
        <v>2.6317394636467659</v>
      </c>
      <c r="AC9">
        <v>0.70395501236156566</v>
      </c>
      <c r="AD9">
        <v>0.25239631386276046</v>
      </c>
      <c r="AE9">
        <v>0.33993961377608717</v>
      </c>
      <c r="AF9">
        <v>0.3388102005298797</v>
      </c>
      <c r="AG9">
        <v>0.33622081406296583</v>
      </c>
      <c r="AH9">
        <v>0.49553694843953083</v>
      </c>
      <c r="AI9">
        <v>0.93385947462607866</v>
      </c>
      <c r="AJ9">
        <v>0.24099199474252214</v>
      </c>
      <c r="AK9">
        <v>0.24185971467558398</v>
      </c>
      <c r="AL9">
        <v>0.24674924763172465</v>
      </c>
    </row>
    <row r="11" spans="1:38" s="1" customFormat="1" x14ac:dyDescent="0.2">
      <c r="A11" s="1" t="s">
        <v>440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 t="s">
        <v>283</v>
      </c>
      <c r="R11" s="1" t="s">
        <v>283</v>
      </c>
      <c r="S11" s="1" t="s">
        <v>283</v>
      </c>
      <c r="T11" s="1" t="s">
        <v>283</v>
      </c>
      <c r="U11" s="1" t="s">
        <v>283</v>
      </c>
      <c r="V11" s="1" t="s">
        <v>283</v>
      </c>
      <c r="W11" s="1" t="s">
        <v>283</v>
      </c>
      <c r="X11" s="1" t="s">
        <v>283</v>
      </c>
      <c r="Y11" s="1" t="s">
        <v>283</v>
      </c>
      <c r="Z11" s="1" t="s">
        <v>283</v>
      </c>
      <c r="AA11" s="1" t="s">
        <v>283</v>
      </c>
      <c r="AB11" s="1" t="s">
        <v>283</v>
      </c>
      <c r="AC11" s="1" t="s">
        <v>283</v>
      </c>
      <c r="AD11" s="1" t="s">
        <v>283</v>
      </c>
      <c r="AE11" s="1" t="s">
        <v>283</v>
      </c>
      <c r="AF11" s="1" t="s">
        <v>283</v>
      </c>
      <c r="AG11" s="1" t="s">
        <v>283</v>
      </c>
      <c r="AH11" s="1" t="s">
        <v>283</v>
      </c>
      <c r="AI11" s="1" t="s">
        <v>283</v>
      </c>
      <c r="AJ11" s="1" t="s">
        <v>283</v>
      </c>
      <c r="AK11" s="1" t="s">
        <v>283</v>
      </c>
      <c r="AL11" s="1" t="s">
        <v>283</v>
      </c>
    </row>
    <row r="12" spans="1:38" x14ac:dyDescent="0.2">
      <c r="A12" t="s">
        <v>63</v>
      </c>
      <c r="C12">
        <v>270.41800000000001</v>
      </c>
      <c r="D12">
        <v>324.93799999999999</v>
      </c>
      <c r="E12">
        <v>298.71499999999997</v>
      </c>
      <c r="F12">
        <v>320.375</v>
      </c>
      <c r="G12">
        <v>321.70699999999999</v>
      </c>
      <c r="H12">
        <v>297.07400000000001</v>
      </c>
      <c r="I12">
        <v>279.69900000000001</v>
      </c>
      <c r="J12">
        <v>278.14100000000002</v>
      </c>
      <c r="K12">
        <v>292.5</v>
      </c>
      <c r="L12">
        <v>270.77</v>
      </c>
      <c r="M12">
        <v>278.82</v>
      </c>
      <c r="N12">
        <v>243.18799999999999</v>
      </c>
      <c r="O12">
        <v>289.17200000000003</v>
      </c>
      <c r="P12">
        <v>267.66000000000003</v>
      </c>
      <c r="Q12">
        <v>245.07</v>
      </c>
      <c r="R12">
        <v>274.59800000000001</v>
      </c>
      <c r="S12">
        <v>395.59800000000001</v>
      </c>
      <c r="T12">
        <v>355.19499999999999</v>
      </c>
      <c r="U12">
        <v>292.92200000000003</v>
      </c>
      <c r="V12">
        <v>290.80500000000001</v>
      </c>
      <c r="W12">
        <v>343.65600000000001</v>
      </c>
      <c r="X12">
        <v>344.32400000000001</v>
      </c>
      <c r="Y12">
        <v>390.98399999999998</v>
      </c>
      <c r="Z12">
        <v>383.41</v>
      </c>
      <c r="AA12">
        <v>347.29300000000001</v>
      </c>
      <c r="AB12">
        <v>327.84399999999999</v>
      </c>
      <c r="AC12">
        <v>368.31200000000001</v>
      </c>
      <c r="AD12">
        <v>237.33199999999999</v>
      </c>
      <c r="AE12">
        <v>313.27</v>
      </c>
      <c r="AF12">
        <v>238.43799999999999</v>
      </c>
      <c r="AG12">
        <v>275.54300000000001</v>
      </c>
      <c r="AH12">
        <v>226.352</v>
      </c>
      <c r="AI12">
        <v>220.059</v>
      </c>
      <c r="AJ12">
        <v>246.352</v>
      </c>
      <c r="AK12">
        <v>225.95699999999999</v>
      </c>
      <c r="AL12">
        <v>247.125</v>
      </c>
    </row>
    <row r="13" spans="1:38" x14ac:dyDescent="0.2">
      <c r="A13" t="s">
        <v>62</v>
      </c>
      <c r="C13">
        <v>60.876000000000005</v>
      </c>
      <c r="D13">
        <v>115.39599999999999</v>
      </c>
      <c r="E13">
        <v>89.172999999999973</v>
      </c>
      <c r="F13">
        <v>110.833</v>
      </c>
      <c r="G13">
        <v>112.16499999999999</v>
      </c>
      <c r="H13">
        <v>87.532000000000011</v>
      </c>
      <c r="I13">
        <v>70.157000000000011</v>
      </c>
      <c r="J13">
        <v>68.599000000000018</v>
      </c>
      <c r="K13">
        <v>82.957999999999998</v>
      </c>
      <c r="L13">
        <v>61.22799999999998</v>
      </c>
      <c r="M13">
        <v>69.277999999999992</v>
      </c>
      <c r="N13">
        <v>33.645999999999987</v>
      </c>
      <c r="O13">
        <v>79.630000000000024</v>
      </c>
      <c r="P13">
        <v>58.118000000000023</v>
      </c>
      <c r="Q13">
        <v>35.527999999999992</v>
      </c>
      <c r="R13">
        <v>65.056000000000012</v>
      </c>
      <c r="S13">
        <v>186.05600000000001</v>
      </c>
      <c r="T13">
        <v>145.65299999999999</v>
      </c>
      <c r="U13">
        <v>83.380000000000024</v>
      </c>
      <c r="V13">
        <v>81.263000000000005</v>
      </c>
      <c r="W13">
        <v>134.114</v>
      </c>
      <c r="X13">
        <v>134.78200000000001</v>
      </c>
      <c r="Y13">
        <v>181.44199999999998</v>
      </c>
      <c r="Z13">
        <v>173.86800000000002</v>
      </c>
      <c r="AA13">
        <v>137.751</v>
      </c>
      <c r="AB13">
        <v>118.30199999999999</v>
      </c>
      <c r="AC13">
        <v>158.77000000000001</v>
      </c>
      <c r="AD13">
        <v>27.789999999999992</v>
      </c>
      <c r="AE13">
        <v>103.72799999999998</v>
      </c>
      <c r="AF13">
        <v>28.895999999999987</v>
      </c>
      <c r="AG13">
        <v>66.001000000000005</v>
      </c>
      <c r="AH13">
        <v>16.810000000000002</v>
      </c>
      <c r="AI13">
        <v>10.516999999999996</v>
      </c>
      <c r="AJ13">
        <v>36.81</v>
      </c>
      <c r="AK13">
        <v>16.414999999999992</v>
      </c>
      <c r="AL13">
        <v>37.582999999999998</v>
      </c>
    </row>
    <row r="14" spans="1:38" x14ac:dyDescent="0.2">
      <c r="A14" t="s">
        <v>61</v>
      </c>
      <c r="C14">
        <v>2.5219999999999998</v>
      </c>
      <c r="D14">
        <v>2.9729999999999999</v>
      </c>
      <c r="E14">
        <v>4.0780000000000003</v>
      </c>
      <c r="F14">
        <v>3.1709999999999998</v>
      </c>
      <c r="G14">
        <v>3.5990000000000002</v>
      </c>
      <c r="H14">
        <v>4.0529999999999999</v>
      </c>
      <c r="I14">
        <v>2.4380000000000002</v>
      </c>
      <c r="J14">
        <v>3.68</v>
      </c>
      <c r="K14">
        <v>8.4969999999999999</v>
      </c>
      <c r="L14">
        <v>7.7939999999999996</v>
      </c>
      <c r="M14">
        <v>8.8559999999999999</v>
      </c>
      <c r="N14">
        <v>15.65</v>
      </c>
      <c r="O14">
        <v>19.802</v>
      </c>
      <c r="P14">
        <v>21.704999999999998</v>
      </c>
      <c r="Q14">
        <v>3.9729999999999999</v>
      </c>
      <c r="R14">
        <v>2.99</v>
      </c>
      <c r="S14">
        <v>2.99</v>
      </c>
      <c r="T14">
        <v>2.8090000000000002</v>
      </c>
      <c r="U14">
        <v>1.9330000000000001</v>
      </c>
      <c r="V14">
        <v>1.9350000000000001</v>
      </c>
      <c r="W14">
        <v>2.7770000000000001</v>
      </c>
      <c r="X14">
        <v>3.5880000000000001</v>
      </c>
      <c r="Y14">
        <v>2.8149999999999999</v>
      </c>
      <c r="Z14">
        <v>3.6760000000000002</v>
      </c>
      <c r="AA14">
        <v>1.429</v>
      </c>
      <c r="AB14">
        <v>2.2029999999999998</v>
      </c>
      <c r="AC14">
        <v>2.1619999999999999</v>
      </c>
      <c r="AD14">
        <v>1.696</v>
      </c>
      <c r="AE14">
        <v>3.1680000000000001</v>
      </c>
      <c r="AF14">
        <v>9.9789999999999992</v>
      </c>
      <c r="AG14">
        <v>14.67</v>
      </c>
      <c r="AH14">
        <v>18.454000000000001</v>
      </c>
      <c r="AI14">
        <v>9.6620000000000008</v>
      </c>
      <c r="AJ14">
        <v>10.103999999999999</v>
      </c>
      <c r="AK14">
        <v>5.4550000000000001</v>
      </c>
      <c r="AL14">
        <v>2.6179999999999999</v>
      </c>
    </row>
    <row r="15" spans="1:38" x14ac:dyDescent="0.2">
      <c r="A15" t="s">
        <v>60</v>
      </c>
      <c r="C15">
        <v>2.7130211941671223</v>
      </c>
      <c r="D15">
        <v>3.1366748317286572</v>
      </c>
      <c r="E15">
        <v>4.198819357867162</v>
      </c>
      <c r="F15">
        <v>3.3249422551376737</v>
      </c>
      <c r="G15">
        <v>3.735344830132822</v>
      </c>
      <c r="H15">
        <v>4.1745429689967262</v>
      </c>
      <c r="I15">
        <v>2.6351174546877414</v>
      </c>
      <c r="J15">
        <v>3.8134498816688285</v>
      </c>
      <c r="K15">
        <v>8.5556419396793366</v>
      </c>
      <c r="L15">
        <v>7.8578900475891107</v>
      </c>
      <c r="M15">
        <v>8.9122800674126044</v>
      </c>
      <c r="N15">
        <v>15.681916336978718</v>
      </c>
      <c r="O15">
        <v>19.827233896839971</v>
      </c>
      <c r="P15">
        <v>21.728023955251889</v>
      </c>
      <c r="Q15">
        <v>4.0969170116076308</v>
      </c>
      <c r="R15">
        <v>3.1527924130839953</v>
      </c>
      <c r="S15">
        <v>3.1527924130839953</v>
      </c>
      <c r="T15">
        <v>2.9816909631952138</v>
      </c>
      <c r="U15">
        <v>2.1763476284821781</v>
      </c>
      <c r="V15">
        <v>2.1781241929697215</v>
      </c>
      <c r="W15">
        <v>2.9515638227895398</v>
      </c>
      <c r="X15">
        <v>3.7247475082211947</v>
      </c>
      <c r="Y15">
        <v>2.9873441381936563</v>
      </c>
      <c r="Z15">
        <v>3.8095900041868025</v>
      </c>
      <c r="AA15">
        <v>1.7441447761008833</v>
      </c>
      <c r="AB15">
        <v>2.4193406126463466</v>
      </c>
      <c r="AC15">
        <v>2.3820671694979549</v>
      </c>
      <c r="AD15">
        <v>1.9688616000115395</v>
      </c>
      <c r="AE15">
        <v>3.3220812753453219</v>
      </c>
      <c r="AF15">
        <v>10.028980057812458</v>
      </c>
      <c r="AG15">
        <v>14.70404366152386</v>
      </c>
      <c r="AH15">
        <v>18.481074535859651</v>
      </c>
      <c r="AI15">
        <v>9.713611274906981</v>
      </c>
      <c r="AJ15">
        <v>10.15336476248145</v>
      </c>
      <c r="AK15">
        <v>5.5459016399499914</v>
      </c>
      <c r="AL15">
        <v>2.8024853255637217</v>
      </c>
    </row>
    <row r="16" spans="1:38" x14ac:dyDescent="0.2">
      <c r="A16" t="s">
        <v>59</v>
      </c>
      <c r="Q16">
        <v>0.489338948917662</v>
      </c>
      <c r="R16">
        <v>0.89603790421040963</v>
      </c>
      <c r="S16">
        <v>2.5626111089795245</v>
      </c>
      <c r="T16">
        <v>2.0061271652416188</v>
      </c>
      <c r="U16">
        <v>1.1484204447408997</v>
      </c>
      <c r="V16">
        <v>1.1192623003235751</v>
      </c>
      <c r="W16">
        <v>1.8471966841686371</v>
      </c>
      <c r="X16">
        <v>1.8563972701255445</v>
      </c>
      <c r="Y16">
        <v>2.4990609538819646</v>
      </c>
      <c r="Z16">
        <v>2.3947417352627811</v>
      </c>
      <c r="AA16">
        <v>1.8972902936376064</v>
      </c>
      <c r="AB16">
        <v>1.6294127543024448</v>
      </c>
      <c r="AC16">
        <v>2.1867919646379539</v>
      </c>
      <c r="AD16">
        <v>0.38276090380606359</v>
      </c>
      <c r="AE16">
        <v>1.4286802097875266</v>
      </c>
      <c r="AF16">
        <v>0.39799420929758944</v>
      </c>
      <c r="AG16">
        <v>0.90905370320633361</v>
      </c>
      <c r="AH16">
        <v>0.23152971547246964</v>
      </c>
      <c r="AI16">
        <v>0.14485413549220474</v>
      </c>
      <c r="AJ16">
        <v>0.50699636088885225</v>
      </c>
      <c r="AK16">
        <v>0.22608924922549595</v>
      </c>
      <c r="AL16">
        <v>0.51764314673419543</v>
      </c>
    </row>
    <row r="18" spans="1:23" s="1" customFormat="1" x14ac:dyDescent="0.2">
      <c r="A18" s="1" t="s">
        <v>441</v>
      </c>
      <c r="C18" s="1">
        <v>1</v>
      </c>
      <c r="D18" s="1">
        <v>1</v>
      </c>
      <c r="E18" s="1">
        <v>1</v>
      </c>
      <c r="F18" s="1">
        <v>1</v>
      </c>
      <c r="G18" s="1" t="s">
        <v>283</v>
      </c>
      <c r="H18" s="1" t="s">
        <v>283</v>
      </c>
      <c r="I18" s="1" t="s">
        <v>283</v>
      </c>
      <c r="J18" s="1" t="s">
        <v>283</v>
      </c>
      <c r="K18" s="1" t="s">
        <v>283</v>
      </c>
      <c r="L18" s="1" t="s">
        <v>283</v>
      </c>
      <c r="M18" s="1" t="s">
        <v>283</v>
      </c>
      <c r="N18" s="1" t="s">
        <v>283</v>
      </c>
    </row>
    <row r="19" spans="1:23" x14ac:dyDescent="0.2">
      <c r="A19" t="s">
        <v>63</v>
      </c>
      <c r="C19">
        <v>253.047</v>
      </c>
      <c r="D19">
        <v>242.90600000000001</v>
      </c>
      <c r="E19">
        <v>249.988</v>
      </c>
      <c r="F19">
        <v>248.56200000000001</v>
      </c>
      <c r="G19">
        <v>243.02699999999999</v>
      </c>
      <c r="H19">
        <v>343.55099999999999</v>
      </c>
      <c r="I19">
        <v>253.59800000000001</v>
      </c>
      <c r="J19">
        <v>296.67599999999999</v>
      </c>
      <c r="K19">
        <v>255.40199999999999</v>
      </c>
      <c r="L19">
        <v>227.46899999999999</v>
      </c>
      <c r="M19">
        <v>252.12899999999999</v>
      </c>
      <c r="N19">
        <v>282.27699999999999</v>
      </c>
    </row>
    <row r="20" spans="1:23" x14ac:dyDescent="0.2">
      <c r="A20" t="s">
        <v>62</v>
      </c>
      <c r="C20">
        <v>43.504999999999995</v>
      </c>
      <c r="D20">
        <v>33.364000000000004</v>
      </c>
      <c r="E20">
        <v>40.445999999999998</v>
      </c>
      <c r="F20">
        <v>39.02000000000001</v>
      </c>
      <c r="G20">
        <v>33.484999999999985</v>
      </c>
      <c r="H20">
        <v>134.00899999999999</v>
      </c>
      <c r="I20">
        <v>44.056000000000012</v>
      </c>
      <c r="J20">
        <v>87.133999999999986</v>
      </c>
      <c r="K20">
        <v>45.859999999999985</v>
      </c>
      <c r="L20">
        <v>17.926999999999992</v>
      </c>
      <c r="M20">
        <v>42.586999999999989</v>
      </c>
      <c r="N20">
        <v>72.734999999999985</v>
      </c>
    </row>
    <row r="21" spans="1:23" x14ac:dyDescent="0.2">
      <c r="A21" t="s">
        <v>61</v>
      </c>
      <c r="C21">
        <v>5.4160000000000004</v>
      </c>
      <c r="D21">
        <v>19.449000000000002</v>
      </c>
      <c r="E21">
        <v>21.673999999999999</v>
      </c>
      <c r="F21">
        <v>22.155000000000001</v>
      </c>
      <c r="G21">
        <v>3.198</v>
      </c>
      <c r="H21">
        <v>3.2389999999999999</v>
      </c>
      <c r="I21">
        <v>4.0339999999999998</v>
      </c>
      <c r="J21">
        <v>1.5569999999999999</v>
      </c>
      <c r="K21">
        <v>3.149</v>
      </c>
      <c r="L21">
        <v>8.3290000000000006</v>
      </c>
      <c r="M21">
        <v>8.5830000000000002</v>
      </c>
      <c r="N21">
        <v>9.77</v>
      </c>
    </row>
    <row r="22" spans="1:23" x14ac:dyDescent="0.2">
      <c r="A22" t="s">
        <v>60</v>
      </c>
      <c r="C22">
        <v>5.7734786740751023</v>
      </c>
      <c r="D22">
        <v>19.55156262297211</v>
      </c>
      <c r="E22">
        <v>21.766080859906772</v>
      </c>
      <c r="F22">
        <v>22.24508990766277</v>
      </c>
      <c r="G22">
        <v>3.7718966051576759</v>
      </c>
      <c r="H22">
        <v>3.8067205045813384</v>
      </c>
      <c r="I22">
        <v>4.5025721537805481</v>
      </c>
      <c r="J22">
        <v>2.5346102264450838</v>
      </c>
      <c r="K22">
        <v>3.7304424670540088</v>
      </c>
      <c r="L22">
        <v>8.5657598028429458</v>
      </c>
      <c r="M22">
        <v>8.8129387266677401</v>
      </c>
      <c r="N22">
        <v>9.9726074824992477</v>
      </c>
    </row>
    <row r="23" spans="1:23" x14ac:dyDescent="0.2">
      <c r="A23" t="s">
        <v>59</v>
      </c>
      <c r="G23">
        <v>0.46120003108837843</v>
      </c>
      <c r="H23">
        <v>1.8457504842802008</v>
      </c>
      <c r="I23">
        <v>0.60679792652320785</v>
      </c>
      <c r="J23">
        <v>1.2001255340855541</v>
      </c>
      <c r="K23">
        <v>0.63164501793976524</v>
      </c>
      <c r="L23">
        <v>0.24691452761897448</v>
      </c>
      <c r="M23">
        <v>0.58656490141737427</v>
      </c>
      <c r="N23">
        <v>1.0018033227180294</v>
      </c>
    </row>
    <row r="25" spans="1:23" s="1" customFormat="1" x14ac:dyDescent="0.2">
      <c r="A25" s="1" t="s">
        <v>442</v>
      </c>
      <c r="C25" s="1">
        <v>1</v>
      </c>
      <c r="D25" s="1">
        <v>1</v>
      </c>
      <c r="E25" s="1">
        <v>1</v>
      </c>
      <c r="F25" s="1">
        <v>1</v>
      </c>
      <c r="G25" s="1" t="s">
        <v>283</v>
      </c>
      <c r="H25" s="1" t="s">
        <v>283</v>
      </c>
      <c r="I25" s="1" t="s">
        <v>283</v>
      </c>
      <c r="J25" s="1" t="s">
        <v>283</v>
      </c>
      <c r="K25" s="1" t="s">
        <v>283</v>
      </c>
      <c r="L25" s="1" t="s">
        <v>283</v>
      </c>
      <c r="M25" s="1" t="s">
        <v>283</v>
      </c>
      <c r="N25" s="1" t="s">
        <v>283</v>
      </c>
      <c r="O25" s="1" t="s">
        <v>283</v>
      </c>
      <c r="P25" s="1" t="s">
        <v>283</v>
      </c>
      <c r="Q25" s="1" t="s">
        <v>283</v>
      </c>
      <c r="R25" s="1" t="s">
        <v>283</v>
      </c>
      <c r="S25" s="1" t="s">
        <v>283</v>
      </c>
      <c r="T25" s="1" t="s">
        <v>283</v>
      </c>
      <c r="U25" s="1" t="s">
        <v>283</v>
      </c>
      <c r="V25" s="1" t="s">
        <v>283</v>
      </c>
      <c r="W25" s="1" t="s">
        <v>283</v>
      </c>
    </row>
    <row r="26" spans="1:23" ht="19" customHeight="1" x14ac:dyDescent="0.2">
      <c r="A26" t="s">
        <v>63</v>
      </c>
      <c r="C26">
        <v>276.07400000000001</v>
      </c>
      <c r="D26">
        <v>286.60899999999998</v>
      </c>
      <c r="E26">
        <v>308.82</v>
      </c>
      <c r="F26">
        <v>298.59399999999999</v>
      </c>
      <c r="G26">
        <v>477.22300000000001</v>
      </c>
      <c r="H26">
        <v>385.56200000000001</v>
      </c>
      <c r="I26">
        <v>338.113</v>
      </c>
      <c r="J26">
        <v>323.53899999999999</v>
      </c>
      <c r="K26">
        <v>324.33199999999999</v>
      </c>
      <c r="L26">
        <v>335.625</v>
      </c>
      <c r="M26">
        <v>333.47300000000001</v>
      </c>
      <c r="N26">
        <v>316.012</v>
      </c>
      <c r="O26">
        <v>258.58199999999999</v>
      </c>
      <c r="P26">
        <v>231.96100000000001</v>
      </c>
      <c r="Q26">
        <v>238.02</v>
      </c>
      <c r="R26">
        <v>251.32</v>
      </c>
      <c r="S26">
        <v>265.04700000000003</v>
      </c>
      <c r="T26">
        <v>249.46899999999999</v>
      </c>
      <c r="U26">
        <v>250.62100000000001</v>
      </c>
      <c r="V26">
        <v>269.99200000000002</v>
      </c>
      <c r="W26">
        <v>236.53899999999999</v>
      </c>
    </row>
    <row r="27" spans="1:23" x14ac:dyDescent="0.2">
      <c r="A27" t="s">
        <v>62</v>
      </c>
      <c r="C27">
        <v>66.532000000000011</v>
      </c>
      <c r="D27">
        <v>77.066999999999979</v>
      </c>
      <c r="E27">
        <v>99.277999999999992</v>
      </c>
      <c r="F27">
        <v>89.051999999999992</v>
      </c>
      <c r="G27">
        <v>267.68100000000004</v>
      </c>
      <c r="H27">
        <v>176.02</v>
      </c>
      <c r="I27">
        <v>128.571</v>
      </c>
      <c r="J27">
        <v>113.99699999999999</v>
      </c>
      <c r="K27">
        <v>114.78999999999999</v>
      </c>
      <c r="L27">
        <v>126.083</v>
      </c>
      <c r="M27">
        <v>123.93100000000001</v>
      </c>
      <c r="N27">
        <v>106.47</v>
      </c>
      <c r="O27">
        <v>49.039999999999992</v>
      </c>
      <c r="P27">
        <v>22.419000000000011</v>
      </c>
      <c r="Q27">
        <v>28.478000000000009</v>
      </c>
      <c r="R27">
        <v>41.777999999999992</v>
      </c>
      <c r="S27">
        <v>55.505000000000024</v>
      </c>
      <c r="T27">
        <v>39.926999999999992</v>
      </c>
      <c r="U27">
        <v>41.079000000000008</v>
      </c>
      <c r="V27">
        <v>60.450000000000017</v>
      </c>
      <c r="W27">
        <v>26.996999999999986</v>
      </c>
    </row>
    <row r="28" spans="1:23" x14ac:dyDescent="0.2">
      <c r="A28" t="s">
        <v>61</v>
      </c>
      <c r="C28">
        <v>4.4240000000000004</v>
      </c>
      <c r="D28">
        <v>4.5119999999999996</v>
      </c>
      <c r="E28">
        <v>3.11</v>
      </c>
      <c r="F28">
        <v>2.0670000000000002</v>
      </c>
      <c r="G28">
        <v>3.891</v>
      </c>
      <c r="H28">
        <v>2.93</v>
      </c>
      <c r="I28">
        <v>2.1800000000000002</v>
      </c>
      <c r="J28">
        <v>2.4900000000000002</v>
      </c>
      <c r="K28">
        <v>3.2429999999999999</v>
      </c>
      <c r="L28">
        <v>2.8</v>
      </c>
      <c r="M28">
        <v>2.0059999999999998</v>
      </c>
      <c r="N28">
        <v>1.9990000000000001</v>
      </c>
      <c r="O28">
        <v>1.2250000000000001</v>
      </c>
      <c r="P28">
        <v>2.012</v>
      </c>
      <c r="Q28">
        <v>0.32500000000000001</v>
      </c>
      <c r="R28">
        <v>1.272</v>
      </c>
      <c r="S28">
        <v>2.5</v>
      </c>
      <c r="T28">
        <v>1.552</v>
      </c>
      <c r="U28">
        <v>2.4900000000000002</v>
      </c>
      <c r="V28">
        <v>3.1349999999999998</v>
      </c>
      <c r="W28">
        <v>3.8719999999999999</v>
      </c>
    </row>
    <row r="29" spans="1:23" x14ac:dyDescent="0.2">
      <c r="A29" t="s">
        <v>60</v>
      </c>
      <c r="C29">
        <v>4.5356119763489469</v>
      </c>
      <c r="D29">
        <v>4.6214872065169663</v>
      </c>
      <c r="E29">
        <v>3.2668180237044115</v>
      </c>
      <c r="F29">
        <v>2.2961901053701981</v>
      </c>
      <c r="G29">
        <v>4.0174470749469746</v>
      </c>
      <c r="H29">
        <v>3.0959489659876502</v>
      </c>
      <c r="I29">
        <v>2.3984161440417302</v>
      </c>
      <c r="J29">
        <v>2.6833002068348595</v>
      </c>
      <c r="K29">
        <v>3.3936777984953137</v>
      </c>
      <c r="L29">
        <v>2.9732137494637012</v>
      </c>
      <c r="M29">
        <v>2.241436146759483</v>
      </c>
      <c r="N29">
        <v>2.2351735950480447</v>
      </c>
      <c r="O29">
        <v>1.5813364600868469</v>
      </c>
      <c r="P29">
        <v>2.2468075128946849</v>
      </c>
      <c r="Q29">
        <v>1.0514870422406546</v>
      </c>
      <c r="R29">
        <v>1.6180185413029109</v>
      </c>
      <c r="S29">
        <v>2.6925824035672519</v>
      </c>
      <c r="T29">
        <v>1.8462675862398712</v>
      </c>
      <c r="U29">
        <v>2.6833002068348595</v>
      </c>
      <c r="V29">
        <v>3.2906268399804919</v>
      </c>
      <c r="W29">
        <v>3.9990478866850294</v>
      </c>
    </row>
    <row r="30" spans="1:23" x14ac:dyDescent="0.2">
      <c r="A30" t="s">
        <v>59</v>
      </c>
      <c r="G30">
        <v>3.6868593555851366</v>
      </c>
      <c r="H30">
        <v>2.4243819463095839</v>
      </c>
      <c r="I30">
        <v>1.7708511033914867</v>
      </c>
      <c r="J30">
        <v>1.5701185588765685</v>
      </c>
      <c r="K30">
        <v>1.581040811367328</v>
      </c>
      <c r="L30">
        <v>1.7365830527016886</v>
      </c>
      <c r="M30">
        <v>1.706942841654886</v>
      </c>
      <c r="N30">
        <v>1.4664466868741131</v>
      </c>
      <c r="O30">
        <v>0.67544421456097015</v>
      </c>
      <c r="P30">
        <v>0.3087843361794943</v>
      </c>
      <c r="Q30">
        <v>0.39223695640838735</v>
      </c>
      <c r="R30">
        <v>0.57542227561028159</v>
      </c>
      <c r="S30">
        <v>0.76448880769181626</v>
      </c>
      <c r="T30">
        <v>0.54992783757699537</v>
      </c>
      <c r="U30">
        <v>0.56579471635297918</v>
      </c>
      <c r="V30">
        <v>0.83259793577101682</v>
      </c>
      <c r="W30">
        <v>0.37183865131530391</v>
      </c>
    </row>
    <row r="32" spans="1:23" s="1" customFormat="1" x14ac:dyDescent="0.2">
      <c r="A32" s="1" t="s">
        <v>443</v>
      </c>
      <c r="C32" s="1" t="s">
        <v>283</v>
      </c>
      <c r="D32" s="1" t="s">
        <v>283</v>
      </c>
      <c r="E32" s="1" t="s">
        <v>283</v>
      </c>
      <c r="F32" s="1" t="s">
        <v>283</v>
      </c>
      <c r="G32" s="1" t="s">
        <v>283</v>
      </c>
      <c r="H32" s="1" t="s">
        <v>283</v>
      </c>
      <c r="I32" s="1" t="s">
        <v>283</v>
      </c>
      <c r="J32" s="1" t="s">
        <v>283</v>
      </c>
    </row>
    <row r="33" spans="1:10" x14ac:dyDescent="0.2">
      <c r="A33" t="s">
        <v>63</v>
      </c>
      <c r="C33">
        <v>253.61699999999999</v>
      </c>
      <c r="D33">
        <v>249.17599999999999</v>
      </c>
      <c r="E33">
        <v>247.51599999999999</v>
      </c>
      <c r="F33">
        <v>239.566</v>
      </c>
      <c r="G33">
        <v>258.27300000000002</v>
      </c>
      <c r="H33">
        <v>244.09</v>
      </c>
      <c r="I33">
        <v>310.27699999999999</v>
      </c>
      <c r="J33">
        <v>239.85900000000001</v>
      </c>
    </row>
    <row r="34" spans="1:10" x14ac:dyDescent="0.2">
      <c r="A34" t="s">
        <v>62</v>
      </c>
      <c r="C34">
        <v>44.074999999999989</v>
      </c>
      <c r="D34">
        <v>39.633999999999986</v>
      </c>
      <c r="E34">
        <v>37.97399999999999</v>
      </c>
      <c r="F34">
        <v>30.024000000000001</v>
      </c>
      <c r="G34">
        <v>48.731000000000023</v>
      </c>
      <c r="H34">
        <v>34.548000000000002</v>
      </c>
      <c r="I34">
        <v>100.73499999999999</v>
      </c>
      <c r="J34">
        <v>30.317000000000007</v>
      </c>
    </row>
    <row r="35" spans="1:10" x14ac:dyDescent="0.2">
      <c r="A35" t="s">
        <v>61</v>
      </c>
      <c r="C35">
        <v>3.74</v>
      </c>
      <c r="D35">
        <v>2.7090000000000001</v>
      </c>
      <c r="E35">
        <v>2.2120000000000002</v>
      </c>
      <c r="F35">
        <v>0.48</v>
      </c>
      <c r="G35">
        <v>1.1870000000000001</v>
      </c>
      <c r="H35">
        <v>1.8720000000000001</v>
      </c>
      <c r="I35">
        <v>2.0979999999999999</v>
      </c>
      <c r="J35">
        <v>2.8969999999999998</v>
      </c>
    </row>
    <row r="36" spans="1:10" x14ac:dyDescent="0.2">
      <c r="A36" t="s">
        <v>60</v>
      </c>
      <c r="C36">
        <v>4.2411790813404711</v>
      </c>
      <c r="D36">
        <v>3.367295799302461</v>
      </c>
      <c r="E36">
        <v>2.9821039552638</v>
      </c>
      <c r="F36">
        <v>2.0567936211491906</v>
      </c>
      <c r="G36">
        <v>2.3257190286016924</v>
      </c>
      <c r="H36">
        <v>2.7394130758248196</v>
      </c>
      <c r="I36">
        <v>2.8985520523185362</v>
      </c>
      <c r="J36">
        <v>3.5203137644249836</v>
      </c>
    </row>
    <row r="37" spans="1:10" x14ac:dyDescent="0.2">
      <c r="A37" t="s">
        <v>59</v>
      </c>
      <c r="C37">
        <v>0.60705961983635304</v>
      </c>
      <c r="D37">
        <v>0.54589225122164531</v>
      </c>
      <c r="E37">
        <v>0.52302851965208552</v>
      </c>
      <c r="F37">
        <v>0.41353052809907365</v>
      </c>
      <c r="G37">
        <v>0.67118825488928746</v>
      </c>
      <c r="H37">
        <v>0.47584108329225938</v>
      </c>
      <c r="I37">
        <v>1.3874566263009651</v>
      </c>
      <c r="J37">
        <v>0.41756611445442371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F3FA6-C45C-6C4A-B6FF-EFE1EC55887A}">
  <dimension ref="A1:AB58"/>
  <sheetViews>
    <sheetView workbookViewId="0">
      <selection activeCell="A58" sqref="A58:XFD58"/>
    </sheetView>
  </sheetViews>
  <sheetFormatPr baseColWidth="10" defaultRowHeight="15" x14ac:dyDescent="0.2"/>
  <cols>
    <col min="1" max="1" width="27" customWidth="1"/>
    <col min="2" max="2" width="17.33203125" customWidth="1"/>
  </cols>
  <sheetData>
    <row r="1" spans="1:28" x14ac:dyDescent="0.2">
      <c r="C1" t="s">
        <v>294</v>
      </c>
    </row>
    <row r="2" spans="1:28" x14ac:dyDescent="0.2">
      <c r="C2">
        <v>371.48070833333333</v>
      </c>
    </row>
    <row r="4" spans="1:28" s="1" customFormat="1" x14ac:dyDescent="0.2">
      <c r="A4" s="1" t="s">
        <v>422</v>
      </c>
      <c r="B4" s="1" t="s">
        <v>70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 t="s">
        <v>283</v>
      </c>
      <c r="P4" s="1" t="s">
        <v>283</v>
      </c>
      <c r="Q4" s="1" t="s">
        <v>283</v>
      </c>
      <c r="R4" s="1" t="s">
        <v>283</v>
      </c>
      <c r="S4" s="1" t="s">
        <v>283</v>
      </c>
      <c r="T4" s="1" t="s">
        <v>283</v>
      </c>
      <c r="U4" s="1" t="s">
        <v>283</v>
      </c>
      <c r="V4" s="1" t="s">
        <v>283</v>
      </c>
      <c r="W4" s="1" t="s">
        <v>283</v>
      </c>
      <c r="X4" s="1" t="s">
        <v>283</v>
      </c>
      <c r="Y4" s="1" t="s">
        <v>283</v>
      </c>
      <c r="Z4" s="1" t="s">
        <v>283</v>
      </c>
      <c r="AA4" s="1" t="s">
        <v>283</v>
      </c>
      <c r="AB4" s="1" t="s">
        <v>283</v>
      </c>
    </row>
    <row r="5" spans="1:28" x14ac:dyDescent="0.2">
      <c r="A5" t="s">
        <v>63</v>
      </c>
      <c r="B5">
        <v>216.804</v>
      </c>
      <c r="C5">
        <v>630.14099999999996</v>
      </c>
      <c r="D5">
        <v>383.16800000000001</v>
      </c>
      <c r="E5">
        <v>412.21899999999999</v>
      </c>
      <c r="F5">
        <v>646.64499999999998</v>
      </c>
      <c r="G5">
        <v>478.12900000000002</v>
      </c>
      <c r="H5">
        <v>334.68400000000003</v>
      </c>
      <c r="I5">
        <v>431.512</v>
      </c>
      <c r="J5">
        <v>564.89800000000002</v>
      </c>
      <c r="K5">
        <v>960.07399999999996</v>
      </c>
      <c r="L5">
        <v>618.54700000000003</v>
      </c>
      <c r="M5">
        <v>917.75400000000002</v>
      </c>
      <c r="N5">
        <v>849.58199999999999</v>
      </c>
      <c r="O5">
        <v>396.71100000000001</v>
      </c>
      <c r="P5">
        <v>362.06599999999997</v>
      </c>
      <c r="Q5">
        <v>423.37099999999998</v>
      </c>
      <c r="R5">
        <v>732.21900000000005</v>
      </c>
      <c r="S5">
        <v>268.07799999999997</v>
      </c>
      <c r="T5">
        <v>622.84</v>
      </c>
      <c r="U5">
        <v>513.33199999999999</v>
      </c>
      <c r="V5">
        <v>524.93799999999999</v>
      </c>
      <c r="W5">
        <v>1018.047</v>
      </c>
      <c r="X5">
        <v>559.94899999999996</v>
      </c>
      <c r="Y5">
        <v>1540.4839999999999</v>
      </c>
      <c r="Z5">
        <v>1771.758</v>
      </c>
      <c r="AA5">
        <v>1464.0619999999999</v>
      </c>
      <c r="AB5">
        <v>1165.9770000000001</v>
      </c>
    </row>
    <row r="6" spans="1:28" x14ac:dyDescent="0.2">
      <c r="A6" t="s">
        <v>62</v>
      </c>
      <c r="C6">
        <v>413.33699999999999</v>
      </c>
      <c r="D6">
        <v>166.364</v>
      </c>
      <c r="E6">
        <v>195.41499999999999</v>
      </c>
      <c r="F6">
        <v>429.84100000000001</v>
      </c>
      <c r="G6">
        <v>261.32500000000005</v>
      </c>
      <c r="H6">
        <v>117.88000000000002</v>
      </c>
      <c r="I6">
        <v>214.708</v>
      </c>
      <c r="J6">
        <v>348.09400000000005</v>
      </c>
      <c r="K6">
        <v>743.27</v>
      </c>
      <c r="L6">
        <v>401.74300000000005</v>
      </c>
      <c r="M6">
        <v>700.95</v>
      </c>
      <c r="N6">
        <v>632.77800000000002</v>
      </c>
      <c r="O6">
        <v>179.90700000000001</v>
      </c>
      <c r="P6">
        <v>145.26199999999997</v>
      </c>
      <c r="Q6">
        <v>206.56699999999998</v>
      </c>
      <c r="R6">
        <v>515.41500000000008</v>
      </c>
      <c r="S6">
        <v>51.273999999999972</v>
      </c>
      <c r="T6">
        <v>406.03600000000006</v>
      </c>
      <c r="U6">
        <v>296.52800000000002</v>
      </c>
      <c r="V6">
        <v>308.13400000000001</v>
      </c>
      <c r="W6">
        <v>801.24300000000005</v>
      </c>
      <c r="X6">
        <v>343.14499999999998</v>
      </c>
      <c r="Y6">
        <v>1323.6799999999998</v>
      </c>
      <c r="Z6">
        <v>1554.954</v>
      </c>
      <c r="AA6">
        <v>1247.2579999999998</v>
      </c>
      <c r="AB6">
        <v>949.17300000000012</v>
      </c>
    </row>
    <row r="7" spans="1:28" x14ac:dyDescent="0.2">
      <c r="A7" t="s">
        <v>61</v>
      </c>
      <c r="C7">
        <v>14.722</v>
      </c>
      <c r="D7">
        <v>8.4320000000000004</v>
      </c>
      <c r="E7">
        <v>13.635999999999999</v>
      </c>
      <c r="F7">
        <v>10.093</v>
      </c>
      <c r="G7">
        <v>14.356</v>
      </c>
      <c r="H7">
        <v>14.634</v>
      </c>
      <c r="I7">
        <v>20.324999999999999</v>
      </c>
      <c r="J7">
        <v>3.786</v>
      </c>
      <c r="K7">
        <v>1.5569999999999999</v>
      </c>
      <c r="L7">
        <v>2.99</v>
      </c>
      <c r="M7">
        <v>5.9169999999999998</v>
      </c>
      <c r="N7">
        <v>4.9169999999999998</v>
      </c>
      <c r="O7">
        <v>13.153</v>
      </c>
      <c r="P7">
        <v>9.4390000000000001</v>
      </c>
      <c r="Q7">
        <v>4.7359999999999998</v>
      </c>
      <c r="R7">
        <v>3.8719999999999999</v>
      </c>
      <c r="S7">
        <v>5.0960000000000001</v>
      </c>
      <c r="T7">
        <v>3.1070000000000002</v>
      </c>
      <c r="U7">
        <v>2.6890000000000001</v>
      </c>
      <c r="V7">
        <v>1.722</v>
      </c>
      <c r="W7">
        <v>1.9410000000000001</v>
      </c>
      <c r="X7">
        <v>3.91</v>
      </c>
      <c r="Y7">
        <v>4.1870000000000003</v>
      </c>
      <c r="Z7">
        <v>3.0990000000000002</v>
      </c>
      <c r="AA7">
        <v>2.4420000000000002</v>
      </c>
      <c r="AB7">
        <v>1.3540000000000001</v>
      </c>
    </row>
    <row r="8" spans="1:28" x14ac:dyDescent="0.2">
      <c r="A8" t="s">
        <v>60</v>
      </c>
      <c r="C8">
        <v>14.722</v>
      </c>
      <c r="D8">
        <v>8.4320000000000004</v>
      </c>
      <c r="E8">
        <v>13.635999999999999</v>
      </c>
      <c r="F8">
        <v>10.093</v>
      </c>
      <c r="G8">
        <v>14.356</v>
      </c>
      <c r="H8">
        <v>14.634</v>
      </c>
      <c r="I8">
        <v>20.324999999999999</v>
      </c>
      <c r="J8">
        <v>3.786</v>
      </c>
      <c r="K8">
        <v>1.5569999999999999</v>
      </c>
      <c r="L8">
        <v>2.99</v>
      </c>
      <c r="M8">
        <v>5.9169999999999998</v>
      </c>
      <c r="N8">
        <v>4.9169999999999998</v>
      </c>
      <c r="O8">
        <v>13.153</v>
      </c>
      <c r="P8">
        <v>9.4390000000000001</v>
      </c>
      <c r="Q8">
        <v>4.7359999999999998</v>
      </c>
      <c r="R8">
        <v>3.8719999999999999</v>
      </c>
      <c r="S8">
        <v>5.0960000000000001</v>
      </c>
      <c r="T8">
        <v>3.1070000000000002</v>
      </c>
      <c r="U8">
        <v>2.6890000000000001</v>
      </c>
      <c r="V8">
        <v>1.722</v>
      </c>
      <c r="W8">
        <v>1.9410000000000001</v>
      </c>
      <c r="X8">
        <v>3.91</v>
      </c>
      <c r="Y8">
        <v>4.1870000000000003</v>
      </c>
      <c r="Z8">
        <v>3.0990000000000002</v>
      </c>
      <c r="AA8">
        <v>2.4420000000000002</v>
      </c>
      <c r="AB8">
        <v>1.3540000000000001</v>
      </c>
    </row>
    <row r="9" spans="1:28" x14ac:dyDescent="0.2">
      <c r="A9" t="s">
        <v>59</v>
      </c>
      <c r="O9">
        <v>0.48429701991029822</v>
      </c>
      <c r="P9">
        <v>0.39103511095293525</v>
      </c>
      <c r="Q9">
        <v>0.55606386917579942</v>
      </c>
      <c r="R9">
        <v>1.3874610132850105</v>
      </c>
      <c r="S9">
        <v>0.13802601009899901</v>
      </c>
      <c r="T9">
        <v>1.0930204204188712</v>
      </c>
      <c r="U9">
        <v>0.79823256860467307</v>
      </c>
      <c r="V9">
        <v>0.82947510621065235</v>
      </c>
      <c r="W9">
        <v>2.1568899327096061</v>
      </c>
      <c r="X9">
        <v>0.92372226148576353</v>
      </c>
      <c r="Y9">
        <v>3.5632536772602701</v>
      </c>
      <c r="Z9">
        <v>4.1858270567437499</v>
      </c>
      <c r="AA9">
        <v>3.3575310157985991</v>
      </c>
      <c r="AB9">
        <v>2.5551071124487512</v>
      </c>
    </row>
    <row r="11" spans="1:28" s="1" customFormat="1" x14ac:dyDescent="0.2">
      <c r="A11" s="1" t="s">
        <v>423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 t="s">
        <v>283</v>
      </c>
      <c r="O11" s="1" t="s">
        <v>283</v>
      </c>
      <c r="P11" s="1" t="s">
        <v>283</v>
      </c>
      <c r="Q11" s="1" t="s">
        <v>283</v>
      </c>
      <c r="R11" s="1" t="s">
        <v>283</v>
      </c>
      <c r="S11" s="1" t="s">
        <v>283</v>
      </c>
      <c r="T11" s="1" t="s">
        <v>283</v>
      </c>
      <c r="U11" s="1" t="s">
        <v>283</v>
      </c>
      <c r="V11" s="1" t="s">
        <v>283</v>
      </c>
    </row>
    <row r="12" spans="1:28" x14ac:dyDescent="0.2">
      <c r="A12" t="s">
        <v>63</v>
      </c>
      <c r="C12">
        <v>359.38</v>
      </c>
      <c r="D12">
        <v>345.85199999999998</v>
      </c>
      <c r="E12">
        <v>434.36700000000002</v>
      </c>
      <c r="F12">
        <v>411.64499999999998</v>
      </c>
      <c r="G12">
        <v>387.07400000000001</v>
      </c>
      <c r="H12">
        <v>374.80099999999999</v>
      </c>
      <c r="I12">
        <v>452.20299999999997</v>
      </c>
      <c r="J12">
        <v>595.65200000000004</v>
      </c>
      <c r="K12">
        <v>361.94099999999997</v>
      </c>
      <c r="L12">
        <v>684.21100000000001</v>
      </c>
      <c r="M12">
        <v>391.09399999999999</v>
      </c>
      <c r="N12">
        <v>335.59399999999999</v>
      </c>
      <c r="O12">
        <v>327.75799999999998</v>
      </c>
      <c r="P12">
        <v>818.55100000000004</v>
      </c>
      <c r="Q12">
        <v>706.39800000000002</v>
      </c>
      <c r="R12">
        <v>727.28499999999997</v>
      </c>
      <c r="S12">
        <v>1034.797</v>
      </c>
      <c r="T12">
        <v>625.19500000000005</v>
      </c>
      <c r="U12">
        <v>1092.07</v>
      </c>
      <c r="V12">
        <v>717.18399999999997</v>
      </c>
    </row>
    <row r="13" spans="1:28" x14ac:dyDescent="0.2">
      <c r="A13" t="s">
        <v>62</v>
      </c>
      <c r="C13">
        <v>142.57599999999999</v>
      </c>
      <c r="D13">
        <v>129.04799999999997</v>
      </c>
      <c r="E13">
        <v>217.56300000000002</v>
      </c>
      <c r="F13">
        <v>194.84099999999998</v>
      </c>
      <c r="G13">
        <v>170.27</v>
      </c>
      <c r="H13">
        <v>157.99699999999999</v>
      </c>
      <c r="I13">
        <v>235.39899999999997</v>
      </c>
      <c r="J13">
        <v>378.84800000000007</v>
      </c>
      <c r="K13">
        <v>145.13699999999997</v>
      </c>
      <c r="L13">
        <v>467.40700000000004</v>
      </c>
      <c r="M13">
        <v>174.29</v>
      </c>
      <c r="N13">
        <v>118.78999999999999</v>
      </c>
      <c r="O13">
        <v>110.95399999999998</v>
      </c>
      <c r="P13">
        <v>601.74700000000007</v>
      </c>
      <c r="Q13">
        <v>489.59400000000005</v>
      </c>
      <c r="R13">
        <v>510.48099999999999</v>
      </c>
      <c r="S13">
        <v>817.99300000000005</v>
      </c>
      <c r="T13">
        <v>408.39100000000008</v>
      </c>
      <c r="U13">
        <v>875.26599999999996</v>
      </c>
      <c r="V13">
        <v>500.38</v>
      </c>
    </row>
    <row r="14" spans="1:28" x14ac:dyDescent="0.2">
      <c r="A14" t="s">
        <v>61</v>
      </c>
      <c r="C14">
        <v>22.099</v>
      </c>
      <c r="D14">
        <v>22.393999999999998</v>
      </c>
      <c r="E14">
        <v>19.012</v>
      </c>
      <c r="F14">
        <v>19.881</v>
      </c>
      <c r="G14">
        <v>20.263999999999999</v>
      </c>
      <c r="H14">
        <v>25.077999999999999</v>
      </c>
      <c r="I14">
        <v>5.1070000000000002</v>
      </c>
      <c r="J14">
        <v>13.499000000000001</v>
      </c>
      <c r="K14">
        <v>8.5280000000000005</v>
      </c>
      <c r="L14">
        <v>10.173999999999999</v>
      </c>
      <c r="M14">
        <v>13.584</v>
      </c>
      <c r="N14">
        <v>21.513000000000002</v>
      </c>
      <c r="O14">
        <v>10.205</v>
      </c>
      <c r="P14">
        <v>3.266</v>
      </c>
      <c r="Q14">
        <v>2.609</v>
      </c>
      <c r="R14">
        <v>1.6259999999999999</v>
      </c>
      <c r="S14">
        <v>1.7170000000000001</v>
      </c>
      <c r="T14">
        <v>5.9340000000000002</v>
      </c>
      <c r="U14">
        <v>5.1660000000000004</v>
      </c>
      <c r="V14">
        <v>6.133</v>
      </c>
    </row>
    <row r="15" spans="1:28" x14ac:dyDescent="0.2">
      <c r="A15" t="s">
        <v>60</v>
      </c>
      <c r="C15">
        <v>22.121613887779528</v>
      </c>
      <c r="D15">
        <v>22.416316289702905</v>
      </c>
      <c r="E15">
        <v>19.038281014839548</v>
      </c>
      <c r="F15">
        <v>19.906133753192758</v>
      </c>
      <c r="G15">
        <v>20.288659295281192</v>
      </c>
      <c r="H15">
        <v>25.097929874792463</v>
      </c>
      <c r="I15">
        <v>5.2039839546255333</v>
      </c>
      <c r="J15">
        <v>13.535989103128001</v>
      </c>
      <c r="K15">
        <v>8.5864302244879394</v>
      </c>
      <c r="L15">
        <v>10.223026753364191</v>
      </c>
      <c r="M15">
        <v>13.620758275514619</v>
      </c>
      <c r="N15">
        <v>21.536229219619671</v>
      </c>
      <c r="O15">
        <v>10.253878534486354</v>
      </c>
      <c r="P15">
        <v>3.4156633323558103</v>
      </c>
      <c r="Q15">
        <v>2.7940796337971472</v>
      </c>
      <c r="R15">
        <v>1.9088939205728535</v>
      </c>
      <c r="S15">
        <v>1.9869798690474949</v>
      </c>
      <c r="T15">
        <v>6.017670313335552</v>
      </c>
      <c r="U15">
        <v>5.2618966162401941</v>
      </c>
      <c r="V15">
        <v>6.2139913904027901</v>
      </c>
    </row>
    <row r="16" spans="1:28" x14ac:dyDescent="0.2">
      <c r="A16" t="s">
        <v>59</v>
      </c>
      <c r="N16">
        <v>0.31977434449545777</v>
      </c>
      <c r="O16">
        <v>0.29868038234825334</v>
      </c>
      <c r="P16">
        <v>1.6198606993611269</v>
      </c>
      <c r="Q16">
        <v>1.3179526931468066</v>
      </c>
      <c r="R16">
        <v>1.3741790315042157</v>
      </c>
      <c r="S16">
        <v>2.2019797573606619</v>
      </c>
      <c r="T16">
        <v>1.0993599151683182</v>
      </c>
      <c r="U16">
        <v>2.3561546545093135</v>
      </c>
      <c r="V16">
        <v>1.3469878482922566</v>
      </c>
    </row>
    <row r="18" spans="1:15" s="1" customFormat="1" x14ac:dyDescent="0.2">
      <c r="A18" s="1" t="s">
        <v>424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 t="s">
        <v>283</v>
      </c>
      <c r="J18" s="1" t="s">
        <v>283</v>
      </c>
      <c r="K18" s="1" t="s">
        <v>283</v>
      </c>
      <c r="L18" s="1" t="s">
        <v>283</v>
      </c>
      <c r="M18" s="1" t="s">
        <v>283</v>
      </c>
      <c r="N18" s="1" t="s">
        <v>283</v>
      </c>
      <c r="O18" s="1" t="s">
        <v>283</v>
      </c>
    </row>
    <row r="19" spans="1:15" x14ac:dyDescent="0.2">
      <c r="A19" t="s">
        <v>63</v>
      </c>
      <c r="C19">
        <v>377.85199999999998</v>
      </c>
      <c r="D19">
        <v>759.85199999999998</v>
      </c>
      <c r="E19">
        <v>411.91399999999999</v>
      </c>
      <c r="F19">
        <v>508.22699999999998</v>
      </c>
      <c r="G19">
        <v>569.59799999999996</v>
      </c>
      <c r="H19">
        <v>441.19099999999997</v>
      </c>
      <c r="I19">
        <v>381.34800000000001</v>
      </c>
      <c r="J19">
        <v>339.57</v>
      </c>
      <c r="K19">
        <v>488.77300000000002</v>
      </c>
      <c r="L19">
        <v>379.34399999999999</v>
      </c>
      <c r="M19">
        <v>326.15199999999999</v>
      </c>
      <c r="N19">
        <v>329.73399999999998</v>
      </c>
      <c r="O19">
        <v>322.96100000000001</v>
      </c>
    </row>
    <row r="20" spans="1:15" x14ac:dyDescent="0.2">
      <c r="A20" t="s">
        <v>62</v>
      </c>
      <c r="C20">
        <v>161.04799999999997</v>
      </c>
      <c r="D20">
        <v>543.048</v>
      </c>
      <c r="E20">
        <v>195.10999999999999</v>
      </c>
      <c r="F20">
        <v>291.423</v>
      </c>
      <c r="G20">
        <v>352.79399999999998</v>
      </c>
      <c r="H20">
        <v>224.38699999999997</v>
      </c>
      <c r="I20">
        <v>164.54400000000001</v>
      </c>
      <c r="J20">
        <v>122.76599999999999</v>
      </c>
      <c r="K20">
        <v>271.96900000000005</v>
      </c>
      <c r="L20">
        <v>162.54</v>
      </c>
      <c r="M20">
        <v>109.34799999999998</v>
      </c>
      <c r="N20">
        <v>112.92999999999998</v>
      </c>
      <c r="O20">
        <v>106.15700000000001</v>
      </c>
    </row>
    <row r="21" spans="1:15" x14ac:dyDescent="0.2">
      <c r="A21" t="s">
        <v>61</v>
      </c>
      <c r="C21">
        <v>22.411999999999999</v>
      </c>
      <c r="D21">
        <v>21.326000000000001</v>
      </c>
      <c r="E21">
        <v>21.561</v>
      </c>
      <c r="F21">
        <v>14.879</v>
      </c>
      <c r="G21">
        <v>10.308999999999999</v>
      </c>
      <c r="H21">
        <v>13.659000000000001</v>
      </c>
      <c r="I21">
        <v>15.128</v>
      </c>
      <c r="J21">
        <v>22.46</v>
      </c>
      <c r="K21">
        <v>21.792999999999999</v>
      </c>
      <c r="L21">
        <v>25.105</v>
      </c>
      <c r="M21">
        <v>19.782</v>
      </c>
      <c r="N21">
        <v>5.6609999999999996</v>
      </c>
      <c r="O21">
        <v>21.971</v>
      </c>
    </row>
    <row r="22" spans="1:15" x14ac:dyDescent="0.2">
      <c r="A22" t="s">
        <v>60</v>
      </c>
      <c r="C22">
        <v>22.501060952763982</v>
      </c>
      <c r="D22">
        <v>21.419576933263645</v>
      </c>
      <c r="E22">
        <v>21.653561392990298</v>
      </c>
      <c r="F22">
        <v>15.012815891763942</v>
      </c>
      <c r="G22">
        <v>10.501213310851275</v>
      </c>
      <c r="H22">
        <v>13.804647079878572</v>
      </c>
      <c r="I22">
        <v>15.259632498851341</v>
      </c>
      <c r="J22">
        <v>22.548871368651692</v>
      </c>
      <c r="K22">
        <v>21.884580165038578</v>
      </c>
      <c r="L22">
        <v>25.184539404166198</v>
      </c>
      <c r="M22">
        <v>19.882844967458755</v>
      </c>
      <c r="N22">
        <v>6.0039088101002998</v>
      </c>
      <c r="O22">
        <v>22.061841287616954</v>
      </c>
    </row>
    <row r="23" spans="1:15" x14ac:dyDescent="0.2">
      <c r="A23" t="s">
        <v>59</v>
      </c>
      <c r="I23">
        <v>0.44294090193333285</v>
      </c>
      <c r="J23">
        <v>0.33047745749919494</v>
      </c>
      <c r="K23">
        <v>0.73212146391182065</v>
      </c>
      <c r="L23">
        <v>0.43754627455418554</v>
      </c>
      <c r="M23">
        <v>0.29435714304141181</v>
      </c>
      <c r="N23">
        <v>0.30399963569216298</v>
      </c>
      <c r="O23">
        <v>0.28576719495415703</v>
      </c>
    </row>
    <row r="25" spans="1:15" s="1" customFormat="1" x14ac:dyDescent="0.2">
      <c r="A25" s="1" t="s">
        <v>425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 t="s">
        <v>283</v>
      </c>
      <c r="I25" s="1" t="s">
        <v>283</v>
      </c>
      <c r="J25" s="1" t="s">
        <v>283</v>
      </c>
    </row>
    <row r="26" spans="1:15" x14ac:dyDescent="0.2">
      <c r="A26" t="s">
        <v>63</v>
      </c>
      <c r="C26">
        <v>614.96100000000001</v>
      </c>
      <c r="D26">
        <v>482.21100000000001</v>
      </c>
      <c r="E26">
        <v>592.08600000000001</v>
      </c>
      <c r="F26">
        <v>493.46100000000001</v>
      </c>
      <c r="G26">
        <v>426.87099999999998</v>
      </c>
      <c r="H26">
        <v>361</v>
      </c>
      <c r="I26">
        <v>427.60199999999998</v>
      </c>
      <c r="J26">
        <v>373.03899999999999</v>
      </c>
    </row>
    <row r="27" spans="1:15" x14ac:dyDescent="0.2">
      <c r="A27" t="s">
        <v>62</v>
      </c>
      <c r="C27">
        <v>398.15700000000004</v>
      </c>
      <c r="D27">
        <v>265.40700000000004</v>
      </c>
      <c r="E27">
        <v>375.28200000000004</v>
      </c>
      <c r="F27">
        <v>276.65700000000004</v>
      </c>
      <c r="G27">
        <v>210.06699999999998</v>
      </c>
      <c r="H27">
        <v>144.196</v>
      </c>
      <c r="I27">
        <v>210.79799999999997</v>
      </c>
      <c r="J27">
        <v>156.23499999999999</v>
      </c>
    </row>
    <row r="28" spans="1:15" x14ac:dyDescent="0.2">
      <c r="A28" t="s">
        <v>61</v>
      </c>
      <c r="C28">
        <v>16.484000000000002</v>
      </c>
      <c r="D28">
        <v>12.260999999999999</v>
      </c>
      <c r="E28">
        <v>15.085000000000001</v>
      </c>
      <c r="F28">
        <v>21.512</v>
      </c>
      <c r="G28">
        <v>25.542000000000002</v>
      </c>
      <c r="H28">
        <v>14.714</v>
      </c>
      <c r="I28">
        <v>21.37</v>
      </c>
      <c r="J28">
        <v>21.59</v>
      </c>
    </row>
    <row r="29" spans="1:15" x14ac:dyDescent="0.2">
      <c r="A29" t="s">
        <v>60</v>
      </c>
      <c r="C29">
        <v>16.754768157154551</v>
      </c>
      <c r="D29">
        <v>12.622682797250352</v>
      </c>
      <c r="E29">
        <v>15.380416931930032</v>
      </c>
      <c r="F29">
        <v>21.720178268145037</v>
      </c>
      <c r="G29">
        <v>25.717576946516559</v>
      </c>
      <c r="H29">
        <v>15.016717217820945</v>
      </c>
      <c r="I29">
        <v>21.579548188041382</v>
      </c>
      <c r="J29">
        <v>21.797433335142927</v>
      </c>
    </row>
    <row r="30" spans="1:15" x14ac:dyDescent="0.2">
      <c r="A30" t="s">
        <v>59</v>
      </c>
      <c r="H30">
        <v>0.38816551375424724</v>
      </c>
      <c r="I30">
        <v>0.56745342428616463</v>
      </c>
      <c r="J30">
        <v>0.42057365697657917</v>
      </c>
    </row>
    <row r="32" spans="1:15" s="1" customFormat="1" x14ac:dyDescent="0.2">
      <c r="A32" s="1" t="s">
        <v>426</v>
      </c>
      <c r="C32" s="1">
        <v>1</v>
      </c>
      <c r="D32" s="1">
        <v>1</v>
      </c>
      <c r="E32" s="1" t="s">
        <v>283</v>
      </c>
      <c r="F32" s="1" t="s">
        <v>283</v>
      </c>
    </row>
    <row r="33" spans="1:28" x14ac:dyDescent="0.2">
      <c r="A33" t="s">
        <v>63</v>
      </c>
      <c r="C33">
        <v>731.79700000000003</v>
      </c>
      <c r="D33">
        <v>684.04300000000001</v>
      </c>
      <c r="E33">
        <v>413.55500000000001</v>
      </c>
      <c r="F33">
        <v>427.49599999999998</v>
      </c>
    </row>
    <row r="34" spans="1:28" x14ac:dyDescent="0.2">
      <c r="A34" t="s">
        <v>62</v>
      </c>
      <c r="C34">
        <v>514.99300000000005</v>
      </c>
      <c r="D34">
        <v>467.23900000000003</v>
      </c>
      <c r="E34">
        <v>196.751</v>
      </c>
      <c r="F34">
        <v>210.69199999999998</v>
      </c>
    </row>
    <row r="35" spans="1:28" x14ac:dyDescent="0.2">
      <c r="A35" t="s">
        <v>61</v>
      </c>
      <c r="C35">
        <v>16.216000000000001</v>
      </c>
      <c r="D35">
        <v>11.491</v>
      </c>
      <c r="E35">
        <v>12.172000000000001</v>
      </c>
      <c r="F35">
        <v>21.472000000000001</v>
      </c>
    </row>
    <row r="36" spans="1:28" x14ac:dyDescent="0.2">
      <c r="A36" t="s">
        <v>60</v>
      </c>
      <c r="C36">
        <v>16.702055442369961</v>
      </c>
      <c r="D36">
        <v>12.16729554995686</v>
      </c>
      <c r="E36">
        <v>12.812399619118974</v>
      </c>
      <c r="F36">
        <v>21.841400687684846</v>
      </c>
    </row>
    <row r="37" spans="1:28" x14ac:dyDescent="0.2">
      <c r="A37" t="s">
        <v>59</v>
      </c>
      <c r="E37">
        <v>0.52963988596536593</v>
      </c>
      <c r="F37">
        <v>0.56716807972419381</v>
      </c>
    </row>
    <row r="39" spans="1:28" s="1" customFormat="1" x14ac:dyDescent="0.2">
      <c r="A39" s="1" t="s">
        <v>427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 t="s">
        <v>283</v>
      </c>
      <c r="N39" s="1" t="s">
        <v>283</v>
      </c>
      <c r="O39" s="1" t="s">
        <v>283</v>
      </c>
      <c r="P39" s="1" t="s">
        <v>283</v>
      </c>
      <c r="Q39" s="1" t="s">
        <v>283</v>
      </c>
      <c r="R39" s="1" t="s">
        <v>283</v>
      </c>
      <c r="S39" s="1" t="s">
        <v>283</v>
      </c>
      <c r="T39" s="1" t="s">
        <v>283</v>
      </c>
      <c r="U39" s="1" t="s">
        <v>283</v>
      </c>
      <c r="V39" s="1" t="s">
        <v>283</v>
      </c>
      <c r="W39" s="1" t="s">
        <v>283</v>
      </c>
      <c r="X39" s="1" t="s">
        <v>283</v>
      </c>
      <c r="Y39" s="1" t="s">
        <v>283</v>
      </c>
      <c r="Z39" s="1" t="s">
        <v>283</v>
      </c>
      <c r="AA39" s="1" t="s">
        <v>283</v>
      </c>
      <c r="AB39" s="1" t="s">
        <v>283</v>
      </c>
    </row>
    <row r="40" spans="1:28" x14ac:dyDescent="0.2">
      <c r="A40" t="s">
        <v>63</v>
      </c>
      <c r="C40">
        <v>915.89099999999996</v>
      </c>
      <c r="D40">
        <v>865.83199999999999</v>
      </c>
      <c r="E40">
        <v>641.47299999999996</v>
      </c>
      <c r="F40">
        <v>720.41</v>
      </c>
      <c r="G40">
        <v>967.08199999999999</v>
      </c>
      <c r="H40">
        <v>856.23400000000004</v>
      </c>
      <c r="I40">
        <v>614.01599999999996</v>
      </c>
      <c r="J40">
        <v>932.55499999999995</v>
      </c>
      <c r="K40">
        <v>822.08199999999999</v>
      </c>
      <c r="L40">
        <v>629.97699999999998</v>
      </c>
      <c r="M40">
        <v>865.37900000000002</v>
      </c>
      <c r="N40">
        <v>1271.7929999999999</v>
      </c>
      <c r="O40">
        <v>1011.992</v>
      </c>
      <c r="P40">
        <v>1220.855</v>
      </c>
      <c r="Q40">
        <v>356.137</v>
      </c>
      <c r="R40">
        <v>1531.3630000000001</v>
      </c>
      <c r="S40">
        <v>1643.836</v>
      </c>
      <c r="T40">
        <v>1884.2190000000001</v>
      </c>
      <c r="U40">
        <v>1464.4059999999999</v>
      </c>
      <c r="V40">
        <v>1284.8589999999999</v>
      </c>
      <c r="W40">
        <v>1030.8050000000001</v>
      </c>
      <c r="X40">
        <v>1585.7850000000001</v>
      </c>
      <c r="Y40">
        <v>1281.0229999999999</v>
      </c>
      <c r="Z40">
        <v>997.59</v>
      </c>
      <c r="AA40">
        <v>675.91800000000001</v>
      </c>
      <c r="AB40">
        <v>1117.652</v>
      </c>
    </row>
    <row r="41" spans="1:28" x14ac:dyDescent="0.2">
      <c r="A41" t="s">
        <v>62</v>
      </c>
      <c r="C41">
        <v>699.08699999999999</v>
      </c>
      <c r="D41">
        <v>649.02800000000002</v>
      </c>
      <c r="E41">
        <v>424.66899999999998</v>
      </c>
      <c r="F41">
        <v>503.60599999999999</v>
      </c>
      <c r="G41">
        <v>750.27800000000002</v>
      </c>
      <c r="H41">
        <v>639.43000000000006</v>
      </c>
      <c r="I41">
        <v>397.21199999999999</v>
      </c>
      <c r="J41">
        <v>715.75099999999998</v>
      </c>
      <c r="K41">
        <v>605.27800000000002</v>
      </c>
      <c r="L41">
        <v>413.173</v>
      </c>
      <c r="M41">
        <v>648.57500000000005</v>
      </c>
      <c r="N41">
        <v>1054.9889999999998</v>
      </c>
      <c r="O41">
        <v>795.18799999999999</v>
      </c>
      <c r="P41">
        <v>1004.051</v>
      </c>
      <c r="Q41">
        <v>139.333</v>
      </c>
      <c r="R41">
        <v>1314.559</v>
      </c>
      <c r="S41">
        <v>1427.0319999999999</v>
      </c>
      <c r="T41">
        <v>1667.415</v>
      </c>
      <c r="U41">
        <v>1247.6019999999999</v>
      </c>
      <c r="V41">
        <v>1068.0549999999998</v>
      </c>
      <c r="W41">
        <v>814.00100000000009</v>
      </c>
      <c r="X41">
        <v>1368.981</v>
      </c>
      <c r="Y41">
        <v>1064.2189999999998</v>
      </c>
      <c r="Z41">
        <v>780.78600000000006</v>
      </c>
      <c r="AA41">
        <v>459.11400000000003</v>
      </c>
      <c r="AB41">
        <v>900.84800000000007</v>
      </c>
    </row>
    <row r="42" spans="1:28" x14ac:dyDescent="0.2">
      <c r="A42" t="s">
        <v>61</v>
      </c>
      <c r="C42">
        <v>14.561</v>
      </c>
      <c r="D42">
        <v>13.17</v>
      </c>
      <c r="E42">
        <v>6.8520000000000003</v>
      </c>
      <c r="F42">
        <v>4.5190000000000001</v>
      </c>
      <c r="G42">
        <v>4.5119999999999996</v>
      </c>
      <c r="H42">
        <v>4.1559999999999997</v>
      </c>
      <c r="I42">
        <v>4.0010000000000003</v>
      </c>
      <c r="J42">
        <v>3.3530000000000002</v>
      </c>
      <c r="K42">
        <v>1.9690000000000001</v>
      </c>
      <c r="L42">
        <v>4.758</v>
      </c>
      <c r="M42">
        <v>5.3150000000000004</v>
      </c>
      <c r="N42">
        <v>4.0940000000000003</v>
      </c>
      <c r="O42">
        <v>3.7490000000000001</v>
      </c>
      <c r="P42">
        <v>9.4499999999999993</v>
      </c>
      <c r="Q42">
        <v>14.085000000000001</v>
      </c>
      <c r="R42">
        <v>2.4279999999999999</v>
      </c>
      <c r="S42">
        <v>2.851</v>
      </c>
      <c r="T42">
        <v>2.0760000000000001</v>
      </c>
      <c r="U42">
        <v>1.4750000000000001</v>
      </c>
      <c r="V42">
        <v>1.214</v>
      </c>
      <c r="W42">
        <v>2.5030000000000001</v>
      </c>
      <c r="X42">
        <v>1.708</v>
      </c>
      <c r="Y42">
        <v>2.6349999999999998</v>
      </c>
      <c r="Z42">
        <v>2.78</v>
      </c>
      <c r="AA42">
        <v>1.9970000000000001</v>
      </c>
      <c r="AB42">
        <v>1.0129999999999999</v>
      </c>
    </row>
    <row r="43" spans="1:28" x14ac:dyDescent="0.2">
      <c r="A43" t="s">
        <v>60</v>
      </c>
      <c r="C43">
        <v>14.595297907202854</v>
      </c>
      <c r="D43">
        <v>13.20791050847938</v>
      </c>
      <c r="E43">
        <v>6.9245869190876652</v>
      </c>
      <c r="F43">
        <v>4.6283216180382283</v>
      </c>
      <c r="G43">
        <v>4.6214872065169663</v>
      </c>
      <c r="H43">
        <v>4.2746153043285657</v>
      </c>
      <c r="I43">
        <v>4.124075775249529</v>
      </c>
      <c r="J43">
        <v>3.498943983547036</v>
      </c>
      <c r="K43">
        <v>2.2083842509853215</v>
      </c>
      <c r="L43">
        <v>4.8619506373471131</v>
      </c>
      <c r="M43">
        <v>5.4082552639460353</v>
      </c>
      <c r="N43">
        <v>4.2143606869844445</v>
      </c>
      <c r="O43">
        <v>3.8800774476806517</v>
      </c>
      <c r="P43">
        <v>9.5027627561672805</v>
      </c>
      <c r="Q43">
        <v>14.1204541357564</v>
      </c>
      <c r="R43">
        <v>2.6258682373645481</v>
      </c>
      <c r="S43">
        <v>3.0212912802310208</v>
      </c>
      <c r="T43">
        <v>2.3042951199878892</v>
      </c>
      <c r="U43">
        <v>1.7820283387196738</v>
      </c>
      <c r="V43">
        <v>1.5728305693875613</v>
      </c>
      <c r="W43">
        <v>2.6953680639200281</v>
      </c>
      <c r="X43">
        <v>1.97920792237703</v>
      </c>
      <c r="Y43">
        <v>2.8183727574612978</v>
      </c>
      <c r="Z43">
        <v>2.9543865691544156</v>
      </c>
      <c r="AA43">
        <v>2.2333850989025605</v>
      </c>
      <c r="AB43">
        <v>1.4234356325454269</v>
      </c>
    </row>
    <row r="44" spans="1:28" x14ac:dyDescent="0.2">
      <c r="A44" t="s">
        <v>59</v>
      </c>
      <c r="M44">
        <v>1.745918389436329</v>
      </c>
      <c r="N44">
        <v>2.8399563593309067</v>
      </c>
      <c r="O44">
        <v>2.1405902975894779</v>
      </c>
      <c r="P44">
        <v>2.7028348376547595</v>
      </c>
      <c r="Q44">
        <v>0.37507465899137654</v>
      </c>
      <c r="R44">
        <v>3.5387005852816267</v>
      </c>
      <c r="S44">
        <v>3.8414700090415193</v>
      </c>
      <c r="T44">
        <v>4.4885641773456832</v>
      </c>
      <c r="U44">
        <v>3.3584570396600899</v>
      </c>
      <c r="V44">
        <v>2.8751291144885602</v>
      </c>
      <c r="W44">
        <v>2.191233573479646</v>
      </c>
      <c r="X44">
        <v>3.6852007904851947</v>
      </c>
      <c r="Y44">
        <v>2.864802871661011</v>
      </c>
      <c r="Z44">
        <v>2.1018211241790596</v>
      </c>
      <c r="AA44">
        <v>1.2359026719310346</v>
      </c>
      <c r="AB44">
        <v>2.4250196034181677</v>
      </c>
    </row>
    <row r="46" spans="1:28" s="1" customFormat="1" x14ac:dyDescent="0.2">
      <c r="A46" s="1" t="s">
        <v>428</v>
      </c>
      <c r="C46" s="1">
        <v>1</v>
      </c>
      <c r="D46" s="1">
        <v>1</v>
      </c>
      <c r="E46" s="1" t="s">
        <v>283</v>
      </c>
      <c r="F46" s="1" t="s">
        <v>283</v>
      </c>
      <c r="G46" s="1" t="s">
        <v>283</v>
      </c>
      <c r="H46" s="1" t="s">
        <v>283</v>
      </c>
      <c r="I46" s="1" t="s">
        <v>283</v>
      </c>
      <c r="J46" s="1" t="s">
        <v>283</v>
      </c>
      <c r="K46" s="1" t="s">
        <v>283</v>
      </c>
      <c r="L46" s="1" t="s">
        <v>283</v>
      </c>
      <c r="M46" s="1" t="s">
        <v>283</v>
      </c>
      <c r="N46" s="1" t="s">
        <v>283</v>
      </c>
      <c r="O46" s="1" t="s">
        <v>283</v>
      </c>
      <c r="P46" s="1" t="s">
        <v>283</v>
      </c>
      <c r="Q46" s="1" t="s">
        <v>283</v>
      </c>
      <c r="R46" s="1" t="s">
        <v>283</v>
      </c>
      <c r="S46" s="1" t="s">
        <v>283</v>
      </c>
      <c r="T46" s="1" t="s">
        <v>283</v>
      </c>
    </row>
    <row r="47" spans="1:28" x14ac:dyDescent="0.2">
      <c r="A47" t="s">
        <v>63</v>
      </c>
      <c r="C47">
        <v>673.03899999999999</v>
      </c>
      <c r="D47">
        <v>479.43799999999999</v>
      </c>
      <c r="E47">
        <v>393.66399999999999</v>
      </c>
      <c r="F47">
        <v>395.40199999999999</v>
      </c>
      <c r="G47">
        <v>470.98399999999998</v>
      </c>
      <c r="H47">
        <v>1066.672</v>
      </c>
      <c r="I47">
        <v>1751.9649999999999</v>
      </c>
      <c r="J47">
        <v>1431.586</v>
      </c>
      <c r="K47">
        <v>2004.703</v>
      </c>
      <c r="L47">
        <v>889.70299999999997</v>
      </c>
      <c r="M47">
        <v>949.35500000000002</v>
      </c>
      <c r="N47">
        <v>1051.145</v>
      </c>
      <c r="O47">
        <v>415.32799999999997</v>
      </c>
      <c r="P47">
        <v>568.15599999999995</v>
      </c>
      <c r="Q47">
        <v>713.96500000000003</v>
      </c>
      <c r="R47">
        <v>833.19500000000005</v>
      </c>
      <c r="S47">
        <v>735.86300000000006</v>
      </c>
      <c r="T47">
        <v>386.70699999999999</v>
      </c>
    </row>
    <row r="48" spans="1:28" x14ac:dyDescent="0.2">
      <c r="A48" t="s">
        <v>62</v>
      </c>
      <c r="C48">
        <v>456.23500000000001</v>
      </c>
      <c r="D48">
        <v>262.63400000000001</v>
      </c>
      <c r="E48">
        <v>176.85999999999999</v>
      </c>
      <c r="F48">
        <v>178.59799999999998</v>
      </c>
      <c r="G48">
        <v>254.17999999999998</v>
      </c>
      <c r="H48">
        <v>849.86800000000005</v>
      </c>
      <c r="I48">
        <v>1535.1609999999998</v>
      </c>
      <c r="J48">
        <v>1214.7819999999999</v>
      </c>
      <c r="K48">
        <v>1787.8989999999999</v>
      </c>
      <c r="L48">
        <v>672.899</v>
      </c>
      <c r="M48">
        <v>732.55100000000004</v>
      </c>
      <c r="N48">
        <v>834.34100000000001</v>
      </c>
      <c r="O48">
        <v>198.52399999999997</v>
      </c>
      <c r="P48">
        <v>351.35199999999998</v>
      </c>
      <c r="Q48">
        <v>497.16100000000006</v>
      </c>
      <c r="R48">
        <v>616.39100000000008</v>
      </c>
      <c r="S48">
        <v>519.05900000000008</v>
      </c>
      <c r="T48">
        <v>169.90299999999999</v>
      </c>
    </row>
    <row r="49" spans="1:20" x14ac:dyDescent="0.2">
      <c r="A49" t="s">
        <v>61</v>
      </c>
      <c r="C49">
        <v>6.8920000000000003</v>
      </c>
      <c r="D49">
        <v>25.521999999999998</v>
      </c>
      <c r="E49">
        <v>13.218</v>
      </c>
      <c r="F49">
        <v>11.936999999999999</v>
      </c>
      <c r="G49">
        <v>4.0970000000000004</v>
      </c>
      <c r="H49">
        <v>3.3250000000000002</v>
      </c>
      <c r="I49">
        <v>2.64</v>
      </c>
      <c r="J49">
        <v>2.42</v>
      </c>
      <c r="K49">
        <v>1.6619999999999999</v>
      </c>
      <c r="L49">
        <v>1.276</v>
      </c>
      <c r="M49">
        <v>2.0569999999999999</v>
      </c>
      <c r="N49">
        <v>2.78</v>
      </c>
      <c r="O49">
        <v>3.9689999999999999</v>
      </c>
      <c r="P49">
        <v>2.6349999999999998</v>
      </c>
      <c r="Q49">
        <v>1.105</v>
      </c>
      <c r="R49">
        <v>3.956</v>
      </c>
      <c r="S49">
        <v>9.5619999999999994</v>
      </c>
      <c r="T49">
        <v>3.871</v>
      </c>
    </row>
    <row r="50" spans="1:20" x14ac:dyDescent="0.2">
      <c r="A50" t="s">
        <v>60</v>
      </c>
      <c r="C50">
        <v>7.1763266369361984</v>
      </c>
      <c r="D50">
        <v>25.600243826963833</v>
      </c>
      <c r="E50">
        <v>13.368452565648726</v>
      </c>
      <c r="F50">
        <v>12.103386674811309</v>
      </c>
      <c r="G50">
        <v>4.5591017755693946</v>
      </c>
      <c r="H50">
        <v>3.8801578576135278</v>
      </c>
      <c r="I50">
        <v>3.3120386471175123</v>
      </c>
      <c r="J50">
        <v>3.1394904045083498</v>
      </c>
      <c r="K50">
        <v>2.6004315026548959</v>
      </c>
      <c r="L50">
        <v>2.3723777102308139</v>
      </c>
      <c r="M50">
        <v>2.8690153363131401</v>
      </c>
      <c r="N50">
        <v>3.4246751670778934</v>
      </c>
      <c r="O50">
        <v>4.4444303346998248</v>
      </c>
      <c r="P50">
        <v>3.3080545642416479</v>
      </c>
      <c r="Q50">
        <v>2.2849562359047493</v>
      </c>
      <c r="R50">
        <v>4.4328248329930657</v>
      </c>
      <c r="S50">
        <v>9.76892235612506</v>
      </c>
      <c r="T50">
        <v>4.3571367892229409</v>
      </c>
    </row>
    <row r="51" spans="1:20" x14ac:dyDescent="0.2">
      <c r="A51" t="s">
        <v>59</v>
      </c>
      <c r="E51">
        <v>0.47609470971855083</v>
      </c>
      <c r="F51">
        <v>0.48077328376294098</v>
      </c>
      <c r="G51">
        <v>0.68423472416748421</v>
      </c>
      <c r="H51">
        <v>2.2877850206891632</v>
      </c>
      <c r="I51">
        <v>4.1325456896202661</v>
      </c>
      <c r="J51">
        <v>3.2701079026423199</v>
      </c>
      <c r="K51">
        <v>4.8128986509730147</v>
      </c>
      <c r="L51">
        <v>1.8113968906191518</v>
      </c>
      <c r="M51">
        <v>1.9719758888331687</v>
      </c>
      <c r="N51">
        <v>2.2459874262200921</v>
      </c>
      <c r="O51">
        <v>0.53441267755380295</v>
      </c>
      <c r="P51">
        <v>0.94581492959986591</v>
      </c>
      <c r="Q51">
        <v>1.3383225261697642</v>
      </c>
      <c r="R51">
        <v>1.6592813197903842</v>
      </c>
      <c r="S51">
        <v>1.3972704055852163</v>
      </c>
      <c r="T51">
        <v>0.45736695389184073</v>
      </c>
    </row>
    <row r="53" spans="1:20" s="1" customFormat="1" x14ac:dyDescent="0.2">
      <c r="A53" s="1" t="s">
        <v>429</v>
      </c>
      <c r="C53" s="1" t="s">
        <v>283</v>
      </c>
      <c r="D53" s="1" t="s">
        <v>283</v>
      </c>
      <c r="E53" s="1" t="s">
        <v>283</v>
      </c>
      <c r="F53" s="1" t="s">
        <v>283</v>
      </c>
      <c r="G53" s="1" t="s">
        <v>283</v>
      </c>
    </row>
    <row r="54" spans="1:20" x14ac:dyDescent="0.2">
      <c r="A54" t="s">
        <v>63</v>
      </c>
      <c r="C54">
        <v>330.16800000000001</v>
      </c>
      <c r="D54">
        <v>638.875</v>
      </c>
      <c r="E54">
        <v>929.59400000000005</v>
      </c>
      <c r="F54">
        <v>654.97299999999996</v>
      </c>
      <c r="G54">
        <v>486.82</v>
      </c>
    </row>
    <row r="55" spans="1:20" x14ac:dyDescent="0.2">
      <c r="A55" t="s">
        <v>62</v>
      </c>
      <c r="C55">
        <v>113.364</v>
      </c>
      <c r="D55">
        <v>422.07100000000003</v>
      </c>
      <c r="E55">
        <v>712.79000000000008</v>
      </c>
      <c r="F55">
        <v>438.16899999999998</v>
      </c>
      <c r="G55">
        <v>270.01599999999996</v>
      </c>
    </row>
    <row r="56" spans="1:20" x14ac:dyDescent="0.2">
      <c r="A56" t="s">
        <v>61</v>
      </c>
      <c r="C56">
        <v>11.938000000000001</v>
      </c>
      <c r="D56">
        <v>3.1579999999999999</v>
      </c>
      <c r="E56">
        <v>2.4729999999999999</v>
      </c>
      <c r="F56">
        <v>1.633</v>
      </c>
      <c r="G56">
        <v>2.1930000000000001</v>
      </c>
    </row>
    <row r="57" spans="1:20" x14ac:dyDescent="0.2">
      <c r="A57" t="s">
        <v>60</v>
      </c>
      <c r="C57">
        <v>12.309177226768652</v>
      </c>
      <c r="D57">
        <v>4.3557965976385988</v>
      </c>
      <c r="E57">
        <v>3.8878951889164912</v>
      </c>
      <c r="F57">
        <v>3.4156535245835458</v>
      </c>
      <c r="G57">
        <v>3.7160797892402688</v>
      </c>
    </row>
    <row r="58" spans="1:20" x14ac:dyDescent="0.2">
      <c r="A58" t="s">
        <v>59</v>
      </c>
      <c r="C58">
        <v>0.30516793323834562</v>
      </c>
      <c r="D58">
        <v>1.1361855152415385</v>
      </c>
      <c r="E58">
        <v>1.9187806634642426</v>
      </c>
      <c r="F58">
        <v>1.1795202016434905</v>
      </c>
      <c r="G58">
        <v>0.72686412495399877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D377-10C0-6A4D-8A90-1FCF9AE100FC}">
  <dimension ref="A1:S44"/>
  <sheetViews>
    <sheetView workbookViewId="0">
      <selection activeCell="G48" sqref="G48"/>
    </sheetView>
  </sheetViews>
  <sheetFormatPr baseColWidth="10" defaultRowHeight="15" x14ac:dyDescent="0.2"/>
  <cols>
    <col min="1" max="1" width="28" customWidth="1"/>
    <col min="2" max="2" width="19" customWidth="1"/>
  </cols>
  <sheetData>
    <row r="1" spans="1:19" x14ac:dyDescent="0.2">
      <c r="C1" t="s">
        <v>294</v>
      </c>
      <c r="E1" t="s">
        <v>31</v>
      </c>
    </row>
    <row r="2" spans="1:19" x14ac:dyDescent="0.2">
      <c r="C2">
        <v>25.85026315789472</v>
      </c>
      <c r="E2">
        <v>58.042999999999999</v>
      </c>
    </row>
    <row r="4" spans="1:19" s="1" customFormat="1" x14ac:dyDescent="0.2">
      <c r="A4" s="1" t="s">
        <v>398</v>
      </c>
      <c r="B4" s="1" t="s">
        <v>70</v>
      </c>
      <c r="C4" s="1">
        <v>1</v>
      </c>
      <c r="D4" s="1">
        <v>1</v>
      </c>
      <c r="E4" s="1">
        <v>1</v>
      </c>
      <c r="F4" s="1" t="s">
        <v>283</v>
      </c>
    </row>
    <row r="5" spans="1:19" x14ac:dyDescent="0.2">
      <c r="A5" t="s">
        <v>63</v>
      </c>
      <c r="B5">
        <v>210.32400000000001</v>
      </c>
      <c r="C5">
        <v>235.50399999999999</v>
      </c>
      <c r="D5">
        <v>239.83199999999999</v>
      </c>
      <c r="E5">
        <v>230.34</v>
      </c>
      <c r="F5">
        <v>221.684</v>
      </c>
    </row>
    <row r="6" spans="1:19" x14ac:dyDescent="0.2">
      <c r="A6" t="s">
        <v>62</v>
      </c>
      <c r="C6">
        <v>25.179999999999978</v>
      </c>
      <c r="D6">
        <v>29.507999999999981</v>
      </c>
      <c r="E6">
        <v>20.015999999999991</v>
      </c>
      <c r="F6">
        <v>11.359999999999985</v>
      </c>
    </row>
    <row r="7" spans="1:19" x14ac:dyDescent="0.2">
      <c r="A7" t="s">
        <v>61</v>
      </c>
      <c r="C7">
        <v>10.069000000000001</v>
      </c>
      <c r="D7">
        <v>3.7930000000000001</v>
      </c>
      <c r="E7">
        <v>18.992000000000001</v>
      </c>
      <c r="F7">
        <v>18.78</v>
      </c>
    </row>
    <row r="8" spans="1:19" x14ac:dyDescent="0.2">
      <c r="A8" t="s">
        <v>60</v>
      </c>
      <c r="C8">
        <v>10.069000000000001</v>
      </c>
      <c r="D8">
        <v>3.7930000000000001</v>
      </c>
      <c r="E8">
        <v>18.992000000000001</v>
      </c>
      <c r="F8">
        <v>18.78</v>
      </c>
    </row>
    <row r="9" spans="1:19" x14ac:dyDescent="0.2">
      <c r="A9" t="s">
        <v>59</v>
      </c>
      <c r="F9">
        <v>0.43945394020217621</v>
      </c>
    </row>
    <row r="11" spans="1:19" s="1" customFormat="1" x14ac:dyDescent="0.2">
      <c r="A11" s="1" t="s">
        <v>399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 t="s">
        <v>283</v>
      </c>
      <c r="J11" s="1" t="s">
        <v>283</v>
      </c>
      <c r="K11" s="1" t="s">
        <v>283</v>
      </c>
      <c r="L11" s="1" t="s">
        <v>283</v>
      </c>
      <c r="M11" s="1" t="s">
        <v>283</v>
      </c>
      <c r="N11" s="1" t="s">
        <v>283</v>
      </c>
      <c r="O11" s="1" t="s">
        <v>283</v>
      </c>
      <c r="P11" s="1" t="s">
        <v>283</v>
      </c>
      <c r="Q11" s="1" t="s">
        <v>283</v>
      </c>
      <c r="R11" s="1" t="s">
        <v>283</v>
      </c>
      <c r="S11" s="1" t="s">
        <v>283</v>
      </c>
    </row>
    <row r="12" spans="1:19" x14ac:dyDescent="0.2">
      <c r="A12" t="s">
        <v>63</v>
      </c>
      <c r="C12">
        <v>254.39099999999999</v>
      </c>
      <c r="D12">
        <v>230.934</v>
      </c>
      <c r="E12">
        <v>240.215</v>
      </c>
      <c r="F12">
        <v>246.07400000000001</v>
      </c>
      <c r="G12">
        <v>229.35900000000001</v>
      </c>
      <c r="H12">
        <v>233.40600000000001</v>
      </c>
      <c r="I12">
        <v>220.375</v>
      </c>
      <c r="J12">
        <v>221.238</v>
      </c>
      <c r="K12">
        <v>218.512</v>
      </c>
      <c r="L12">
        <v>220.898</v>
      </c>
      <c r="M12">
        <v>224.57400000000001</v>
      </c>
      <c r="N12">
        <v>218.14500000000001</v>
      </c>
      <c r="O12">
        <v>255.18799999999999</v>
      </c>
      <c r="P12">
        <v>225.566</v>
      </c>
      <c r="Q12">
        <v>219.453</v>
      </c>
      <c r="R12">
        <v>221.191</v>
      </c>
      <c r="S12">
        <v>219.84</v>
      </c>
    </row>
    <row r="13" spans="1:19" x14ac:dyDescent="0.2">
      <c r="A13" t="s">
        <v>62</v>
      </c>
      <c r="C13">
        <v>44.066999999999979</v>
      </c>
      <c r="D13">
        <v>20.609999999999985</v>
      </c>
      <c r="E13">
        <v>29.890999999999991</v>
      </c>
      <c r="F13">
        <v>35.75</v>
      </c>
      <c r="G13">
        <v>19.034999999999997</v>
      </c>
      <c r="H13">
        <v>23.081999999999994</v>
      </c>
      <c r="I13">
        <v>10.050999999999988</v>
      </c>
      <c r="J13">
        <v>10.913999999999987</v>
      </c>
      <c r="K13">
        <v>8.1879999999999882</v>
      </c>
      <c r="L13">
        <v>10.573999999999984</v>
      </c>
      <c r="M13">
        <v>14.25</v>
      </c>
      <c r="N13">
        <v>7.820999999999998</v>
      </c>
      <c r="O13">
        <v>44.863999999999976</v>
      </c>
      <c r="P13">
        <v>15.24199999999999</v>
      </c>
      <c r="Q13">
        <v>9.1289999999999907</v>
      </c>
      <c r="R13">
        <v>10.86699999999999</v>
      </c>
      <c r="S13">
        <v>9.5159999999999911</v>
      </c>
    </row>
    <row r="14" spans="1:19" x14ac:dyDescent="0.2">
      <c r="A14" t="s">
        <v>61</v>
      </c>
      <c r="C14">
        <v>8.9329999999999998</v>
      </c>
      <c r="D14">
        <v>1.9059999999999999</v>
      </c>
      <c r="E14">
        <v>2.4289999999999998</v>
      </c>
      <c r="F14">
        <v>3.4630000000000001</v>
      </c>
      <c r="G14">
        <v>4.048</v>
      </c>
      <c r="H14">
        <v>4.3040000000000003</v>
      </c>
      <c r="I14">
        <v>5.3339999999999996</v>
      </c>
      <c r="J14">
        <v>10.285</v>
      </c>
      <c r="K14">
        <v>2.8159999999999998</v>
      </c>
      <c r="L14">
        <v>3.0579999999999998</v>
      </c>
      <c r="M14">
        <v>2.1930000000000001</v>
      </c>
      <c r="N14">
        <v>0.65400000000000003</v>
      </c>
      <c r="O14">
        <v>2.2309999999999999</v>
      </c>
      <c r="P14">
        <v>2.714</v>
      </c>
      <c r="Q14">
        <v>3.4940000000000002</v>
      </c>
      <c r="R14">
        <v>5.5129999999999999</v>
      </c>
      <c r="S14">
        <v>12.92</v>
      </c>
    </row>
    <row r="15" spans="1:19" x14ac:dyDescent="0.2">
      <c r="A15" t="s">
        <v>60</v>
      </c>
      <c r="C15">
        <v>8.9887979730328791</v>
      </c>
      <c r="D15">
        <v>2.1524023787386963</v>
      </c>
      <c r="E15">
        <v>2.6267929115177693</v>
      </c>
      <c r="F15">
        <v>3.6044928908238951</v>
      </c>
      <c r="G15">
        <v>4.1696887173984578</v>
      </c>
      <c r="H15">
        <v>4.4186441359312933</v>
      </c>
      <c r="I15">
        <v>5.426928781548547</v>
      </c>
      <c r="J15">
        <v>10.333500133062369</v>
      </c>
      <c r="K15">
        <v>2.9882864655183243</v>
      </c>
      <c r="L15">
        <v>3.217353570871563</v>
      </c>
      <c r="M15">
        <v>2.4102383699543082</v>
      </c>
      <c r="N15">
        <v>1.1948707043023525</v>
      </c>
      <c r="O15">
        <v>2.4448642089081347</v>
      </c>
      <c r="P15">
        <v>2.8923685795555172</v>
      </c>
      <c r="Q15">
        <v>3.6342861747528912</v>
      </c>
      <c r="R15">
        <v>5.6029607351827835</v>
      </c>
      <c r="S15">
        <v>12.958641904150296</v>
      </c>
    </row>
    <row r="16" spans="1:19" x14ac:dyDescent="0.2">
      <c r="A16" t="s">
        <v>59</v>
      </c>
      <c r="I16">
        <v>0.38881615783204876</v>
      </c>
      <c r="J16">
        <v>0.4222007309301542</v>
      </c>
      <c r="K16">
        <v>0.31674725901192063</v>
      </c>
      <c r="L16">
        <v>0.40904806018466638</v>
      </c>
      <c r="M16">
        <v>0.55125164153882211</v>
      </c>
      <c r="N16">
        <v>0.30255011147193872</v>
      </c>
      <c r="O16">
        <v>1.7355335891928212</v>
      </c>
      <c r="P16">
        <v>0.58962649265506817</v>
      </c>
      <c r="Q16">
        <v>0.35314920951634399</v>
      </c>
      <c r="R16">
        <v>0.42038256762121928</v>
      </c>
      <c r="S16">
        <v>0.36812004357076678</v>
      </c>
    </row>
    <row r="18" spans="1:16" s="1" customFormat="1" x14ac:dyDescent="0.2">
      <c r="A18" s="1" t="s">
        <v>400</v>
      </c>
      <c r="C18" s="1">
        <v>1</v>
      </c>
      <c r="D18" s="1">
        <v>1</v>
      </c>
      <c r="E18" s="1">
        <v>1</v>
      </c>
      <c r="F18" s="1">
        <v>1</v>
      </c>
      <c r="G18" s="1" t="s">
        <v>283</v>
      </c>
      <c r="H18" s="1" t="s">
        <v>283</v>
      </c>
      <c r="I18" s="1" t="s">
        <v>283</v>
      </c>
      <c r="J18" s="1" t="s">
        <v>283</v>
      </c>
      <c r="K18" s="1" t="s">
        <v>283</v>
      </c>
      <c r="L18" s="1" t="s">
        <v>283</v>
      </c>
      <c r="M18" s="1" t="s">
        <v>283</v>
      </c>
      <c r="N18" s="1" t="s">
        <v>283</v>
      </c>
      <c r="O18" s="1" t="s">
        <v>283</v>
      </c>
      <c r="P18" s="1" t="s">
        <v>283</v>
      </c>
    </row>
    <row r="19" spans="1:16" x14ac:dyDescent="0.2">
      <c r="A19" t="s">
        <v>63</v>
      </c>
      <c r="C19">
        <v>228.59800000000001</v>
      </c>
      <c r="D19">
        <v>237.797</v>
      </c>
      <c r="E19">
        <v>224.43799999999999</v>
      </c>
      <c r="F19">
        <v>240.113</v>
      </c>
      <c r="G19">
        <v>223.53899999999999</v>
      </c>
      <c r="H19">
        <v>215.84</v>
      </c>
      <c r="I19">
        <v>216.70400000000001</v>
      </c>
      <c r="J19">
        <v>221.64099999999999</v>
      </c>
      <c r="K19">
        <v>221.23</v>
      </c>
      <c r="L19">
        <v>219.46899999999999</v>
      </c>
      <c r="M19">
        <v>232.262</v>
      </c>
      <c r="N19">
        <v>222.86699999999999</v>
      </c>
      <c r="O19">
        <v>227.102</v>
      </c>
      <c r="P19">
        <v>216.19499999999999</v>
      </c>
    </row>
    <row r="20" spans="1:16" x14ac:dyDescent="0.2">
      <c r="A20" t="s">
        <v>62</v>
      </c>
      <c r="C20">
        <v>18.274000000000001</v>
      </c>
      <c r="D20">
        <v>27.472999999999985</v>
      </c>
      <c r="E20">
        <v>14.113999999999976</v>
      </c>
      <c r="F20">
        <v>29.788999999999987</v>
      </c>
      <c r="G20">
        <v>13.214999999999975</v>
      </c>
      <c r="H20">
        <v>5.5159999999999911</v>
      </c>
      <c r="I20">
        <v>6.3799999999999955</v>
      </c>
      <c r="J20">
        <v>11.316999999999979</v>
      </c>
      <c r="K20">
        <v>10.905999999999977</v>
      </c>
      <c r="L20">
        <v>9.1449999999999818</v>
      </c>
      <c r="M20">
        <v>21.937999999999988</v>
      </c>
      <c r="N20">
        <v>12.542999999999978</v>
      </c>
      <c r="O20">
        <v>16.777999999999992</v>
      </c>
      <c r="P20">
        <v>5.8709999999999809</v>
      </c>
    </row>
    <row r="21" spans="1:16" x14ac:dyDescent="0.2">
      <c r="A21" t="s">
        <v>61</v>
      </c>
      <c r="C21">
        <v>13.111000000000001</v>
      </c>
      <c r="D21">
        <v>9.24</v>
      </c>
      <c r="E21">
        <v>1.8680000000000001</v>
      </c>
      <c r="F21">
        <v>2.4660000000000002</v>
      </c>
      <c r="G21">
        <v>3.464</v>
      </c>
      <c r="H21">
        <v>4.1769999999999996</v>
      </c>
      <c r="I21">
        <v>3.597</v>
      </c>
      <c r="J21">
        <v>8.1820000000000004</v>
      </c>
      <c r="K21">
        <v>1.4830000000000001</v>
      </c>
      <c r="L21">
        <v>1.0860000000000001</v>
      </c>
      <c r="M21">
        <v>2.0750000000000002</v>
      </c>
      <c r="N21">
        <v>2.4350000000000001</v>
      </c>
      <c r="O21">
        <v>3.4830000000000001</v>
      </c>
      <c r="P21">
        <v>3.8340000000000001</v>
      </c>
    </row>
    <row r="22" spans="1:16" x14ac:dyDescent="0.2">
      <c r="A22" t="s">
        <v>60</v>
      </c>
      <c r="C22">
        <v>13.262666436278943</v>
      </c>
      <c r="D22">
        <v>9.4539727099246491</v>
      </c>
      <c r="E22">
        <v>2.7366812017478397</v>
      </c>
      <c r="F22">
        <v>3.1750836209460687</v>
      </c>
      <c r="G22">
        <v>3.9999119990319785</v>
      </c>
      <c r="H22">
        <v>4.6311261049554675</v>
      </c>
      <c r="I22">
        <v>4.1156298424421021</v>
      </c>
      <c r="J22">
        <v>8.4228928522212616</v>
      </c>
      <c r="K22">
        <v>2.4898371432686117</v>
      </c>
      <c r="L22">
        <v>2.2758286402978589</v>
      </c>
      <c r="M22">
        <v>2.8819481258343291</v>
      </c>
      <c r="N22">
        <v>3.1510672795102299</v>
      </c>
      <c r="O22">
        <v>4.0163775967904218</v>
      </c>
      <c r="P22">
        <v>4.3242983245840012</v>
      </c>
    </row>
    <row r="23" spans="1:16" x14ac:dyDescent="0.2">
      <c r="A23" t="s">
        <v>59</v>
      </c>
      <c r="G23">
        <v>0.51121336441652776</v>
      </c>
      <c r="H23">
        <v>0.21338274068267635</v>
      </c>
      <c r="I23">
        <v>0.24680599810650405</v>
      </c>
      <c r="J23">
        <v>0.43779051419612902</v>
      </c>
      <c r="K23">
        <v>0.42189125632437768</v>
      </c>
      <c r="L23">
        <v>0.35376815872789602</v>
      </c>
      <c r="M23">
        <v>0.84865673768973149</v>
      </c>
      <c r="N23">
        <v>0.4852174975313287</v>
      </c>
      <c r="O23">
        <v>0.64904561696409491</v>
      </c>
      <c r="P23">
        <v>0.22711567631399399</v>
      </c>
    </row>
    <row r="25" spans="1:16" s="1" customFormat="1" x14ac:dyDescent="0.2">
      <c r="A25" s="1" t="s">
        <v>401</v>
      </c>
      <c r="C25" s="1">
        <v>1</v>
      </c>
      <c r="D25" s="1">
        <v>1</v>
      </c>
      <c r="E25" s="1">
        <v>1</v>
      </c>
      <c r="F25" s="1" t="s">
        <v>283</v>
      </c>
      <c r="G25" s="1" t="s">
        <v>283</v>
      </c>
      <c r="H25" s="1" t="s">
        <v>283</v>
      </c>
      <c r="I25" s="1" t="s">
        <v>283</v>
      </c>
      <c r="J25" s="1" t="s">
        <v>283</v>
      </c>
      <c r="K25" s="1" t="s">
        <v>283</v>
      </c>
    </row>
    <row r="26" spans="1:16" x14ac:dyDescent="0.2">
      <c r="A26" t="s">
        <v>63</v>
      </c>
      <c r="C26">
        <v>252.857</v>
      </c>
      <c r="D26">
        <v>231.28899999999999</v>
      </c>
      <c r="E26">
        <v>231.53899999999999</v>
      </c>
      <c r="F26">
        <v>219.934</v>
      </c>
      <c r="G26">
        <v>219.69499999999999</v>
      </c>
      <c r="H26">
        <v>228.18799999999999</v>
      </c>
      <c r="I26">
        <v>228.898</v>
      </c>
      <c r="J26">
        <v>217.30099999999999</v>
      </c>
      <c r="K26">
        <v>213.613</v>
      </c>
    </row>
    <row r="27" spans="1:16" x14ac:dyDescent="0.2">
      <c r="A27" t="s">
        <v>62</v>
      </c>
      <c r="C27">
        <v>42.532999999999987</v>
      </c>
      <c r="D27">
        <v>20.964999999999975</v>
      </c>
      <c r="E27">
        <v>21.214999999999975</v>
      </c>
      <c r="F27">
        <v>9.6099999999999852</v>
      </c>
      <c r="G27">
        <v>9.3709999999999809</v>
      </c>
      <c r="H27">
        <v>17.863999999999976</v>
      </c>
      <c r="I27">
        <v>18.573999999999984</v>
      </c>
      <c r="J27">
        <v>6.9769999999999754</v>
      </c>
      <c r="K27">
        <v>3.2889999999999873</v>
      </c>
    </row>
    <row r="28" spans="1:16" x14ac:dyDescent="0.2">
      <c r="A28" t="s">
        <v>61</v>
      </c>
      <c r="C28">
        <v>13.021000000000001</v>
      </c>
      <c r="D28">
        <v>9.9019999999999992</v>
      </c>
      <c r="E28">
        <v>9.9169999999999998</v>
      </c>
      <c r="F28">
        <v>1.2250000000000001</v>
      </c>
      <c r="G28">
        <v>1.9970000000000001</v>
      </c>
      <c r="H28">
        <v>2.5659999999999998</v>
      </c>
      <c r="I28">
        <v>3.6179999999999999</v>
      </c>
      <c r="J28">
        <v>3.9140000000000001</v>
      </c>
      <c r="K28">
        <v>4.3129999999999997</v>
      </c>
    </row>
    <row r="29" spans="1:16" x14ac:dyDescent="0.2">
      <c r="A29" t="s">
        <v>60</v>
      </c>
      <c r="C29">
        <v>13.362127113599842</v>
      </c>
      <c r="D29">
        <v>10.346477854806436</v>
      </c>
      <c r="E29">
        <v>10.360834377597202</v>
      </c>
      <c r="F29">
        <v>3.2404667873625859</v>
      </c>
      <c r="G29">
        <v>3.6038880393264163</v>
      </c>
      <c r="H29">
        <v>3.9477026230454593</v>
      </c>
      <c r="I29">
        <v>4.6999919148866631</v>
      </c>
      <c r="J29">
        <v>4.9314699634084764</v>
      </c>
      <c r="K29">
        <v>5.253757607655686</v>
      </c>
    </row>
    <row r="30" spans="1:16" x14ac:dyDescent="0.2">
      <c r="A30" t="s">
        <v>59</v>
      </c>
      <c r="F30">
        <v>0.37175637018863666</v>
      </c>
      <c r="G30">
        <v>0.36251081634107307</v>
      </c>
      <c r="H30">
        <v>0.69105679469821091</v>
      </c>
      <c r="I30">
        <v>0.71852266596084724</v>
      </c>
      <c r="J30">
        <v>0.26990054056255075</v>
      </c>
      <c r="K30">
        <v>0.12723274729973186</v>
      </c>
    </row>
    <row r="32" spans="1:16" s="1" customFormat="1" x14ac:dyDescent="0.2">
      <c r="A32" s="1" t="s">
        <v>402</v>
      </c>
      <c r="C32" s="1">
        <v>1</v>
      </c>
      <c r="D32" s="1">
        <v>1</v>
      </c>
      <c r="E32" s="1" t="s">
        <v>283</v>
      </c>
      <c r="F32" s="1" t="s">
        <v>283</v>
      </c>
    </row>
    <row r="33" spans="1:6" x14ac:dyDescent="0.2">
      <c r="A33" t="s">
        <v>63</v>
      </c>
      <c r="C33">
        <v>221.375</v>
      </c>
      <c r="D33">
        <v>228.40600000000001</v>
      </c>
      <c r="E33">
        <v>232.77</v>
      </c>
      <c r="F33">
        <v>214.5</v>
      </c>
    </row>
    <row r="34" spans="1:6" x14ac:dyDescent="0.2">
      <c r="A34" t="s">
        <v>62</v>
      </c>
      <c r="C34">
        <v>11.050999999999988</v>
      </c>
      <c r="D34">
        <v>18.081999999999994</v>
      </c>
      <c r="E34">
        <v>22.445999999999998</v>
      </c>
      <c r="F34">
        <v>4.1759999999999877</v>
      </c>
    </row>
    <row r="35" spans="1:6" x14ac:dyDescent="0.2">
      <c r="A35" t="s">
        <v>61</v>
      </c>
      <c r="C35">
        <v>11.837</v>
      </c>
      <c r="D35">
        <v>9.9209999999999994</v>
      </c>
      <c r="E35">
        <v>10.162000000000001</v>
      </c>
      <c r="F35">
        <v>8.4350000000000005</v>
      </c>
    </row>
    <row r="36" spans="1:6" x14ac:dyDescent="0.2">
      <c r="A36" t="s">
        <v>60</v>
      </c>
      <c r="C36">
        <v>12.494581585631428</v>
      </c>
      <c r="D36">
        <v>10.697020192558298</v>
      </c>
      <c r="E36">
        <v>10.920908570260993</v>
      </c>
      <c r="F36">
        <v>9.3353749255185257</v>
      </c>
    </row>
    <row r="37" spans="1:6" x14ac:dyDescent="0.2">
      <c r="A37" t="s">
        <v>59</v>
      </c>
      <c r="E37">
        <v>0.86830837515651937</v>
      </c>
      <c r="F37">
        <v>0.16154574421516593</v>
      </c>
    </row>
    <row r="39" spans="1:6" s="1" customFormat="1" x14ac:dyDescent="0.2">
      <c r="A39" s="1" t="s">
        <v>403</v>
      </c>
      <c r="C39" s="1">
        <v>1</v>
      </c>
    </row>
    <row r="40" spans="1:6" x14ac:dyDescent="0.2">
      <c r="A40" t="s">
        <v>63</v>
      </c>
      <c r="C40">
        <v>250.84399999999999</v>
      </c>
    </row>
    <row r="41" spans="1:6" x14ac:dyDescent="0.2">
      <c r="A41" t="s">
        <v>62</v>
      </c>
      <c r="C41">
        <v>40.519999999999982</v>
      </c>
    </row>
    <row r="42" spans="1:6" x14ac:dyDescent="0.2">
      <c r="A42" t="s">
        <v>61</v>
      </c>
      <c r="C42">
        <v>3.6850000000000001</v>
      </c>
    </row>
    <row r="43" spans="1:6" x14ac:dyDescent="0.2">
      <c r="A43" t="s">
        <v>60</v>
      </c>
      <c r="C43">
        <v>3.8182751341410692</v>
      </c>
    </row>
    <row r="44" spans="1:6" x14ac:dyDescent="0.2">
      <c r="A44" t="s">
        <v>59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774E-F256-DE47-A70D-841ABA1B2E31}">
  <dimension ref="A1:AK50"/>
  <sheetViews>
    <sheetView workbookViewId="0">
      <selection activeCell="D58" sqref="D58"/>
    </sheetView>
  </sheetViews>
  <sheetFormatPr baseColWidth="10" defaultRowHeight="15" x14ac:dyDescent="0.2"/>
  <cols>
    <col min="1" max="1" width="24.33203125" customWidth="1"/>
    <col min="2" max="2" width="17.1640625" customWidth="1"/>
  </cols>
  <sheetData>
    <row r="1" spans="1:34" x14ac:dyDescent="0.2">
      <c r="D1" t="s">
        <v>294</v>
      </c>
    </row>
    <row r="2" spans="1:34" x14ac:dyDescent="0.2">
      <c r="D2">
        <v>61.544166666666669</v>
      </c>
    </row>
    <row r="3" spans="1:34" s="1" customFormat="1" x14ac:dyDescent="0.2">
      <c r="A3" s="1" t="s">
        <v>386</v>
      </c>
      <c r="B3" s="1" t="s">
        <v>70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 t="s">
        <v>283</v>
      </c>
      <c r="O3" s="1" t="s">
        <v>283</v>
      </c>
      <c r="P3" s="1" t="s">
        <v>283</v>
      </c>
      <c r="Q3" s="1" t="s">
        <v>283</v>
      </c>
      <c r="R3" s="1" t="s">
        <v>283</v>
      </c>
      <c r="S3" s="1" t="s">
        <v>283</v>
      </c>
      <c r="T3" s="1" t="s">
        <v>283</v>
      </c>
      <c r="U3" s="1" t="s">
        <v>283</v>
      </c>
      <c r="V3" s="1" t="s">
        <v>283</v>
      </c>
      <c r="W3" s="1" t="s">
        <v>283</v>
      </c>
      <c r="X3" s="1" t="s">
        <v>283</v>
      </c>
      <c r="Y3" s="1" t="s">
        <v>283</v>
      </c>
      <c r="Z3" s="1" t="s">
        <v>283</v>
      </c>
      <c r="AA3" s="1" t="s">
        <v>283</v>
      </c>
      <c r="AB3" s="1" t="s">
        <v>283</v>
      </c>
      <c r="AC3" s="1" t="s">
        <v>283</v>
      </c>
      <c r="AD3" s="1" t="s">
        <v>283</v>
      </c>
      <c r="AE3" s="1" t="s">
        <v>283</v>
      </c>
      <c r="AF3" s="1" t="s">
        <v>283</v>
      </c>
      <c r="AG3" s="1" t="s">
        <v>283</v>
      </c>
      <c r="AH3" s="1" t="s">
        <v>283</v>
      </c>
    </row>
    <row r="4" spans="1:34" x14ac:dyDescent="0.2">
      <c r="A4" t="s">
        <v>63</v>
      </c>
      <c r="B4">
        <v>209.73</v>
      </c>
      <c r="C4">
        <v>312.86700000000002</v>
      </c>
      <c r="D4">
        <v>308.27300000000002</v>
      </c>
      <c r="E4">
        <v>262.75799999999998</v>
      </c>
      <c r="F4">
        <v>266.00400000000002</v>
      </c>
      <c r="G4">
        <v>274.97300000000001</v>
      </c>
      <c r="H4">
        <v>289.52300000000002</v>
      </c>
      <c r="I4">
        <v>265.72699999999998</v>
      </c>
      <c r="J4">
        <v>249.40600000000001</v>
      </c>
      <c r="K4">
        <v>329.65600000000001</v>
      </c>
      <c r="L4">
        <v>295.41000000000003</v>
      </c>
      <c r="M4">
        <v>243.02699999999999</v>
      </c>
      <c r="N4">
        <v>264.75799999999998</v>
      </c>
      <c r="O4">
        <v>324.43799999999999</v>
      </c>
      <c r="P4">
        <v>320.10199999999998</v>
      </c>
      <c r="Q4">
        <v>275.02699999999999</v>
      </c>
      <c r="R4">
        <v>315.98399999999998</v>
      </c>
      <c r="S4">
        <v>382.613</v>
      </c>
      <c r="T4">
        <v>341.762</v>
      </c>
      <c r="U4">
        <v>317.41399999999999</v>
      </c>
      <c r="V4">
        <v>256.137</v>
      </c>
      <c r="W4">
        <v>311.43400000000003</v>
      </c>
      <c r="X4">
        <v>363.93</v>
      </c>
      <c r="Y4">
        <v>316.41800000000001</v>
      </c>
      <c r="Z4">
        <v>264.27</v>
      </c>
      <c r="AA4">
        <v>230.07</v>
      </c>
      <c r="AB4">
        <v>232.262</v>
      </c>
      <c r="AC4">
        <v>258.99200000000002</v>
      </c>
      <c r="AD4">
        <v>306.81200000000001</v>
      </c>
      <c r="AE4">
        <v>234.17599999999999</v>
      </c>
      <c r="AF4">
        <v>280.33199999999999</v>
      </c>
      <c r="AG4">
        <v>284.18799999999999</v>
      </c>
      <c r="AH4">
        <v>312.24200000000002</v>
      </c>
    </row>
    <row r="5" spans="1:34" x14ac:dyDescent="0.2">
      <c r="A5" t="s">
        <v>62</v>
      </c>
      <c r="C5">
        <v>103.13700000000003</v>
      </c>
      <c r="D5">
        <v>98.543000000000035</v>
      </c>
      <c r="E5">
        <v>53.027999999999992</v>
      </c>
      <c r="F5">
        <v>56.274000000000029</v>
      </c>
      <c r="G5">
        <v>65.243000000000023</v>
      </c>
      <c r="H5">
        <v>79.793000000000035</v>
      </c>
      <c r="I5">
        <v>55.996999999999986</v>
      </c>
      <c r="J5">
        <v>39.676000000000016</v>
      </c>
      <c r="K5">
        <v>119.92600000000002</v>
      </c>
      <c r="L5">
        <v>85.680000000000035</v>
      </c>
      <c r="M5">
        <v>33.296999999999997</v>
      </c>
      <c r="N5">
        <v>55.027999999999992</v>
      </c>
      <c r="O5">
        <v>114.708</v>
      </c>
      <c r="P5">
        <v>110.37199999999999</v>
      </c>
      <c r="Q5">
        <v>65.296999999999997</v>
      </c>
      <c r="R5">
        <v>106.25399999999999</v>
      </c>
      <c r="S5">
        <v>172.88300000000001</v>
      </c>
      <c r="T5">
        <v>132.03200000000001</v>
      </c>
      <c r="U5">
        <v>107.684</v>
      </c>
      <c r="V5">
        <v>46.407000000000011</v>
      </c>
      <c r="W5">
        <v>101.70400000000004</v>
      </c>
      <c r="X5">
        <v>154.20000000000002</v>
      </c>
      <c r="Y5">
        <v>106.68800000000002</v>
      </c>
      <c r="Z5">
        <v>54.539999999999992</v>
      </c>
      <c r="AA5">
        <v>20.340000000000003</v>
      </c>
      <c r="AB5">
        <v>22.532000000000011</v>
      </c>
      <c r="AC5">
        <v>49.262000000000029</v>
      </c>
      <c r="AD5">
        <v>97.082000000000022</v>
      </c>
      <c r="AE5">
        <v>24.445999999999998</v>
      </c>
      <c r="AF5">
        <v>70.602000000000004</v>
      </c>
      <c r="AG5">
        <v>74.457999999999998</v>
      </c>
      <c r="AH5">
        <v>102.51200000000003</v>
      </c>
    </row>
    <row r="6" spans="1:34" x14ac:dyDescent="0.2">
      <c r="A6" t="s">
        <v>61</v>
      </c>
      <c r="C6">
        <v>10.962</v>
      </c>
      <c r="D6">
        <v>10.555</v>
      </c>
      <c r="E6">
        <v>8.8550000000000004</v>
      </c>
      <c r="F6">
        <v>7.9370000000000003</v>
      </c>
      <c r="G6">
        <v>5.8780000000000001</v>
      </c>
      <c r="H6">
        <v>5.4279999999999999</v>
      </c>
      <c r="I6">
        <v>4.9370000000000003</v>
      </c>
      <c r="J6">
        <v>4.1870000000000003</v>
      </c>
      <c r="K6">
        <v>6.5419999999999998</v>
      </c>
      <c r="L6">
        <v>2.4449999999999998</v>
      </c>
      <c r="M6">
        <v>22.132000000000001</v>
      </c>
      <c r="N6">
        <v>5.8940000000000001</v>
      </c>
      <c r="O6">
        <v>7.0460000000000003</v>
      </c>
      <c r="P6">
        <v>7.3239999999999998</v>
      </c>
      <c r="Q6">
        <v>7.7530000000000001</v>
      </c>
      <c r="R6">
        <v>7.2539999999999996</v>
      </c>
      <c r="S6">
        <v>6.1980000000000004</v>
      </c>
      <c r="T6">
        <v>6.01</v>
      </c>
      <c r="U6">
        <v>6.3780000000000001</v>
      </c>
      <c r="V6">
        <v>4.4279999999999999</v>
      </c>
      <c r="W6">
        <v>4.2519999999999998</v>
      </c>
      <c r="X6">
        <v>3.8540000000000001</v>
      </c>
      <c r="Y6">
        <v>3.23</v>
      </c>
      <c r="Z6">
        <v>2.411</v>
      </c>
      <c r="AA6">
        <v>3.7280000000000002</v>
      </c>
      <c r="AB6">
        <v>3.1160000000000001</v>
      </c>
      <c r="AC6">
        <v>1.9350000000000001</v>
      </c>
      <c r="AD6">
        <v>1.0620000000000001</v>
      </c>
      <c r="AE6">
        <v>4.8769999999999998</v>
      </c>
      <c r="AF6">
        <v>10.084</v>
      </c>
      <c r="AG6">
        <v>10.689</v>
      </c>
      <c r="AH6">
        <v>11.385999999999999</v>
      </c>
    </row>
    <row r="7" spans="1:34" x14ac:dyDescent="0.2">
      <c r="A7" t="s">
        <v>60</v>
      </c>
      <c r="C7">
        <v>10.962</v>
      </c>
      <c r="D7">
        <v>10.555</v>
      </c>
      <c r="E7">
        <v>8.8550000000000004</v>
      </c>
      <c r="F7">
        <v>7.9370000000000003</v>
      </c>
      <c r="G7">
        <v>5.8780000000000001</v>
      </c>
      <c r="H7">
        <v>5.4279999999999999</v>
      </c>
      <c r="I7">
        <v>4.9370000000000003</v>
      </c>
      <c r="J7">
        <v>4.1870000000000003</v>
      </c>
      <c r="K7">
        <v>6.5419999999999998</v>
      </c>
      <c r="L7">
        <v>2.4449999999999998</v>
      </c>
      <c r="M7">
        <v>22.132000000000001</v>
      </c>
      <c r="N7">
        <v>5.8940000000000001</v>
      </c>
      <c r="O7">
        <v>7.0460000000000003</v>
      </c>
      <c r="P7">
        <v>7.3239999999999998</v>
      </c>
      <c r="Q7">
        <v>7.7530000000000001</v>
      </c>
      <c r="R7">
        <v>7.2539999999999996</v>
      </c>
      <c r="S7">
        <v>6.1980000000000004</v>
      </c>
      <c r="T7">
        <v>6.01</v>
      </c>
      <c r="U7">
        <v>6.3780000000000001</v>
      </c>
      <c r="V7">
        <v>4.4279999999999999</v>
      </c>
      <c r="W7">
        <v>4.2519999999999998</v>
      </c>
      <c r="X7">
        <v>3.8540000000000001</v>
      </c>
      <c r="Y7">
        <v>3.23</v>
      </c>
      <c r="Z7">
        <v>2.411</v>
      </c>
      <c r="AA7">
        <v>3.7280000000000002</v>
      </c>
      <c r="AB7">
        <v>3.1160000000000001</v>
      </c>
      <c r="AC7">
        <v>1.9350000000000001</v>
      </c>
      <c r="AD7">
        <v>1.0620000000000001</v>
      </c>
      <c r="AE7">
        <v>4.8769999999999998</v>
      </c>
      <c r="AF7">
        <v>10.084</v>
      </c>
      <c r="AG7">
        <v>10.689</v>
      </c>
      <c r="AH7">
        <v>11.385999999999999</v>
      </c>
    </row>
    <row r="8" spans="1:34" x14ac:dyDescent="0.2">
      <c r="A8" t="s">
        <v>59</v>
      </c>
      <c r="N8">
        <v>0.8941221074296235</v>
      </c>
      <c r="O8">
        <v>1.8638322072224554</v>
      </c>
      <c r="P8">
        <v>1.7933787388460858</v>
      </c>
      <c r="Q8">
        <v>1.0609778885082528</v>
      </c>
      <c r="R8">
        <v>1.7264674420808901</v>
      </c>
      <c r="S8">
        <v>2.8090883241032865</v>
      </c>
      <c r="T8">
        <v>2.145321110855348</v>
      </c>
      <c r="U8">
        <v>1.7497027879706983</v>
      </c>
      <c r="V8">
        <v>0.75404384385197631</v>
      </c>
      <c r="W8">
        <v>1.652536796067865</v>
      </c>
      <c r="X8">
        <v>2.5055177176282619</v>
      </c>
      <c r="Y8">
        <v>1.7335192883159793</v>
      </c>
      <c r="Z8">
        <v>0.88619284253855612</v>
      </c>
      <c r="AA8">
        <v>0.33049436041866959</v>
      </c>
      <c r="AB8">
        <v>0.36611105845395597</v>
      </c>
      <c r="AC8">
        <v>0.80043329316344669</v>
      </c>
      <c r="AD8">
        <v>1.577436258513534</v>
      </c>
      <c r="AE8">
        <v>0.39721067526031434</v>
      </c>
      <c r="AF8">
        <v>1.1471761472113522</v>
      </c>
      <c r="AG8">
        <v>1.2098303386456879</v>
      </c>
      <c r="AH8">
        <v>1.6656655789202881</v>
      </c>
    </row>
    <row r="10" spans="1:34" s="1" customFormat="1" x14ac:dyDescent="0.2">
      <c r="A10" s="1" t="s">
        <v>387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 t="s">
        <v>283</v>
      </c>
      <c r="J10" s="1" t="s">
        <v>283</v>
      </c>
      <c r="K10" s="1" t="s">
        <v>283</v>
      </c>
      <c r="L10" s="1" t="s">
        <v>283</v>
      </c>
      <c r="M10" s="1" t="s">
        <v>283</v>
      </c>
      <c r="N10" s="1" t="s">
        <v>283</v>
      </c>
      <c r="O10" s="1" t="s">
        <v>283</v>
      </c>
      <c r="P10" s="1" t="s">
        <v>283</v>
      </c>
      <c r="Q10" s="1" t="s">
        <v>283</v>
      </c>
      <c r="R10" s="1" t="s">
        <v>283</v>
      </c>
      <c r="S10" s="1" t="s">
        <v>283</v>
      </c>
      <c r="T10" s="1" t="s">
        <v>283</v>
      </c>
      <c r="U10" s="1" t="s">
        <v>283</v>
      </c>
      <c r="V10" s="1" t="s">
        <v>283</v>
      </c>
      <c r="W10" s="1" t="s">
        <v>283</v>
      </c>
      <c r="X10" s="1" t="s">
        <v>283</v>
      </c>
      <c r="Y10" s="1" t="s">
        <v>283</v>
      </c>
      <c r="Z10" s="1" t="s">
        <v>283</v>
      </c>
      <c r="AA10" s="1" t="s">
        <v>283</v>
      </c>
    </row>
    <row r="11" spans="1:34" x14ac:dyDescent="0.2">
      <c r="A11" t="s">
        <v>63</v>
      </c>
      <c r="C11">
        <v>290.738</v>
      </c>
      <c r="D11">
        <v>266.46899999999999</v>
      </c>
      <c r="E11">
        <v>277.66399999999999</v>
      </c>
      <c r="F11">
        <v>318.69499999999999</v>
      </c>
      <c r="G11">
        <v>284.29300000000001</v>
      </c>
      <c r="H11">
        <v>240.59</v>
      </c>
      <c r="I11">
        <v>373.95699999999999</v>
      </c>
      <c r="J11">
        <v>239.53899999999999</v>
      </c>
      <c r="K11">
        <v>241.078</v>
      </c>
      <c r="L11">
        <v>245.375</v>
      </c>
      <c r="M11">
        <v>252.113</v>
      </c>
      <c r="N11">
        <v>242.75399999999999</v>
      </c>
      <c r="O11">
        <v>250.84399999999999</v>
      </c>
      <c r="P11">
        <v>243.22300000000001</v>
      </c>
      <c r="Q11">
        <v>238.37100000000001</v>
      </c>
      <c r="R11">
        <v>326.58600000000001</v>
      </c>
      <c r="S11">
        <v>328.83199999999999</v>
      </c>
      <c r="T11">
        <v>248.84</v>
      </c>
      <c r="U11">
        <v>242.49199999999999</v>
      </c>
      <c r="V11">
        <v>248.19900000000001</v>
      </c>
      <c r="W11">
        <v>299.70299999999997</v>
      </c>
      <c r="X11">
        <v>337.59399999999999</v>
      </c>
      <c r="Y11">
        <v>356.67599999999999</v>
      </c>
      <c r="Z11">
        <v>335.14800000000002</v>
      </c>
      <c r="AA11">
        <v>268.28500000000003</v>
      </c>
    </row>
    <row r="12" spans="1:34" x14ac:dyDescent="0.2">
      <c r="A12" t="s">
        <v>62</v>
      </c>
      <c r="C12">
        <v>81.00800000000001</v>
      </c>
      <c r="D12">
        <v>56.739000000000004</v>
      </c>
      <c r="E12">
        <v>67.933999999999997</v>
      </c>
      <c r="F12">
        <v>108.965</v>
      </c>
      <c r="G12">
        <v>74.563000000000017</v>
      </c>
      <c r="H12">
        <v>30.860000000000014</v>
      </c>
      <c r="I12">
        <v>164.227</v>
      </c>
      <c r="J12">
        <v>29.808999999999997</v>
      </c>
      <c r="K12">
        <v>31.348000000000013</v>
      </c>
      <c r="L12">
        <v>35.64500000000001</v>
      </c>
      <c r="M12">
        <v>42.38300000000001</v>
      </c>
      <c r="N12">
        <v>33.024000000000001</v>
      </c>
      <c r="O12">
        <v>41.114000000000004</v>
      </c>
      <c r="P12">
        <v>33.493000000000023</v>
      </c>
      <c r="Q12">
        <v>28.64100000000002</v>
      </c>
      <c r="R12">
        <v>116.85600000000002</v>
      </c>
      <c r="S12">
        <v>119.102</v>
      </c>
      <c r="T12">
        <v>39.110000000000014</v>
      </c>
      <c r="U12">
        <v>32.762</v>
      </c>
      <c r="V12">
        <v>38.469000000000023</v>
      </c>
      <c r="W12">
        <v>89.972999999999985</v>
      </c>
      <c r="X12">
        <v>127.864</v>
      </c>
      <c r="Y12">
        <v>146.946</v>
      </c>
      <c r="Z12">
        <v>125.41800000000003</v>
      </c>
      <c r="AA12">
        <v>58.555000000000035</v>
      </c>
    </row>
    <row r="13" spans="1:34" x14ac:dyDescent="0.2">
      <c r="A13" t="s">
        <v>61</v>
      </c>
      <c r="C13">
        <v>11.092000000000001</v>
      </c>
      <c r="D13">
        <v>10.715999999999999</v>
      </c>
      <c r="E13">
        <v>6.3220000000000001</v>
      </c>
      <c r="F13">
        <v>5.6829999999999998</v>
      </c>
      <c r="G13">
        <v>5.0069999999999997</v>
      </c>
      <c r="H13">
        <v>2.7240000000000002</v>
      </c>
      <c r="I13">
        <v>5.92</v>
      </c>
      <c r="J13">
        <v>5.4</v>
      </c>
      <c r="K13">
        <v>4.3150000000000004</v>
      </c>
      <c r="L13">
        <v>2.5110000000000001</v>
      </c>
      <c r="M13">
        <v>1.9350000000000001</v>
      </c>
      <c r="N13">
        <v>7.4930000000000003</v>
      </c>
      <c r="O13">
        <v>6.5060000000000002</v>
      </c>
      <c r="P13">
        <v>6.4509999999999996</v>
      </c>
      <c r="Q13">
        <v>5.5629999999999997</v>
      </c>
      <c r="R13">
        <v>4.0330000000000004</v>
      </c>
      <c r="S13">
        <v>3.3210000000000002</v>
      </c>
      <c r="T13">
        <v>3.2869999999999999</v>
      </c>
      <c r="U13">
        <v>3.8170000000000002</v>
      </c>
      <c r="V13">
        <v>1.9970000000000001</v>
      </c>
      <c r="W13">
        <v>1.2949999999999999</v>
      </c>
      <c r="X13">
        <v>10.227</v>
      </c>
      <c r="Y13">
        <v>9.8559999999999999</v>
      </c>
      <c r="Z13">
        <v>10.617000000000001</v>
      </c>
      <c r="AA13">
        <v>11.286</v>
      </c>
    </row>
    <row r="14" spans="1:34" x14ac:dyDescent="0.2">
      <c r="A14" t="s">
        <v>60</v>
      </c>
      <c r="C14">
        <v>11.136986306896494</v>
      </c>
      <c r="D14">
        <v>10.76255806023828</v>
      </c>
      <c r="E14">
        <v>6.4006002843483358</v>
      </c>
      <c r="F14">
        <v>5.7703109968181092</v>
      </c>
      <c r="G14">
        <v>5.1058837628759228</v>
      </c>
      <c r="H14">
        <v>2.9017539523536451</v>
      </c>
      <c r="I14">
        <v>6.0038654215430247</v>
      </c>
      <c r="J14">
        <v>5.4918120870983929</v>
      </c>
      <c r="K14">
        <v>4.4293594345006593</v>
      </c>
      <c r="L14">
        <v>2.7027987346452567</v>
      </c>
      <c r="M14">
        <v>2.1781241929697215</v>
      </c>
      <c r="N14">
        <v>7.5594344365170603</v>
      </c>
      <c r="O14">
        <v>6.5824035123957572</v>
      </c>
      <c r="P14">
        <v>6.5280472577946309</v>
      </c>
      <c r="Q14">
        <v>5.6521649834377623</v>
      </c>
      <c r="R14">
        <v>4.1551280365350962</v>
      </c>
      <c r="S14">
        <v>3.4682907894235169</v>
      </c>
      <c r="T14">
        <v>3.4357486811465123</v>
      </c>
      <c r="U14">
        <v>3.9458191798408606</v>
      </c>
      <c r="V14">
        <v>2.2333850989025605</v>
      </c>
      <c r="W14">
        <v>1.6361616668288008</v>
      </c>
      <c r="X14">
        <v>10.275773888131249</v>
      </c>
      <c r="Y14">
        <v>9.9066006278642327</v>
      </c>
      <c r="Z14">
        <v>10.663990294444197</v>
      </c>
      <c r="AA14">
        <v>11.33021606148797</v>
      </c>
    </row>
    <row r="15" spans="1:34" x14ac:dyDescent="0.2">
      <c r="A15" t="s">
        <v>59</v>
      </c>
      <c r="I15">
        <v>2.6684413632486153</v>
      </c>
      <c r="J15">
        <v>0.48435134659390944</v>
      </c>
      <c r="K15">
        <v>0.50935777828930462</v>
      </c>
      <c r="L15">
        <v>0.57917755541413363</v>
      </c>
      <c r="M15">
        <v>0.68865990548792888</v>
      </c>
      <c r="N15">
        <v>0.53659025361190471</v>
      </c>
      <c r="O15">
        <v>0.66804056707242765</v>
      </c>
      <c r="P15">
        <v>0.54421079712401699</v>
      </c>
      <c r="Q15">
        <v>0.46537310603496163</v>
      </c>
      <c r="R15">
        <v>1.8987339715380556</v>
      </c>
      <c r="S15">
        <v>1.9352280882293205</v>
      </c>
      <c r="T15">
        <v>0.63547858583943795</v>
      </c>
      <c r="U15">
        <v>0.53233314828104472</v>
      </c>
      <c r="V15">
        <v>0.62506330142309763</v>
      </c>
      <c r="W15">
        <v>1.4619257173032913</v>
      </c>
      <c r="X15">
        <v>2.0775973894086901</v>
      </c>
      <c r="Y15">
        <v>2.3876511448417803</v>
      </c>
      <c r="Z15">
        <v>2.0378535739915784</v>
      </c>
      <c r="AA15">
        <v>0.95143054445994124</v>
      </c>
    </row>
    <row r="17" spans="1:37" s="1" customFormat="1" x14ac:dyDescent="0.2">
      <c r="A17" s="1" t="s">
        <v>388</v>
      </c>
      <c r="C17" s="1" t="s">
        <v>283</v>
      </c>
      <c r="D17" s="1" t="s">
        <v>283</v>
      </c>
      <c r="E17" s="1" t="s">
        <v>283</v>
      </c>
      <c r="F17" s="1" t="s">
        <v>283</v>
      </c>
      <c r="G17" s="1" t="s">
        <v>283</v>
      </c>
    </row>
    <row r="18" spans="1:37" x14ac:dyDescent="0.2">
      <c r="A18" t="s">
        <v>63</v>
      </c>
      <c r="C18">
        <v>237.26599999999999</v>
      </c>
      <c r="D18">
        <v>231.797</v>
      </c>
      <c r="E18">
        <v>256.5</v>
      </c>
      <c r="F18">
        <v>235.57</v>
      </c>
      <c r="G18">
        <v>244.316</v>
      </c>
    </row>
    <row r="19" spans="1:37" x14ac:dyDescent="0.2">
      <c r="A19" t="s">
        <v>62</v>
      </c>
      <c r="C19">
        <v>27.536000000000001</v>
      </c>
      <c r="D19">
        <v>22.067000000000007</v>
      </c>
      <c r="E19">
        <v>46.77000000000001</v>
      </c>
      <c r="F19">
        <v>25.840000000000003</v>
      </c>
      <c r="G19">
        <v>34.586000000000013</v>
      </c>
    </row>
    <row r="20" spans="1:37" x14ac:dyDescent="0.2">
      <c r="A20" t="s">
        <v>61</v>
      </c>
      <c r="C20">
        <v>5.8789999999999996</v>
      </c>
      <c r="D20">
        <v>5.4720000000000004</v>
      </c>
      <c r="E20">
        <v>2.17</v>
      </c>
      <c r="F20">
        <v>0.46</v>
      </c>
      <c r="G20">
        <v>9.9220000000000006</v>
      </c>
    </row>
    <row r="21" spans="1:37" x14ac:dyDescent="0.2">
      <c r="A21" t="s">
        <v>60</v>
      </c>
      <c r="C21">
        <v>6.2098825270692517</v>
      </c>
      <c r="D21">
        <v>5.8260435975025109</v>
      </c>
      <c r="E21">
        <v>2.9510845463998487</v>
      </c>
      <c r="F21">
        <v>2.0522183119736552</v>
      </c>
      <c r="G21">
        <v>10.121565293965158</v>
      </c>
    </row>
    <row r="22" spans="1:37" x14ac:dyDescent="0.2">
      <c r="A22" t="s">
        <v>59</v>
      </c>
      <c r="C22">
        <v>0.44741852057465509</v>
      </c>
      <c r="D22">
        <v>0.35855550891636101</v>
      </c>
      <c r="E22">
        <v>0.75994204703938917</v>
      </c>
      <c r="F22">
        <v>0.41986107537947009</v>
      </c>
      <c r="G22">
        <v>0.56197040066077231</v>
      </c>
    </row>
    <row r="24" spans="1:37" s="1" customFormat="1" x14ac:dyDescent="0.2">
      <c r="A24" s="1" t="s">
        <v>389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 t="s">
        <v>283</v>
      </c>
      <c r="P24" s="1" t="s">
        <v>283</v>
      </c>
      <c r="Q24" s="1" t="s">
        <v>283</v>
      </c>
      <c r="R24" s="1" t="s">
        <v>283</v>
      </c>
      <c r="S24" s="1" t="s">
        <v>283</v>
      </c>
      <c r="T24" s="1" t="s">
        <v>283</v>
      </c>
      <c r="U24" s="1" t="s">
        <v>283</v>
      </c>
      <c r="V24" s="1" t="s">
        <v>283</v>
      </c>
      <c r="W24" s="1" t="s">
        <v>283</v>
      </c>
      <c r="X24" s="1" t="s">
        <v>283</v>
      </c>
      <c r="Y24" s="1" t="s">
        <v>283</v>
      </c>
      <c r="Z24" s="1" t="s">
        <v>283</v>
      </c>
      <c r="AA24" s="1" t="s">
        <v>283</v>
      </c>
      <c r="AB24" s="1" t="s">
        <v>283</v>
      </c>
      <c r="AC24" s="1" t="s">
        <v>283</v>
      </c>
      <c r="AD24" s="1" t="s">
        <v>283</v>
      </c>
      <c r="AE24" s="1" t="s">
        <v>283</v>
      </c>
      <c r="AF24" s="1" t="s">
        <v>283</v>
      </c>
      <c r="AG24" s="1" t="s">
        <v>283</v>
      </c>
      <c r="AH24" s="1" t="s">
        <v>283</v>
      </c>
      <c r="AI24" s="1" t="s">
        <v>283</v>
      </c>
      <c r="AJ24" s="1" t="s">
        <v>283</v>
      </c>
      <c r="AK24" s="1" t="s">
        <v>283</v>
      </c>
    </row>
    <row r="25" spans="1:37" x14ac:dyDescent="0.2">
      <c r="A25" t="s">
        <v>63</v>
      </c>
      <c r="C25">
        <v>246.91</v>
      </c>
      <c r="D25">
        <v>261.17200000000003</v>
      </c>
      <c r="E25">
        <v>229.64500000000001</v>
      </c>
      <c r="F25">
        <v>249.066</v>
      </c>
      <c r="G25">
        <v>265.09800000000001</v>
      </c>
      <c r="H25">
        <v>250.25</v>
      </c>
      <c r="I25">
        <v>246.773</v>
      </c>
      <c r="J25">
        <v>290.74599999999998</v>
      </c>
      <c r="K25">
        <v>259.32</v>
      </c>
      <c r="L25">
        <v>242.66800000000001</v>
      </c>
      <c r="M25">
        <v>254.64099999999999</v>
      </c>
      <c r="N25">
        <v>259.74599999999998</v>
      </c>
      <c r="O25">
        <v>229.547</v>
      </c>
      <c r="P25">
        <v>236.09</v>
      </c>
      <c r="Q25">
        <v>228.66800000000001</v>
      </c>
      <c r="R25">
        <v>230.63300000000001</v>
      </c>
      <c r="S25">
        <v>252.95699999999999</v>
      </c>
      <c r="T25">
        <v>231.77</v>
      </c>
      <c r="U25">
        <v>234.184</v>
      </c>
      <c r="V25">
        <v>232.15199999999999</v>
      </c>
      <c r="W25">
        <v>243.74600000000001</v>
      </c>
      <c r="X25">
        <v>231.988</v>
      </c>
      <c r="Y25">
        <v>231.363</v>
      </c>
      <c r="Z25">
        <v>300.03899999999999</v>
      </c>
      <c r="AA25">
        <v>265.39100000000002</v>
      </c>
      <c r="AB25">
        <v>398.32</v>
      </c>
      <c r="AC25">
        <v>300.18</v>
      </c>
      <c r="AD25">
        <v>271.637</v>
      </c>
      <c r="AE25">
        <v>288.22699999999998</v>
      </c>
      <c r="AF25">
        <v>275.71899999999999</v>
      </c>
      <c r="AG25">
        <v>287.32400000000001</v>
      </c>
      <c r="AH25">
        <v>270.05099999999999</v>
      </c>
      <c r="AI25">
        <v>241.69900000000001</v>
      </c>
      <c r="AJ25">
        <v>235.67599999999999</v>
      </c>
      <c r="AK25">
        <v>360.39100000000002</v>
      </c>
    </row>
    <row r="26" spans="1:37" x14ac:dyDescent="0.2">
      <c r="A26" t="s">
        <v>62</v>
      </c>
      <c r="C26">
        <v>37.180000000000007</v>
      </c>
      <c r="D26">
        <v>51.442000000000036</v>
      </c>
      <c r="E26">
        <v>19.91500000000002</v>
      </c>
      <c r="F26">
        <v>39.336000000000013</v>
      </c>
      <c r="G26">
        <v>55.368000000000023</v>
      </c>
      <c r="H26">
        <v>40.52000000000001</v>
      </c>
      <c r="I26">
        <v>37.043000000000006</v>
      </c>
      <c r="J26">
        <v>81.015999999999991</v>
      </c>
      <c r="K26">
        <v>49.59</v>
      </c>
      <c r="L26">
        <v>32.938000000000017</v>
      </c>
      <c r="M26">
        <v>44.911000000000001</v>
      </c>
      <c r="N26">
        <v>50.015999999999991</v>
      </c>
      <c r="O26">
        <v>19.817000000000007</v>
      </c>
      <c r="P26">
        <v>26.360000000000014</v>
      </c>
      <c r="Q26">
        <v>18.938000000000017</v>
      </c>
      <c r="R26">
        <v>20.90300000000002</v>
      </c>
      <c r="S26">
        <v>43.227000000000004</v>
      </c>
      <c r="T26">
        <v>22.04000000000002</v>
      </c>
      <c r="U26">
        <v>24.454000000000008</v>
      </c>
      <c r="V26">
        <v>22.421999999999997</v>
      </c>
      <c r="W26">
        <v>34.01600000000002</v>
      </c>
      <c r="X26">
        <v>22.25800000000001</v>
      </c>
      <c r="Y26">
        <v>21.63300000000001</v>
      </c>
      <c r="Z26">
        <v>90.308999999999997</v>
      </c>
      <c r="AA26">
        <v>55.66100000000003</v>
      </c>
      <c r="AB26">
        <v>188.59</v>
      </c>
      <c r="AC26">
        <v>90.450000000000017</v>
      </c>
      <c r="AD26">
        <v>61.907000000000011</v>
      </c>
      <c r="AE26">
        <v>78.496999999999986</v>
      </c>
      <c r="AF26">
        <v>65.989000000000004</v>
      </c>
      <c r="AG26">
        <v>77.594000000000023</v>
      </c>
      <c r="AH26">
        <v>60.320999999999998</v>
      </c>
      <c r="AI26">
        <v>31.969000000000023</v>
      </c>
      <c r="AJ26">
        <v>25.945999999999998</v>
      </c>
      <c r="AK26">
        <v>150.66100000000003</v>
      </c>
    </row>
    <row r="27" spans="1:37" x14ac:dyDescent="0.2">
      <c r="A27" t="s">
        <v>61</v>
      </c>
      <c r="C27">
        <v>25.233000000000001</v>
      </c>
      <c r="D27">
        <v>22.294</v>
      </c>
      <c r="E27">
        <v>18.023</v>
      </c>
      <c r="F27">
        <v>16.449000000000002</v>
      </c>
      <c r="G27">
        <v>13.736000000000001</v>
      </c>
      <c r="H27">
        <v>9.0259999999999998</v>
      </c>
      <c r="I27">
        <v>8.1969999999999992</v>
      </c>
      <c r="J27">
        <v>4.3319999999999999</v>
      </c>
      <c r="K27">
        <v>1.383</v>
      </c>
      <c r="L27">
        <v>12.661</v>
      </c>
      <c r="M27">
        <v>3.9470000000000001</v>
      </c>
      <c r="N27">
        <v>4.1260000000000003</v>
      </c>
      <c r="O27">
        <v>24.388000000000002</v>
      </c>
      <c r="P27">
        <v>24.106000000000002</v>
      </c>
      <c r="Q27">
        <v>11.127000000000001</v>
      </c>
      <c r="R27">
        <v>10.676</v>
      </c>
      <c r="S27">
        <v>9.048</v>
      </c>
      <c r="T27">
        <v>6.3929999999999998</v>
      </c>
      <c r="U27">
        <v>6.9619999999999997</v>
      </c>
      <c r="V27">
        <v>6.7709999999999999</v>
      </c>
      <c r="W27">
        <v>6.6150000000000002</v>
      </c>
      <c r="X27">
        <v>7.7590000000000003</v>
      </c>
      <c r="Y27">
        <v>11.221</v>
      </c>
      <c r="Z27">
        <v>7.12</v>
      </c>
      <c r="AA27">
        <v>7.2839999999999998</v>
      </c>
      <c r="AB27">
        <v>7.7830000000000004</v>
      </c>
      <c r="AC27">
        <v>7.242</v>
      </c>
      <c r="AD27">
        <v>6.27</v>
      </c>
      <c r="AE27">
        <v>5.9589999999999996</v>
      </c>
      <c r="AF27">
        <v>5.5890000000000004</v>
      </c>
      <c r="AG27">
        <v>5.2670000000000003</v>
      </c>
      <c r="AH27">
        <v>4.1890000000000001</v>
      </c>
      <c r="AI27">
        <v>3.6309999999999998</v>
      </c>
      <c r="AJ27">
        <v>0.51400000000000001</v>
      </c>
      <c r="AK27">
        <v>4.9249999999999998</v>
      </c>
    </row>
    <row r="28" spans="1:37" x14ac:dyDescent="0.2">
      <c r="A28" t="s">
        <v>60</v>
      </c>
      <c r="C28">
        <v>25.252807546884764</v>
      </c>
      <c r="D28">
        <v>22.316416289359722</v>
      </c>
      <c r="E28">
        <v>18.0507210105303</v>
      </c>
      <c r="F28">
        <v>16.47936895029661</v>
      </c>
      <c r="G28">
        <v>13.772352594963579</v>
      </c>
      <c r="H28">
        <v>9.0812265691370122</v>
      </c>
      <c r="I28">
        <v>8.2577726415783559</v>
      </c>
      <c r="J28">
        <v>4.4459221765568495</v>
      </c>
      <c r="K28">
        <v>1.7066601887897896</v>
      </c>
      <c r="L28">
        <v>12.700429953351973</v>
      </c>
      <c r="M28">
        <v>4.071708363819786</v>
      </c>
      <c r="N28">
        <v>4.2454535682303725</v>
      </c>
      <c r="O28">
        <v>24.408493275907059</v>
      </c>
      <c r="P28">
        <v>24.126732808235769</v>
      </c>
      <c r="Q28">
        <v>11.171845371289383</v>
      </c>
      <c r="R28">
        <v>10.722731741491998</v>
      </c>
      <c r="S28">
        <v>9.1030931006993434</v>
      </c>
      <c r="T28">
        <v>6.4707379022797697</v>
      </c>
      <c r="U28">
        <v>7.0334517841526427</v>
      </c>
      <c r="V28">
        <v>6.8444459965726958</v>
      </c>
      <c r="W28">
        <v>6.6901588172479141</v>
      </c>
      <c r="X28">
        <v>7.8231758896243671</v>
      </c>
      <c r="Y28">
        <v>11.265471184109433</v>
      </c>
      <c r="Z28">
        <v>7.1898817792784326</v>
      </c>
      <c r="AA28">
        <v>7.35232317026394</v>
      </c>
      <c r="AB28">
        <v>7.8469796100155635</v>
      </c>
      <c r="AC28">
        <v>7.310715696838443</v>
      </c>
      <c r="AD28">
        <v>6.3492440494912454</v>
      </c>
      <c r="AE28">
        <v>6.042324138938592</v>
      </c>
      <c r="AF28">
        <v>5.6777566872841607</v>
      </c>
      <c r="AG28">
        <v>5.3610902809036896</v>
      </c>
      <c r="AH28">
        <v>4.3067065142635386</v>
      </c>
      <c r="AI28">
        <v>3.7661865328206989</v>
      </c>
      <c r="AJ28">
        <v>1.124364709513777</v>
      </c>
      <c r="AK28">
        <v>5.0254974878115295</v>
      </c>
    </row>
    <row r="29" spans="1:37" x14ac:dyDescent="0.2">
      <c r="A29" t="s">
        <v>59</v>
      </c>
      <c r="O29">
        <v>0.32199639825057896</v>
      </c>
      <c r="P29">
        <v>0.4283102920666732</v>
      </c>
      <c r="Q29">
        <v>0.30771397235048026</v>
      </c>
      <c r="R29">
        <v>0.33964226233192996</v>
      </c>
      <c r="S29">
        <v>0.70237363411100429</v>
      </c>
      <c r="T29">
        <v>0.35811679958837184</v>
      </c>
      <c r="U29">
        <v>0.39734066320934841</v>
      </c>
      <c r="V29">
        <v>0.36432372415473974</v>
      </c>
      <c r="W29">
        <v>0.55270875929210761</v>
      </c>
      <c r="X29">
        <v>0.36165897119954521</v>
      </c>
      <c r="Y29">
        <v>0.35150366268127242</v>
      </c>
      <c r="Z29">
        <v>1.467385211162715</v>
      </c>
      <c r="AA29">
        <v>0.90440740389693086</v>
      </c>
      <c r="AB29">
        <v>3.0643034135377034</v>
      </c>
      <c r="AC29">
        <v>1.4696762487644377</v>
      </c>
      <c r="AD29">
        <v>1.0058954951051415</v>
      </c>
      <c r="AE29">
        <v>1.2754580044141739</v>
      </c>
      <c r="AF29">
        <v>1.0722218460996846</v>
      </c>
      <c r="AG29">
        <v>1.2607856146669738</v>
      </c>
      <c r="AH29">
        <v>0.98012538420917217</v>
      </c>
      <c r="AI29">
        <v>0.51944809283306059</v>
      </c>
      <c r="AJ29">
        <v>0.42158341570416902</v>
      </c>
      <c r="AK29">
        <v>2.4480142986743942</v>
      </c>
    </row>
    <row r="31" spans="1:37" s="1" customFormat="1" x14ac:dyDescent="0.2">
      <c r="A31" s="1" t="s">
        <v>390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 t="s">
        <v>283</v>
      </c>
      <c r="O31" s="1" t="s">
        <v>283</v>
      </c>
      <c r="P31" s="1" t="s">
        <v>283</v>
      </c>
      <c r="Q31" s="1" t="s">
        <v>283</v>
      </c>
      <c r="R31" s="1" t="s">
        <v>283</v>
      </c>
      <c r="S31" s="1" t="s">
        <v>283</v>
      </c>
      <c r="T31" s="1" t="s">
        <v>283</v>
      </c>
      <c r="U31" s="1" t="s">
        <v>283</v>
      </c>
      <c r="V31" s="1" t="s">
        <v>283</v>
      </c>
      <c r="W31" s="1" t="s">
        <v>283</v>
      </c>
      <c r="X31" s="1" t="s">
        <v>283</v>
      </c>
      <c r="Y31" s="1" t="s">
        <v>283</v>
      </c>
      <c r="Z31" s="1" t="s">
        <v>283</v>
      </c>
    </row>
    <row r="32" spans="1:37" x14ac:dyDescent="0.2">
      <c r="A32" t="s">
        <v>63</v>
      </c>
      <c r="C32">
        <v>301.19499999999999</v>
      </c>
      <c r="D32">
        <v>269.57400000000001</v>
      </c>
      <c r="E32">
        <v>270.33199999999999</v>
      </c>
      <c r="F32">
        <v>293.82799999999997</v>
      </c>
      <c r="G32">
        <v>263.02699999999999</v>
      </c>
      <c r="H32">
        <v>296.863</v>
      </c>
      <c r="I32">
        <v>275.06200000000001</v>
      </c>
      <c r="J32">
        <v>245.578</v>
      </c>
      <c r="K32">
        <v>331.77699999999999</v>
      </c>
      <c r="L32">
        <v>282.38299999999998</v>
      </c>
      <c r="M32">
        <v>328.90600000000001</v>
      </c>
      <c r="N32">
        <v>231.93</v>
      </c>
      <c r="O32">
        <v>228.523</v>
      </c>
      <c r="P32">
        <v>231.41800000000001</v>
      </c>
      <c r="Q32">
        <v>224.13300000000001</v>
      </c>
      <c r="R32">
        <v>226.715</v>
      </c>
      <c r="S32">
        <v>232.37100000000001</v>
      </c>
      <c r="T32">
        <v>252.38300000000001</v>
      </c>
      <c r="U32">
        <v>300.988</v>
      </c>
      <c r="V32">
        <v>239.23400000000001</v>
      </c>
      <c r="W32">
        <v>249.46899999999999</v>
      </c>
      <c r="X32">
        <v>232.83600000000001</v>
      </c>
      <c r="Y32">
        <v>240.82</v>
      </c>
      <c r="Z32">
        <v>286.17200000000003</v>
      </c>
    </row>
    <row r="33" spans="1:26" x14ac:dyDescent="0.2">
      <c r="A33" t="s">
        <v>62</v>
      </c>
      <c r="C33">
        <v>91.465000000000003</v>
      </c>
      <c r="D33">
        <v>59.844000000000023</v>
      </c>
      <c r="E33">
        <v>60.602000000000004</v>
      </c>
      <c r="F33">
        <v>84.097999999999985</v>
      </c>
      <c r="G33">
        <v>53.296999999999997</v>
      </c>
      <c r="H33">
        <v>87.13300000000001</v>
      </c>
      <c r="I33">
        <v>65.332000000000022</v>
      </c>
      <c r="J33">
        <v>35.848000000000013</v>
      </c>
      <c r="K33">
        <v>122.047</v>
      </c>
      <c r="L33">
        <v>72.652999999999992</v>
      </c>
      <c r="M33">
        <v>119.17600000000002</v>
      </c>
      <c r="N33">
        <v>22.200000000000017</v>
      </c>
      <c r="O33">
        <v>18.793000000000006</v>
      </c>
      <c r="P33">
        <v>21.688000000000017</v>
      </c>
      <c r="Q33">
        <v>14.40300000000002</v>
      </c>
      <c r="R33">
        <v>16.985000000000014</v>
      </c>
      <c r="S33">
        <v>22.64100000000002</v>
      </c>
      <c r="T33">
        <v>42.65300000000002</v>
      </c>
      <c r="U33">
        <v>91.25800000000001</v>
      </c>
      <c r="V33">
        <v>29.504000000000019</v>
      </c>
      <c r="W33">
        <v>39.739000000000004</v>
      </c>
      <c r="X33">
        <v>23.106000000000023</v>
      </c>
      <c r="Y33">
        <v>31.090000000000003</v>
      </c>
      <c r="Z33">
        <v>76.442000000000036</v>
      </c>
    </row>
    <row r="34" spans="1:26" x14ac:dyDescent="0.2">
      <c r="A34" t="s">
        <v>61</v>
      </c>
      <c r="C34">
        <v>24.202999999999999</v>
      </c>
      <c r="D34">
        <v>17.376999999999999</v>
      </c>
      <c r="E34">
        <v>13.512</v>
      </c>
      <c r="F34">
        <v>9.5839999999999996</v>
      </c>
      <c r="G34">
        <v>7.1340000000000003</v>
      </c>
      <c r="H34">
        <v>6.5279999999999996</v>
      </c>
      <c r="I34">
        <v>4.6980000000000004</v>
      </c>
      <c r="J34">
        <v>6.8979999999999997</v>
      </c>
      <c r="K34">
        <v>7.7850000000000001</v>
      </c>
      <c r="L34">
        <v>7.5350000000000001</v>
      </c>
      <c r="M34">
        <v>6.7809999999999997</v>
      </c>
      <c r="N34">
        <v>18.350000000000001</v>
      </c>
      <c r="O34">
        <v>16.486999999999998</v>
      </c>
      <c r="P34">
        <v>11.404999999999999</v>
      </c>
      <c r="Q34">
        <v>25.295000000000002</v>
      </c>
      <c r="R34">
        <v>24.57</v>
      </c>
      <c r="S34">
        <v>17.902000000000001</v>
      </c>
      <c r="T34">
        <v>7.681</v>
      </c>
      <c r="U34">
        <v>8.5380000000000003</v>
      </c>
      <c r="V34">
        <v>0.46</v>
      </c>
      <c r="W34">
        <v>0.19500000000000001</v>
      </c>
      <c r="X34">
        <v>3.923</v>
      </c>
      <c r="Y34">
        <v>4.2450000000000001</v>
      </c>
      <c r="Z34">
        <v>5.08</v>
      </c>
    </row>
    <row r="35" spans="1:26" x14ac:dyDescent="0.2">
      <c r="A35" t="s">
        <v>60</v>
      </c>
      <c r="C35">
        <v>24.285493797738599</v>
      </c>
      <c r="D35">
        <v>17.491716010729192</v>
      </c>
      <c r="E35">
        <v>13.659214618710697</v>
      </c>
      <c r="F35">
        <v>9.7904573948309483</v>
      </c>
      <c r="G35">
        <v>7.4090455525661332</v>
      </c>
      <c r="H35">
        <v>6.8275020322223261</v>
      </c>
      <c r="I35">
        <v>5.1059968664306883</v>
      </c>
      <c r="J35">
        <v>7.182089111115233</v>
      </c>
      <c r="K35">
        <v>8.0377997611286638</v>
      </c>
      <c r="L35">
        <v>7.7959107870729261</v>
      </c>
      <c r="M35">
        <v>7.0697921468739091</v>
      </c>
      <c r="N35">
        <v>18.458670049599998</v>
      </c>
      <c r="O35">
        <v>16.607864673099908</v>
      </c>
      <c r="P35">
        <v>11.579033854342079</v>
      </c>
      <c r="Q35">
        <v>25.373943820383936</v>
      </c>
      <c r="R35">
        <v>24.651265687586914</v>
      </c>
      <c r="S35">
        <v>18.013372921249371</v>
      </c>
      <c r="T35">
        <v>7.9371128881980759</v>
      </c>
      <c r="U35">
        <v>8.7691187698650772</v>
      </c>
      <c r="V35">
        <v>2.0522183119736552</v>
      </c>
      <c r="W35">
        <v>2.0094837645524781</v>
      </c>
      <c r="X35">
        <v>4.4033997093155195</v>
      </c>
      <c r="Y35">
        <v>4.6925499464576825</v>
      </c>
      <c r="Z35">
        <v>5.4595237887566714</v>
      </c>
    </row>
    <row r="36" spans="1:26" x14ac:dyDescent="0.2">
      <c r="A36" t="s">
        <v>59</v>
      </c>
      <c r="N36">
        <v>0.36071655856904961</v>
      </c>
      <c r="O36">
        <v>0.30535794077424083</v>
      </c>
      <c r="P36">
        <v>0.35239732983088051</v>
      </c>
      <c r="Q36">
        <v>0.234027053741893</v>
      </c>
      <c r="R36">
        <v>0.27598066429258145</v>
      </c>
      <c r="S36">
        <v>0.36788214425954291</v>
      </c>
      <c r="T36">
        <v>0.69304699876782283</v>
      </c>
      <c r="U36">
        <v>1.4828050316168606</v>
      </c>
      <c r="V36">
        <v>0.47939555603699269</v>
      </c>
      <c r="W36">
        <v>0.64569888833222755</v>
      </c>
      <c r="X36">
        <v>0.37543769379713793</v>
      </c>
      <c r="Y36">
        <v>0.5051656669329615</v>
      </c>
      <c r="Z36">
        <v>1.2420673500060937</v>
      </c>
    </row>
    <row r="38" spans="1:26" s="1" customFormat="1" x14ac:dyDescent="0.2">
      <c r="A38" s="1" t="s">
        <v>391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 t="s">
        <v>283</v>
      </c>
      <c r="P38" s="1" t="s">
        <v>283</v>
      </c>
      <c r="Q38" s="1" t="s">
        <v>283</v>
      </c>
      <c r="R38" s="1" t="s">
        <v>283</v>
      </c>
      <c r="S38" s="1" t="s">
        <v>283</v>
      </c>
      <c r="T38" s="1" t="s">
        <v>283</v>
      </c>
      <c r="U38" s="1" t="s">
        <v>283</v>
      </c>
      <c r="V38" s="1" t="s">
        <v>283</v>
      </c>
    </row>
    <row r="39" spans="1:26" x14ac:dyDescent="0.2">
      <c r="A39" t="s">
        <v>63</v>
      </c>
      <c r="C39">
        <v>240.5</v>
      </c>
      <c r="D39">
        <v>227.63300000000001</v>
      </c>
      <c r="E39">
        <v>293.92599999999999</v>
      </c>
      <c r="F39">
        <v>244.28100000000001</v>
      </c>
      <c r="G39">
        <v>255.57400000000001</v>
      </c>
      <c r="H39">
        <v>248.77</v>
      </c>
      <c r="I39">
        <v>247.387</v>
      </c>
      <c r="J39">
        <v>257.29300000000001</v>
      </c>
      <c r="K39">
        <v>241.94499999999999</v>
      </c>
      <c r="L39">
        <v>292.27300000000002</v>
      </c>
      <c r="M39">
        <v>283.875</v>
      </c>
      <c r="N39">
        <v>327.20699999999999</v>
      </c>
      <c r="O39">
        <v>253.75399999999999</v>
      </c>
      <c r="P39">
        <v>309.68400000000003</v>
      </c>
      <c r="Q39">
        <v>353.5</v>
      </c>
      <c r="R39">
        <v>411.43799999999999</v>
      </c>
      <c r="S39">
        <v>258.35199999999998</v>
      </c>
      <c r="T39">
        <v>304.02</v>
      </c>
      <c r="U39">
        <v>256.887</v>
      </c>
      <c r="V39">
        <v>278.39100000000002</v>
      </c>
    </row>
    <row r="40" spans="1:26" x14ac:dyDescent="0.2">
      <c r="A40" t="s">
        <v>62</v>
      </c>
      <c r="C40">
        <v>30.77000000000001</v>
      </c>
      <c r="D40">
        <v>17.90300000000002</v>
      </c>
      <c r="E40">
        <v>84.195999999999998</v>
      </c>
      <c r="F40">
        <v>34.551000000000016</v>
      </c>
      <c r="G40">
        <v>45.844000000000023</v>
      </c>
      <c r="H40">
        <v>39.04000000000002</v>
      </c>
      <c r="I40">
        <v>37.657000000000011</v>
      </c>
      <c r="J40">
        <v>47.563000000000017</v>
      </c>
      <c r="K40">
        <v>32.215000000000003</v>
      </c>
      <c r="L40">
        <v>82.543000000000035</v>
      </c>
      <c r="M40">
        <v>74.14500000000001</v>
      </c>
      <c r="N40">
        <v>117.477</v>
      </c>
      <c r="O40">
        <v>44.024000000000001</v>
      </c>
      <c r="P40">
        <v>99.954000000000036</v>
      </c>
      <c r="Q40">
        <v>143.77000000000001</v>
      </c>
      <c r="R40">
        <v>201.708</v>
      </c>
      <c r="S40">
        <v>48.621999999999986</v>
      </c>
      <c r="T40">
        <v>94.289999999999992</v>
      </c>
      <c r="U40">
        <v>47.157000000000011</v>
      </c>
      <c r="V40">
        <v>68.66100000000003</v>
      </c>
    </row>
    <row r="41" spans="1:26" x14ac:dyDescent="0.2">
      <c r="A41" t="s">
        <v>61</v>
      </c>
      <c r="C41">
        <v>21.021000000000001</v>
      </c>
      <c r="D41">
        <v>21.497</v>
      </c>
      <c r="E41">
        <v>17.465</v>
      </c>
      <c r="F41">
        <v>18.577000000000002</v>
      </c>
      <c r="G41">
        <v>13.648999999999999</v>
      </c>
      <c r="H41">
        <v>18.027999999999999</v>
      </c>
      <c r="I41">
        <v>15.058999999999999</v>
      </c>
      <c r="J41">
        <v>11.893000000000001</v>
      </c>
      <c r="K41">
        <v>11.445</v>
      </c>
      <c r="L41">
        <v>7.8929999999999998</v>
      </c>
      <c r="M41">
        <v>7.6429999999999998</v>
      </c>
      <c r="N41">
        <v>6.8659999999999997</v>
      </c>
      <c r="O41">
        <v>24.329000000000001</v>
      </c>
      <c r="P41">
        <v>11.358000000000001</v>
      </c>
      <c r="Q41">
        <v>9.2560000000000002</v>
      </c>
      <c r="R41">
        <v>9.49</v>
      </c>
      <c r="S41">
        <v>6.6289999999999996</v>
      </c>
      <c r="T41">
        <v>4.79</v>
      </c>
      <c r="U41">
        <v>0.19500000000000001</v>
      </c>
      <c r="V41">
        <v>8.7590000000000003</v>
      </c>
    </row>
    <row r="42" spans="1:26" x14ac:dyDescent="0.2">
      <c r="A42" t="s">
        <v>60</v>
      </c>
      <c r="C42">
        <v>21.233992582649172</v>
      </c>
      <c r="D42">
        <v>21.705322135365787</v>
      </c>
      <c r="E42">
        <v>17.720785112404023</v>
      </c>
      <c r="F42">
        <v>18.817675972340478</v>
      </c>
      <c r="G42">
        <v>13.974805937829689</v>
      </c>
      <c r="H42">
        <v>18.275907200464768</v>
      </c>
      <c r="I42">
        <v>15.354917160310569</v>
      </c>
      <c r="J42">
        <v>12.265539083138581</v>
      </c>
      <c r="K42">
        <v>11.831653519267711</v>
      </c>
      <c r="L42">
        <v>8.4439001059936754</v>
      </c>
      <c r="M42">
        <v>8.2106911402146885</v>
      </c>
      <c r="N42">
        <v>7.4927936045242829</v>
      </c>
      <c r="O42">
        <v>24.513266632580816</v>
      </c>
      <c r="P42">
        <v>11.747517354743511</v>
      </c>
      <c r="Q42">
        <v>9.7300326823705987</v>
      </c>
      <c r="R42">
        <v>9.9528940514807047</v>
      </c>
      <c r="S42">
        <v>7.2762381077037324</v>
      </c>
      <c r="T42">
        <v>5.6519111811846443</v>
      </c>
      <c r="U42">
        <v>3.0063308201194356</v>
      </c>
      <c r="V42">
        <v>9.2585139736352939</v>
      </c>
    </row>
    <row r="43" spans="1:26" x14ac:dyDescent="0.2">
      <c r="A43" t="s">
        <v>59</v>
      </c>
      <c r="O43">
        <v>0.71532368353350573</v>
      </c>
      <c r="P43">
        <v>1.6241019322167012</v>
      </c>
      <c r="Q43">
        <v>2.3360459290753255</v>
      </c>
      <c r="R43">
        <v>3.2774511529660271</v>
      </c>
      <c r="S43">
        <v>0.79003425724073473</v>
      </c>
      <c r="T43">
        <v>1.5320704643007053</v>
      </c>
      <c r="U43">
        <v>0.76623021407390368</v>
      </c>
      <c r="V43">
        <v>1.1156378210770048</v>
      </c>
    </row>
    <row r="45" spans="1:26" s="1" customFormat="1" x14ac:dyDescent="0.2">
      <c r="A45" s="1" t="s">
        <v>392</v>
      </c>
      <c r="C45" s="1">
        <v>1</v>
      </c>
      <c r="D45" s="1">
        <v>1</v>
      </c>
      <c r="E45" s="1" t="s">
        <v>283</v>
      </c>
    </row>
    <row r="46" spans="1:26" x14ac:dyDescent="0.2">
      <c r="A46" t="s">
        <v>63</v>
      </c>
      <c r="C46">
        <v>242.715</v>
      </c>
      <c r="D46">
        <v>254.79300000000001</v>
      </c>
      <c r="E46">
        <v>227</v>
      </c>
    </row>
    <row r="47" spans="1:26" x14ac:dyDescent="0.2">
      <c r="A47" t="s">
        <v>62</v>
      </c>
      <c r="C47">
        <v>32.985000000000014</v>
      </c>
      <c r="D47">
        <v>45.063000000000017</v>
      </c>
      <c r="E47">
        <v>17.27000000000001</v>
      </c>
    </row>
    <row r="48" spans="1:26" x14ac:dyDescent="0.2">
      <c r="A48" t="s">
        <v>61</v>
      </c>
      <c r="C48">
        <v>11.38</v>
      </c>
      <c r="D48">
        <v>15.134</v>
      </c>
      <c r="E48">
        <v>4.3029999999999999</v>
      </c>
    </row>
    <row r="49" spans="1:5" x14ac:dyDescent="0.2">
      <c r="A49" t="s">
        <v>60</v>
      </c>
      <c r="C49">
        <v>12.062520466303882</v>
      </c>
      <c r="D49">
        <v>15.653688255487905</v>
      </c>
      <c r="E49">
        <v>5.8750156595535987</v>
      </c>
    </row>
    <row r="50" spans="1:5" x14ac:dyDescent="0.2">
      <c r="A50" t="s">
        <v>59</v>
      </c>
      <c r="E50">
        <v>0.28061148497691374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C88F-C23F-9C4B-8894-43D5A3ECDF00}">
  <dimension ref="A1:U65"/>
  <sheetViews>
    <sheetView workbookViewId="0">
      <selection activeCell="J47" sqref="J47"/>
    </sheetView>
  </sheetViews>
  <sheetFormatPr baseColWidth="10" defaultColWidth="8.83203125" defaultRowHeight="15" x14ac:dyDescent="0.2"/>
  <cols>
    <col min="1" max="1" width="17.5" customWidth="1"/>
    <col min="2" max="2" width="10.5" customWidth="1"/>
  </cols>
  <sheetData>
    <row r="1" spans="1:15" x14ac:dyDescent="0.2">
      <c r="A1" t="s">
        <v>365</v>
      </c>
    </row>
    <row r="2" spans="1:15" s="1" customFormat="1" x14ac:dyDescent="0.2">
      <c r="A2" s="1" t="s">
        <v>1</v>
      </c>
      <c r="B2" s="1" t="s">
        <v>2</v>
      </c>
      <c r="C2" s="1" t="s">
        <v>25</v>
      </c>
    </row>
    <row r="3" spans="1:15" x14ac:dyDescent="0.2">
      <c r="A3" t="s">
        <v>9</v>
      </c>
      <c r="B3">
        <v>211.155</v>
      </c>
      <c r="C3">
        <v>255.62100000000001</v>
      </c>
    </row>
    <row r="4" spans="1:15" x14ac:dyDescent="0.2">
      <c r="A4" t="s">
        <v>4</v>
      </c>
      <c r="C4">
        <f>C3-B3</f>
        <v>44.466000000000008</v>
      </c>
    </row>
    <row r="5" spans="1:15" x14ac:dyDescent="0.2">
      <c r="A5" t="s">
        <v>5</v>
      </c>
      <c r="C5">
        <v>11.528</v>
      </c>
    </row>
    <row r="6" spans="1:15" x14ac:dyDescent="0.2">
      <c r="A6" t="s">
        <v>6</v>
      </c>
      <c r="C6">
        <f>SQRT(4+C5^2)</f>
        <v>11.700204442658258</v>
      </c>
    </row>
    <row r="7" spans="1:15" x14ac:dyDescent="0.2">
      <c r="A7" t="s">
        <v>10</v>
      </c>
      <c r="C7">
        <f>C4/22.25</f>
        <v>1.99847191011236</v>
      </c>
    </row>
    <row r="9" spans="1:15" s="1" customFormat="1" x14ac:dyDescent="0.2">
      <c r="A9" s="1" t="s">
        <v>8</v>
      </c>
      <c r="C9" s="1" t="s">
        <v>25</v>
      </c>
    </row>
    <row r="10" spans="1:15" x14ac:dyDescent="0.2">
      <c r="A10" t="s">
        <v>9</v>
      </c>
      <c r="B10">
        <v>211.155</v>
      </c>
      <c r="C10">
        <v>281.52699999999999</v>
      </c>
      <c r="D10">
        <v>316.34399999999999</v>
      </c>
      <c r="E10">
        <v>299.57799999999997</v>
      </c>
      <c r="F10">
        <v>302.52</v>
      </c>
      <c r="G10">
        <v>252.703</v>
      </c>
      <c r="H10">
        <v>281.80500000000001</v>
      </c>
      <c r="I10">
        <v>242.352</v>
      </c>
      <c r="J10">
        <v>270.18</v>
      </c>
      <c r="K10">
        <v>252.703</v>
      </c>
      <c r="L10">
        <v>296.01600000000002</v>
      </c>
      <c r="M10">
        <v>296.94099999999997</v>
      </c>
      <c r="N10">
        <v>261.75400000000002</v>
      </c>
      <c r="O10">
        <v>294.80900000000003</v>
      </c>
    </row>
    <row r="11" spans="1:15" x14ac:dyDescent="0.2">
      <c r="A11" t="s">
        <v>4</v>
      </c>
      <c r="C11">
        <f>C10-B10</f>
        <v>70.371999999999986</v>
      </c>
      <c r="D11">
        <f>D10-B10</f>
        <v>105.18899999999999</v>
      </c>
      <c r="E11">
        <f>E10-B10</f>
        <v>88.422999999999973</v>
      </c>
      <c r="F11">
        <f>F10-B10</f>
        <v>91.364999999999981</v>
      </c>
      <c r="G11">
        <f>G10-B10</f>
        <v>41.548000000000002</v>
      </c>
      <c r="H11">
        <f>H10-B10</f>
        <v>70.650000000000006</v>
      </c>
      <c r="I11">
        <f>I10-B10</f>
        <v>31.197000000000003</v>
      </c>
      <c r="J11">
        <f>J10-B10</f>
        <v>59.025000000000006</v>
      </c>
      <c r="K11">
        <f>K10-B10</f>
        <v>41.548000000000002</v>
      </c>
      <c r="L11">
        <f>L10-B10</f>
        <v>84.861000000000018</v>
      </c>
      <c r="M11">
        <f>M10-B10</f>
        <v>85.785999999999973</v>
      </c>
      <c r="N11">
        <f>N10-B10</f>
        <v>50.599000000000018</v>
      </c>
      <c r="O11">
        <f>O10-B10</f>
        <v>83.654000000000025</v>
      </c>
    </row>
    <row r="12" spans="1:15" x14ac:dyDescent="0.2">
      <c r="A12" t="s">
        <v>5</v>
      </c>
      <c r="C12">
        <v>11.366</v>
      </c>
      <c r="D12">
        <v>9.6389999999999993</v>
      </c>
      <c r="E12">
        <v>6.109</v>
      </c>
      <c r="F12">
        <v>6.6319999999999997</v>
      </c>
      <c r="G12">
        <v>4.7169999999999996</v>
      </c>
      <c r="H12">
        <v>3.9089999999999998</v>
      </c>
      <c r="I12">
        <v>2.8180000000000001</v>
      </c>
      <c r="J12">
        <v>3.6110000000000002</v>
      </c>
      <c r="K12">
        <v>3.6869999999999998</v>
      </c>
      <c r="L12">
        <v>3.0449999999999999</v>
      </c>
      <c r="M12">
        <v>2.9009999999999998</v>
      </c>
      <c r="N12">
        <v>2.4590000000000001</v>
      </c>
      <c r="O12">
        <v>3.22</v>
      </c>
    </row>
    <row r="13" spans="1:15" x14ac:dyDescent="0.2">
      <c r="A13" t="s">
        <v>6</v>
      </c>
      <c r="C13">
        <f t="shared" ref="C13:O13" si="0">SQRT(1+C12^2)</f>
        <v>11.409906046940089</v>
      </c>
      <c r="D13">
        <f t="shared" si="0"/>
        <v>9.6907337699474532</v>
      </c>
      <c r="E13">
        <f t="shared" si="0"/>
        <v>6.1903054044206902</v>
      </c>
      <c r="F13">
        <f t="shared" si="0"/>
        <v>6.7069683166092258</v>
      </c>
      <c r="G13">
        <f t="shared" si="0"/>
        <v>4.8218346093577278</v>
      </c>
      <c r="H13">
        <f t="shared" si="0"/>
        <v>4.0348830218483407</v>
      </c>
      <c r="I13">
        <f t="shared" si="0"/>
        <v>2.9901712325550855</v>
      </c>
      <c r="J13">
        <f t="shared" si="0"/>
        <v>3.7469081920965186</v>
      </c>
      <c r="K13">
        <f t="shared" si="0"/>
        <v>3.8202053609721034</v>
      </c>
      <c r="L13">
        <f t="shared" si="0"/>
        <v>3.2050000000000001</v>
      </c>
      <c r="M13">
        <f t="shared" si="0"/>
        <v>3.0685177203333858</v>
      </c>
      <c r="N13">
        <f t="shared" si="0"/>
        <v>2.6545585320350349</v>
      </c>
      <c r="O13">
        <f t="shared" si="0"/>
        <v>3.371705799739948</v>
      </c>
    </row>
    <row r="14" spans="1:15" x14ac:dyDescent="0.2">
      <c r="A14" t="s">
        <v>10</v>
      </c>
      <c r="C14">
        <f t="shared" ref="C14:O14" si="1">C11/22.25</f>
        <v>3.1627865168539318</v>
      </c>
      <c r="D14">
        <f t="shared" si="1"/>
        <v>4.7275955056179768</v>
      </c>
      <c r="E14">
        <f t="shared" si="1"/>
        <v>3.9740674157303357</v>
      </c>
      <c r="F14">
        <f t="shared" si="1"/>
        <v>4.1062921348314596</v>
      </c>
      <c r="G14">
        <f t="shared" si="1"/>
        <v>1.8673258426966293</v>
      </c>
      <c r="H14">
        <f t="shared" si="1"/>
        <v>3.1752808988764047</v>
      </c>
      <c r="I14">
        <f t="shared" si="1"/>
        <v>1.402112359550562</v>
      </c>
      <c r="J14">
        <f t="shared" si="1"/>
        <v>2.6528089887640451</v>
      </c>
      <c r="K14">
        <f t="shared" si="1"/>
        <v>1.8673258426966293</v>
      </c>
      <c r="L14">
        <f t="shared" si="1"/>
        <v>3.8139775280898887</v>
      </c>
      <c r="M14">
        <f t="shared" si="1"/>
        <v>3.8555505617977515</v>
      </c>
      <c r="N14">
        <f t="shared" si="1"/>
        <v>2.2741123595505628</v>
      </c>
      <c r="O14">
        <f t="shared" si="1"/>
        <v>3.7597303370786528</v>
      </c>
    </row>
    <row r="16" spans="1:15" s="1" customFormat="1" x14ac:dyDescent="0.2">
      <c r="A16" s="1" t="s">
        <v>272</v>
      </c>
      <c r="C16" s="1" t="s">
        <v>23</v>
      </c>
      <c r="F16" s="1" t="s">
        <v>25</v>
      </c>
    </row>
    <row r="17" spans="1:21" x14ac:dyDescent="0.2">
      <c r="A17" t="s">
        <v>9</v>
      </c>
      <c r="B17">
        <v>211.155</v>
      </c>
      <c r="C17">
        <v>228.559</v>
      </c>
      <c r="D17">
        <v>235.98</v>
      </c>
      <c r="E17">
        <v>239.80099999999999</v>
      </c>
      <c r="F17">
        <v>262.93799999999999</v>
      </c>
      <c r="G17">
        <v>250.66399999999999</v>
      </c>
      <c r="H17">
        <v>279.71899999999999</v>
      </c>
      <c r="I17">
        <v>412.39499999999998</v>
      </c>
      <c r="J17">
        <v>241.17599999999999</v>
      </c>
      <c r="K17">
        <v>283.96499999999997</v>
      </c>
      <c r="L17">
        <v>229.08600000000001</v>
      </c>
      <c r="M17">
        <v>240.80099999999999</v>
      </c>
      <c r="N17">
        <v>231.68</v>
      </c>
      <c r="O17">
        <v>266.83999999999997</v>
      </c>
      <c r="P17">
        <v>277.23399999999998</v>
      </c>
      <c r="Q17">
        <v>295.24599999999998</v>
      </c>
      <c r="R17">
        <v>262.90199999999999</v>
      </c>
      <c r="S17">
        <v>298.78500000000003</v>
      </c>
      <c r="T17">
        <v>299.35500000000002</v>
      </c>
      <c r="U17">
        <v>270.68400000000003</v>
      </c>
    </row>
    <row r="18" spans="1:21" x14ac:dyDescent="0.2">
      <c r="A18" t="s">
        <v>4</v>
      </c>
      <c r="C18">
        <f>C17-B17</f>
        <v>17.403999999999996</v>
      </c>
      <c r="D18">
        <f>D17-B17</f>
        <v>24.824999999999989</v>
      </c>
      <c r="E18">
        <f>E17-B17</f>
        <v>28.645999999999987</v>
      </c>
      <c r="F18">
        <f>F17-B17</f>
        <v>51.782999999999987</v>
      </c>
      <c r="G18">
        <f>G17-B17</f>
        <v>39.508999999999986</v>
      </c>
      <c r="H18">
        <f>H17-B17</f>
        <v>68.563999999999993</v>
      </c>
      <c r="I18">
        <f>I17-B17</f>
        <v>201.23999999999998</v>
      </c>
      <c r="J18">
        <f>J17-B17</f>
        <v>30.020999999999987</v>
      </c>
      <c r="K18">
        <f>K17-B17</f>
        <v>72.809999999999974</v>
      </c>
      <c r="L18">
        <f>L17-B17</f>
        <v>17.931000000000012</v>
      </c>
      <c r="M18">
        <f>M17-B17</f>
        <v>29.645999999999987</v>
      </c>
      <c r="N18">
        <f>N17-B17</f>
        <v>20.525000000000006</v>
      </c>
      <c r="O18">
        <f>O17-B17</f>
        <v>55.684999999999974</v>
      </c>
      <c r="P18">
        <f>P17-B17</f>
        <v>66.078999999999979</v>
      </c>
      <c r="Q18">
        <f>Q17-B17</f>
        <v>84.09099999999998</v>
      </c>
      <c r="R18">
        <f>R17-B17</f>
        <v>51.746999999999986</v>
      </c>
      <c r="S18">
        <f>S17-B17</f>
        <v>87.630000000000024</v>
      </c>
      <c r="T18">
        <f>T17-B17</f>
        <v>88.200000000000017</v>
      </c>
      <c r="U18">
        <f>U17-B17</f>
        <v>59.529000000000025</v>
      </c>
    </row>
    <row r="19" spans="1:21" x14ac:dyDescent="0.2">
      <c r="A19" t="s">
        <v>5</v>
      </c>
      <c r="C19">
        <v>11.625</v>
      </c>
      <c r="D19">
        <v>15.262</v>
      </c>
      <c r="E19">
        <v>16.152999999999999</v>
      </c>
      <c r="F19">
        <v>4.7850000000000001</v>
      </c>
      <c r="G19">
        <v>8.8460000000000001</v>
      </c>
      <c r="H19">
        <v>9.3480000000000008</v>
      </c>
      <c r="I19">
        <v>9.875</v>
      </c>
      <c r="J19">
        <v>10.271000000000001</v>
      </c>
      <c r="K19">
        <v>6.4960000000000004</v>
      </c>
      <c r="L19">
        <v>4.9459999999999997</v>
      </c>
      <c r="M19">
        <v>4.6109999999999998</v>
      </c>
      <c r="N19">
        <v>3.419</v>
      </c>
      <c r="O19">
        <v>2.5099999999999998</v>
      </c>
      <c r="P19">
        <v>3.621</v>
      </c>
      <c r="Q19">
        <v>2.6920000000000002</v>
      </c>
      <c r="R19">
        <v>2.6309999999999998</v>
      </c>
      <c r="S19">
        <v>3.0649999999999999</v>
      </c>
      <c r="T19">
        <v>2.1110000000000002</v>
      </c>
      <c r="U19">
        <v>3.129</v>
      </c>
    </row>
    <row r="20" spans="1:21" x14ac:dyDescent="0.2">
      <c r="A20" t="s">
        <v>10</v>
      </c>
      <c r="F20">
        <f t="shared" ref="F20:U20" si="2">F18/22.25</f>
        <v>2.3273258426966286</v>
      </c>
      <c r="G20">
        <f t="shared" si="2"/>
        <v>1.7756853932584264</v>
      </c>
      <c r="H20">
        <f t="shared" si="2"/>
        <v>3.08152808988764</v>
      </c>
      <c r="I20">
        <f t="shared" si="2"/>
        <v>9.0444943820224708</v>
      </c>
      <c r="J20">
        <f t="shared" si="2"/>
        <v>1.3492584269662915</v>
      </c>
      <c r="K20">
        <f t="shared" si="2"/>
        <v>3.2723595505617964</v>
      </c>
      <c r="L20">
        <f t="shared" si="2"/>
        <v>0.80588764044943872</v>
      </c>
      <c r="M20">
        <f t="shared" si="2"/>
        <v>1.3324044943820219</v>
      </c>
      <c r="N20">
        <f t="shared" si="2"/>
        <v>0.92247191011235985</v>
      </c>
      <c r="O20">
        <f t="shared" si="2"/>
        <v>2.502696629213482</v>
      </c>
      <c r="P20">
        <f t="shared" si="2"/>
        <v>2.9698426966292124</v>
      </c>
      <c r="Q20">
        <f t="shared" si="2"/>
        <v>3.7793707865168531</v>
      </c>
      <c r="R20">
        <f t="shared" si="2"/>
        <v>2.3257078651685386</v>
      </c>
      <c r="S20">
        <f t="shared" si="2"/>
        <v>3.9384269662921358</v>
      </c>
      <c r="T20">
        <f t="shared" si="2"/>
        <v>3.9640449438202254</v>
      </c>
      <c r="U20">
        <f t="shared" si="2"/>
        <v>2.6754606741573044</v>
      </c>
    </row>
    <row r="22" spans="1:21" s="1" customFormat="1" x14ac:dyDescent="0.2">
      <c r="A22" s="1" t="s">
        <v>29</v>
      </c>
      <c r="C22" s="1" t="s">
        <v>23</v>
      </c>
      <c r="E22" s="1" t="s">
        <v>25</v>
      </c>
    </row>
    <row r="23" spans="1:21" x14ac:dyDescent="0.2">
      <c r="A23" t="s">
        <v>9</v>
      </c>
      <c r="B23">
        <v>211.155</v>
      </c>
      <c r="C23">
        <v>239.773</v>
      </c>
      <c r="D23">
        <v>232.10499999999999</v>
      </c>
      <c r="E23">
        <v>247.727</v>
      </c>
      <c r="F23">
        <v>265.08999999999997</v>
      </c>
      <c r="G23">
        <v>249.066</v>
      </c>
      <c r="H23">
        <v>316.27300000000002</v>
      </c>
      <c r="I23">
        <v>269.25</v>
      </c>
      <c r="J23">
        <v>335.54700000000003</v>
      </c>
      <c r="K23">
        <v>334.53500000000003</v>
      </c>
      <c r="L23">
        <v>346.65600000000001</v>
      </c>
      <c r="M23">
        <v>244.75399999999999</v>
      </c>
      <c r="N23">
        <v>248.191</v>
      </c>
    </row>
    <row r="24" spans="1:21" x14ac:dyDescent="0.2">
      <c r="A24" t="s">
        <v>4</v>
      </c>
      <c r="C24">
        <f>C23-B23</f>
        <v>28.617999999999995</v>
      </c>
      <c r="D24">
        <f>D23-B23</f>
        <v>20.949999999999989</v>
      </c>
      <c r="E24">
        <f>E23-B23</f>
        <v>36.572000000000003</v>
      </c>
      <c r="F24">
        <f>F23-B23</f>
        <v>53.934999999999974</v>
      </c>
      <c r="G24">
        <f>G23-B23</f>
        <v>37.911000000000001</v>
      </c>
      <c r="H24">
        <f>H23-B23</f>
        <v>105.11800000000002</v>
      </c>
      <c r="I24">
        <f>I23-B23</f>
        <v>58.094999999999999</v>
      </c>
      <c r="J24">
        <f>J23-B23</f>
        <v>124.39200000000002</v>
      </c>
      <c r="K24">
        <f>K23-B23</f>
        <v>123.38000000000002</v>
      </c>
      <c r="L24">
        <f>L23-B23</f>
        <v>135.501</v>
      </c>
      <c r="M24">
        <f>M23-B23</f>
        <v>33.59899999999999</v>
      </c>
      <c r="N24">
        <f>N23-B23</f>
        <v>37.036000000000001</v>
      </c>
    </row>
    <row r="25" spans="1:21" x14ac:dyDescent="0.2">
      <c r="A25" t="s">
        <v>5</v>
      </c>
      <c r="C25">
        <v>12.425000000000001</v>
      </c>
      <c r="D25">
        <v>2.0619999999999998</v>
      </c>
      <c r="E25">
        <v>11.52</v>
      </c>
      <c r="F25">
        <v>11.670999999999999</v>
      </c>
      <c r="G25">
        <v>16.440999999999999</v>
      </c>
      <c r="H25">
        <v>13.186999999999999</v>
      </c>
      <c r="I25">
        <v>10.208</v>
      </c>
      <c r="J25">
        <v>10.691000000000001</v>
      </c>
      <c r="K25">
        <v>9.5879999999999992</v>
      </c>
      <c r="L25">
        <v>10.06</v>
      </c>
      <c r="M25">
        <v>2.649</v>
      </c>
      <c r="N25">
        <v>2.7559999999999998</v>
      </c>
    </row>
    <row r="26" spans="1:21" x14ac:dyDescent="0.2">
      <c r="A26" t="s">
        <v>17</v>
      </c>
      <c r="C26">
        <f t="shared" ref="C26:N26" si="3">SQRT(1+C25^2)</f>
        <v>12.465176492934226</v>
      </c>
      <c r="D26">
        <f t="shared" si="3"/>
        <v>2.291690205939712</v>
      </c>
      <c r="E26">
        <f t="shared" si="3"/>
        <v>11.563321322180752</v>
      </c>
      <c r="F26">
        <f t="shared" si="3"/>
        <v>11.713762888158525</v>
      </c>
      <c r="G26">
        <f t="shared" si="3"/>
        <v>16.47138370022385</v>
      </c>
      <c r="H26">
        <f t="shared" si="3"/>
        <v>13.224861776215281</v>
      </c>
      <c r="I26">
        <f t="shared" si="3"/>
        <v>10.256864238157782</v>
      </c>
      <c r="J26">
        <f t="shared" si="3"/>
        <v>10.737666459710882</v>
      </c>
      <c r="K26">
        <f t="shared" si="3"/>
        <v>9.6400074688767745</v>
      </c>
      <c r="L26">
        <f t="shared" si="3"/>
        <v>10.1095796153945</v>
      </c>
      <c r="M26">
        <f t="shared" si="3"/>
        <v>2.8314662279462208</v>
      </c>
      <c r="N26">
        <f t="shared" si="3"/>
        <v>2.9318144552478076</v>
      </c>
    </row>
    <row r="27" spans="1:21" x14ac:dyDescent="0.2">
      <c r="A27" t="s">
        <v>10</v>
      </c>
      <c r="E27">
        <f t="shared" ref="E27:N27" si="4">E24/22.25</f>
        <v>1.643685393258427</v>
      </c>
      <c r="F27">
        <f t="shared" si="4"/>
        <v>2.4240449438202236</v>
      </c>
      <c r="G27">
        <f t="shared" si="4"/>
        <v>1.703865168539326</v>
      </c>
      <c r="H27">
        <f t="shared" si="4"/>
        <v>4.7244044943820231</v>
      </c>
      <c r="I27">
        <f t="shared" si="4"/>
        <v>2.6110112359550559</v>
      </c>
      <c r="J27">
        <f t="shared" si="4"/>
        <v>5.5906516853932597</v>
      </c>
      <c r="K27">
        <f t="shared" si="4"/>
        <v>5.5451685393258439</v>
      </c>
      <c r="L27">
        <f t="shared" si="4"/>
        <v>6.089932584269663</v>
      </c>
      <c r="M27">
        <f t="shared" si="4"/>
        <v>1.5100674157303366</v>
      </c>
      <c r="N27">
        <f t="shared" si="4"/>
        <v>1.6645393258426966</v>
      </c>
    </row>
    <row r="29" spans="1:21" s="1" customFormat="1" x14ac:dyDescent="0.2">
      <c r="A29" s="1" t="s">
        <v>13</v>
      </c>
      <c r="C29" s="1" t="s">
        <v>25</v>
      </c>
    </row>
    <row r="30" spans="1:21" x14ac:dyDescent="0.2">
      <c r="A30" t="s">
        <v>9</v>
      </c>
      <c r="B30">
        <v>211.155</v>
      </c>
      <c r="C30">
        <v>266.85199999999998</v>
      </c>
      <c r="D30">
        <v>264.738</v>
      </c>
      <c r="E30">
        <v>249.102</v>
      </c>
      <c r="F30">
        <v>318.238</v>
      </c>
      <c r="G30">
        <v>269.90199999999999</v>
      </c>
      <c r="H30">
        <v>375.50799999999998</v>
      </c>
      <c r="I30">
        <v>402.96100000000001</v>
      </c>
    </row>
    <row r="31" spans="1:21" x14ac:dyDescent="0.2">
      <c r="A31" t="s">
        <v>4</v>
      </c>
      <c r="C31">
        <f>C30-B30</f>
        <v>55.696999999999974</v>
      </c>
      <c r="D31">
        <f>D30-B30</f>
        <v>53.582999999999998</v>
      </c>
      <c r="E31">
        <f>E30-B30</f>
        <v>37.947000000000003</v>
      </c>
      <c r="F31">
        <f>F30-B30</f>
        <v>107.083</v>
      </c>
      <c r="G31">
        <f>G30-B30</f>
        <v>58.746999999999986</v>
      </c>
      <c r="H31">
        <f>H30-B30</f>
        <v>164.35299999999998</v>
      </c>
      <c r="I31">
        <f>I30-B30</f>
        <v>191.80600000000001</v>
      </c>
    </row>
    <row r="32" spans="1:21" x14ac:dyDescent="0.2">
      <c r="A32" t="s">
        <v>5</v>
      </c>
      <c r="C32">
        <v>1.9790000000000001</v>
      </c>
      <c r="D32">
        <v>11.417999999999999</v>
      </c>
      <c r="E32">
        <v>12.601000000000001</v>
      </c>
      <c r="F32">
        <v>13.351000000000001</v>
      </c>
      <c r="G32">
        <v>10.313000000000001</v>
      </c>
      <c r="H32">
        <v>10.77</v>
      </c>
      <c r="I32">
        <v>10.01</v>
      </c>
    </row>
    <row r="33" spans="1:9" x14ac:dyDescent="0.2">
      <c r="A33" t="s">
        <v>6</v>
      </c>
      <c r="C33">
        <f t="shared" ref="C33:I33" si="5">SQRT(4+C32^2)</f>
        <v>2.8136170670508807</v>
      </c>
      <c r="D33">
        <f t="shared" si="5"/>
        <v>11.591838680727056</v>
      </c>
      <c r="E33">
        <f t="shared" si="5"/>
        <v>12.758730383545222</v>
      </c>
      <c r="F33">
        <f t="shared" si="5"/>
        <v>13.499970407374974</v>
      </c>
      <c r="G33">
        <f t="shared" si="5"/>
        <v>10.505140122816069</v>
      </c>
      <c r="H33">
        <f t="shared" si="5"/>
        <v>10.954127076129799</v>
      </c>
      <c r="I33">
        <f t="shared" si="5"/>
        <v>10.207845022334537</v>
      </c>
    </row>
    <row r="34" spans="1:9" x14ac:dyDescent="0.2">
      <c r="A34" t="s">
        <v>10</v>
      </c>
      <c r="C34">
        <f t="shared" ref="C34:I34" si="6">C31/22.25</f>
        <v>2.5032359550561787</v>
      </c>
      <c r="D34">
        <f t="shared" si="6"/>
        <v>2.4082247191011237</v>
      </c>
      <c r="E34">
        <f t="shared" si="6"/>
        <v>1.7054831460674158</v>
      </c>
      <c r="F34">
        <f t="shared" si="6"/>
        <v>4.8127191011235952</v>
      </c>
      <c r="G34">
        <f t="shared" si="6"/>
        <v>2.6403146067415726</v>
      </c>
      <c r="H34">
        <f t="shared" si="6"/>
        <v>7.3866516853932573</v>
      </c>
      <c r="I34">
        <f t="shared" si="6"/>
        <v>8.6204943820224731</v>
      </c>
    </row>
    <row r="36" spans="1:9" s="1" customFormat="1" x14ac:dyDescent="0.2">
      <c r="A36" s="1" t="s">
        <v>14</v>
      </c>
      <c r="C36" s="1" t="s">
        <v>23</v>
      </c>
      <c r="D36" s="1" t="s">
        <v>25</v>
      </c>
    </row>
    <row r="37" spans="1:9" x14ac:dyDescent="0.2">
      <c r="A37" t="s">
        <v>9</v>
      </c>
      <c r="B37">
        <v>211.155</v>
      </c>
      <c r="C37">
        <v>244.715</v>
      </c>
      <c r="D37">
        <v>330.79300000000001</v>
      </c>
      <c r="E37">
        <v>369.17599999999999</v>
      </c>
    </row>
    <row r="38" spans="1:9" x14ac:dyDescent="0.2">
      <c r="A38" t="s">
        <v>4</v>
      </c>
      <c r="C38">
        <f>C37-B37</f>
        <v>33.56</v>
      </c>
      <c r="D38">
        <f>D37-B37</f>
        <v>119.63800000000001</v>
      </c>
      <c r="E38">
        <f>E37-B37</f>
        <v>158.02099999999999</v>
      </c>
    </row>
    <row r="39" spans="1:9" x14ac:dyDescent="0.2">
      <c r="A39" t="s">
        <v>5</v>
      </c>
      <c r="C39">
        <v>0.86399999999999999</v>
      </c>
      <c r="D39">
        <v>10.058999999999999</v>
      </c>
      <c r="E39">
        <v>10.321999999999999</v>
      </c>
    </row>
    <row r="40" spans="1:9" x14ac:dyDescent="0.2">
      <c r="A40" t="s">
        <v>17</v>
      </c>
      <c r="C40">
        <f>SQRT(9+C39^2)</f>
        <v>3.1219378597275123</v>
      </c>
      <c r="D40">
        <f>SQRT(9+D39^2)</f>
        <v>10.496831950641107</v>
      </c>
      <c r="E40">
        <f>SQRT(9+E39^2)</f>
        <v>10.749124801582685</v>
      </c>
    </row>
    <row r="41" spans="1:9" x14ac:dyDescent="0.2">
      <c r="A41" t="s">
        <v>10</v>
      </c>
      <c r="D41">
        <f>D38/22.25</f>
        <v>5.3769887640449436</v>
      </c>
      <c r="E41">
        <f>E38/22.25</f>
        <v>7.1020674157303363</v>
      </c>
    </row>
    <row r="43" spans="1:9" s="1" customFormat="1" x14ac:dyDescent="0.2">
      <c r="A43" s="1" t="s">
        <v>15</v>
      </c>
      <c r="C43" s="1" t="s">
        <v>23</v>
      </c>
      <c r="D43" s="1" t="s">
        <v>25</v>
      </c>
    </row>
    <row r="44" spans="1:9" x14ac:dyDescent="0.2">
      <c r="A44" t="s">
        <v>9</v>
      </c>
      <c r="B44">
        <v>211.155</v>
      </c>
      <c r="C44">
        <v>247.547</v>
      </c>
      <c r="D44">
        <v>280.70299999999997</v>
      </c>
    </row>
    <row r="45" spans="1:9" x14ac:dyDescent="0.2">
      <c r="A45" t="s">
        <v>4</v>
      </c>
      <c r="C45">
        <f>C44-B44</f>
        <v>36.391999999999996</v>
      </c>
      <c r="D45">
        <f>D44-B44</f>
        <v>69.547999999999973</v>
      </c>
    </row>
    <row r="46" spans="1:9" x14ac:dyDescent="0.2">
      <c r="A46" t="s">
        <v>5</v>
      </c>
      <c r="C46">
        <v>0.88500000000000001</v>
      </c>
      <c r="D46">
        <v>10.234999999999999</v>
      </c>
    </row>
    <row r="47" spans="1:9" x14ac:dyDescent="0.2">
      <c r="A47" t="s">
        <v>17</v>
      </c>
      <c r="C47">
        <f>SQRT(16+C46^2)</f>
        <v>4.0967334548393559</v>
      </c>
      <c r="D47">
        <f>SQRT(16+D46^2)</f>
        <v>10.988868231078211</v>
      </c>
    </row>
    <row r="48" spans="1:9" x14ac:dyDescent="0.2">
      <c r="A48" t="s">
        <v>10</v>
      </c>
      <c r="D48">
        <f>D45/22.25</f>
        <v>3.125752808988763</v>
      </c>
    </row>
    <row r="50" spans="1:4" s="1" customFormat="1" x14ac:dyDescent="0.2">
      <c r="A50" s="1" t="s">
        <v>16</v>
      </c>
      <c r="C50" s="1" t="s">
        <v>25</v>
      </c>
    </row>
    <row r="51" spans="1:4" x14ac:dyDescent="0.2">
      <c r="A51" t="s">
        <v>9</v>
      </c>
      <c r="B51">
        <v>211.155</v>
      </c>
      <c r="C51">
        <v>250.27</v>
      </c>
      <c r="D51">
        <v>255.38300000000001</v>
      </c>
    </row>
    <row r="52" spans="1:4" x14ac:dyDescent="0.2">
      <c r="A52" t="s">
        <v>4</v>
      </c>
      <c r="C52">
        <f>C51-B51</f>
        <v>39.115000000000009</v>
      </c>
      <c r="D52">
        <f>D51-B51</f>
        <v>44.228000000000009</v>
      </c>
    </row>
    <row r="53" spans="1:4" x14ac:dyDescent="0.2">
      <c r="A53" t="s">
        <v>5</v>
      </c>
      <c r="C53">
        <v>15.064</v>
      </c>
      <c r="D53">
        <v>14.539</v>
      </c>
    </row>
    <row r="54" spans="1:4" x14ac:dyDescent="0.2">
      <c r="A54" t="s">
        <v>6</v>
      </c>
      <c r="C54">
        <f>SQRT(25+C53^2)</f>
        <v>15.872116935053118</v>
      </c>
      <c r="D54">
        <f>SQRT(25+D53^2)</f>
        <v>15.374736453025788</v>
      </c>
    </row>
    <row r="55" spans="1:4" x14ac:dyDescent="0.2">
      <c r="A55" t="s">
        <v>10</v>
      </c>
      <c r="C55">
        <f>C52/22.25</f>
        <v>1.7579775280898879</v>
      </c>
      <c r="D55">
        <f>D52/22.25</f>
        <v>1.9877752808988769</v>
      </c>
    </row>
    <row r="57" spans="1:4" s="1" customFormat="1" x14ac:dyDescent="0.2">
      <c r="A57" s="1" t="s">
        <v>18</v>
      </c>
      <c r="C57" s="1" t="s">
        <v>23</v>
      </c>
    </row>
    <row r="58" spans="1:4" x14ac:dyDescent="0.2">
      <c r="A58" t="s">
        <v>9</v>
      </c>
      <c r="B58">
        <v>211.155</v>
      </c>
      <c r="C58">
        <v>228.46100000000001</v>
      </c>
      <c r="D58">
        <v>225.988</v>
      </c>
    </row>
    <row r="59" spans="1:4" x14ac:dyDescent="0.2">
      <c r="A59" t="s">
        <v>4</v>
      </c>
      <c r="C59">
        <f>C58-B58</f>
        <v>17.306000000000012</v>
      </c>
      <c r="D59">
        <f>D58-B58</f>
        <v>14.832999999999998</v>
      </c>
    </row>
    <row r="60" spans="1:4" x14ac:dyDescent="0.2">
      <c r="A60" t="s">
        <v>5</v>
      </c>
      <c r="C60">
        <v>15.231</v>
      </c>
      <c r="D60">
        <v>14.548</v>
      </c>
    </row>
    <row r="61" spans="1:4" x14ac:dyDescent="0.2">
      <c r="A61" t="s">
        <v>6</v>
      </c>
      <c r="C61">
        <f>SQRT(36+C60^2)</f>
        <v>16.370197341510579</v>
      </c>
      <c r="D61">
        <f>SQRT(36+D60^2)</f>
        <v>15.736718336425801</v>
      </c>
    </row>
    <row r="62" spans="1:4" x14ac:dyDescent="0.2">
      <c r="A62" t="s">
        <v>10</v>
      </c>
    </row>
    <row r="64" spans="1:4" x14ac:dyDescent="0.2">
      <c r="A64" t="s">
        <v>33</v>
      </c>
      <c r="B64">
        <f>AVERAGE(C59:D59,C45,C38,C24:D24,C18:E18,)</f>
        <v>22.253399999999996</v>
      </c>
    </row>
    <row r="65" spans="1:2" x14ac:dyDescent="0.2">
      <c r="A65" t="s">
        <v>27</v>
      </c>
      <c r="B65">
        <v>44.148000000000003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1ADD-60E1-164C-86C4-E1E81C16790F}">
  <dimension ref="A1:T58"/>
  <sheetViews>
    <sheetView workbookViewId="0">
      <selection activeCell="O48" sqref="O48"/>
    </sheetView>
  </sheetViews>
  <sheetFormatPr baseColWidth="10" defaultRowHeight="15" x14ac:dyDescent="0.2"/>
  <cols>
    <col min="1" max="1" width="32" customWidth="1"/>
    <col min="2" max="2" width="17" customWidth="1"/>
  </cols>
  <sheetData>
    <row r="1" spans="1:20" x14ac:dyDescent="0.2">
      <c r="A1" t="s">
        <v>227</v>
      </c>
      <c r="C1" t="s">
        <v>226</v>
      </c>
      <c r="E1" t="s">
        <v>294</v>
      </c>
    </row>
    <row r="2" spans="1:20" x14ac:dyDescent="0.2">
      <c r="A2" t="s">
        <v>374</v>
      </c>
      <c r="C2" t="s">
        <v>222</v>
      </c>
      <c r="E2">
        <v>39.914800000000007</v>
      </c>
    </row>
    <row r="4" spans="1:20" s="1" customFormat="1" x14ac:dyDescent="0.2">
      <c r="A4" s="1" t="s">
        <v>375</v>
      </c>
      <c r="B4" s="1" t="s">
        <v>70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 t="s">
        <v>283</v>
      </c>
      <c r="K4" s="1" t="s">
        <v>283</v>
      </c>
      <c r="L4" s="1" t="s">
        <v>283</v>
      </c>
      <c r="M4" s="1" t="s">
        <v>283</v>
      </c>
      <c r="N4" s="1" t="s">
        <v>283</v>
      </c>
      <c r="O4" s="1" t="s">
        <v>283</v>
      </c>
      <c r="P4" s="1" t="s">
        <v>283</v>
      </c>
      <c r="Q4" s="1" t="s">
        <v>283</v>
      </c>
      <c r="R4" s="1" t="s">
        <v>283</v>
      </c>
      <c r="S4" s="1" t="s">
        <v>283</v>
      </c>
      <c r="T4" s="1" t="s">
        <v>283</v>
      </c>
    </row>
    <row r="5" spans="1:20" x14ac:dyDescent="0.2">
      <c r="A5" t="s">
        <v>63</v>
      </c>
      <c r="B5">
        <v>211.43799999999999</v>
      </c>
      <c r="C5">
        <v>254.16</v>
      </c>
      <c r="D5">
        <v>243.80500000000001</v>
      </c>
      <c r="E5">
        <v>265.41399999999999</v>
      </c>
      <c r="F5">
        <v>255.07</v>
      </c>
      <c r="G5">
        <v>251.74199999999999</v>
      </c>
      <c r="H5">
        <v>228.953</v>
      </c>
      <c r="I5">
        <v>237.63300000000001</v>
      </c>
      <c r="J5">
        <v>239.16</v>
      </c>
      <c r="K5">
        <v>300.15199999999999</v>
      </c>
      <c r="L5">
        <v>356.15199999999999</v>
      </c>
      <c r="M5">
        <v>302.92599999999999</v>
      </c>
      <c r="N5">
        <v>288.96899999999999</v>
      </c>
      <c r="O5">
        <v>232.50800000000001</v>
      </c>
      <c r="P5">
        <v>248.09800000000001</v>
      </c>
      <c r="Q5">
        <v>230.047</v>
      </c>
      <c r="R5">
        <v>238.262</v>
      </c>
      <c r="S5">
        <v>266.07</v>
      </c>
      <c r="T5">
        <v>242.08600000000001</v>
      </c>
    </row>
    <row r="6" spans="1:20" x14ac:dyDescent="0.2">
      <c r="A6" t="s">
        <v>62</v>
      </c>
      <c r="C6">
        <v>42.722000000000008</v>
      </c>
      <c r="D6">
        <v>32.367000000000019</v>
      </c>
      <c r="E6">
        <v>53.975999999999999</v>
      </c>
      <c r="F6">
        <v>43.632000000000005</v>
      </c>
      <c r="G6">
        <v>40.304000000000002</v>
      </c>
      <c r="H6">
        <v>17.515000000000015</v>
      </c>
      <c r="I6">
        <v>26.195000000000022</v>
      </c>
      <c r="J6">
        <v>27.722000000000008</v>
      </c>
      <c r="K6">
        <v>88.713999999999999</v>
      </c>
      <c r="L6">
        <v>144.714</v>
      </c>
      <c r="M6">
        <v>91.488</v>
      </c>
      <c r="N6">
        <v>77.531000000000006</v>
      </c>
      <c r="O6">
        <v>21.070000000000022</v>
      </c>
      <c r="P6">
        <v>36.660000000000025</v>
      </c>
      <c r="Q6">
        <v>18.609000000000009</v>
      </c>
      <c r="R6">
        <v>26.824000000000012</v>
      </c>
      <c r="S6">
        <v>54.632000000000005</v>
      </c>
      <c r="T6">
        <v>30.648000000000025</v>
      </c>
    </row>
    <row r="7" spans="1:20" x14ac:dyDescent="0.2">
      <c r="A7" t="s">
        <v>61</v>
      </c>
      <c r="C7">
        <v>5.5289999999999999</v>
      </c>
      <c r="D7">
        <v>2.004</v>
      </c>
      <c r="E7">
        <v>2.6680000000000001</v>
      </c>
      <c r="F7">
        <v>3.0150000000000001</v>
      </c>
      <c r="G7">
        <v>1.7769999999999999</v>
      </c>
      <c r="H7">
        <v>5.4669999999999996</v>
      </c>
      <c r="I7">
        <v>11.823</v>
      </c>
      <c r="J7">
        <v>3.84</v>
      </c>
      <c r="K7">
        <v>3.9809999999999999</v>
      </c>
      <c r="L7">
        <v>3.355</v>
      </c>
      <c r="M7">
        <v>3.91</v>
      </c>
      <c r="N7">
        <v>3.0329999999999999</v>
      </c>
      <c r="O7">
        <v>2.165</v>
      </c>
      <c r="P7">
        <v>3.4809999999999999</v>
      </c>
      <c r="Q7">
        <v>2.5339999999999998</v>
      </c>
      <c r="R7">
        <v>3.2069999999999999</v>
      </c>
      <c r="S7">
        <v>3.9169999999999998</v>
      </c>
      <c r="T7">
        <v>4.6740000000000004</v>
      </c>
    </row>
    <row r="8" spans="1:20" x14ac:dyDescent="0.2">
      <c r="A8" t="s">
        <v>60</v>
      </c>
      <c r="C8">
        <v>5.5289999999999999</v>
      </c>
      <c r="D8">
        <v>2.004</v>
      </c>
      <c r="E8">
        <v>2.6680000000000001</v>
      </c>
      <c r="F8">
        <v>3.0150000000000001</v>
      </c>
      <c r="G8">
        <v>1.7769999999999999</v>
      </c>
      <c r="H8">
        <v>5.4669999999999996</v>
      </c>
      <c r="I8">
        <v>11.823</v>
      </c>
      <c r="J8">
        <v>3.84</v>
      </c>
      <c r="K8">
        <v>3.9809999999999999</v>
      </c>
      <c r="L8">
        <v>3.355</v>
      </c>
      <c r="M8">
        <v>3.91</v>
      </c>
      <c r="N8">
        <v>3.0329999999999999</v>
      </c>
      <c r="O8">
        <v>2.165</v>
      </c>
      <c r="P8">
        <v>3.4809999999999999</v>
      </c>
      <c r="Q8">
        <v>2.5339999999999998</v>
      </c>
      <c r="R8">
        <v>3.2069999999999999</v>
      </c>
      <c r="S8">
        <v>3.9169999999999998</v>
      </c>
      <c r="T8">
        <v>4.6740000000000004</v>
      </c>
    </row>
    <row r="9" spans="1:20" x14ac:dyDescent="0.2">
      <c r="A9" t="s">
        <v>59</v>
      </c>
      <c r="J9">
        <v>0.69452934751019679</v>
      </c>
      <c r="K9">
        <v>2.2225841041418217</v>
      </c>
      <c r="L9">
        <v>3.6255724693597355</v>
      </c>
      <c r="M9">
        <v>2.2920821349474378</v>
      </c>
      <c r="N9">
        <v>1.9424123382805374</v>
      </c>
      <c r="O9">
        <v>0.52787437241324064</v>
      </c>
      <c r="P9">
        <v>0.91845631194444211</v>
      </c>
      <c r="Q9">
        <v>0.46621804443464593</v>
      </c>
      <c r="R9">
        <v>0.67203142693938112</v>
      </c>
      <c r="S9">
        <v>1.3687153637247336</v>
      </c>
      <c r="T9">
        <v>0.76783548959283321</v>
      </c>
    </row>
    <row r="11" spans="1:20" s="1" customFormat="1" x14ac:dyDescent="0.2">
      <c r="A11" s="1" t="s">
        <v>288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 t="s">
        <v>283</v>
      </c>
      <c r="J11" s="1" t="s">
        <v>283</v>
      </c>
      <c r="K11" s="1" t="s">
        <v>283</v>
      </c>
      <c r="L11" s="1" t="s">
        <v>283</v>
      </c>
      <c r="M11" s="1" t="s">
        <v>283</v>
      </c>
      <c r="N11" s="1" t="s">
        <v>283</v>
      </c>
    </row>
    <row r="12" spans="1:20" x14ac:dyDescent="0.2">
      <c r="A12" t="s">
        <v>63</v>
      </c>
      <c r="C12">
        <v>252.42599999999999</v>
      </c>
      <c r="D12">
        <v>250.512</v>
      </c>
      <c r="E12">
        <v>242.78100000000001</v>
      </c>
      <c r="F12">
        <v>249.125</v>
      </c>
      <c r="G12">
        <v>233.02699999999999</v>
      </c>
      <c r="H12">
        <v>252.15600000000001</v>
      </c>
      <c r="I12">
        <v>243.965</v>
      </c>
      <c r="J12">
        <v>269.21100000000001</v>
      </c>
      <c r="K12">
        <v>291.73</v>
      </c>
      <c r="L12">
        <v>284.88299999999998</v>
      </c>
      <c r="M12">
        <v>313.54700000000003</v>
      </c>
      <c r="N12">
        <v>266.80099999999999</v>
      </c>
    </row>
    <row r="13" spans="1:20" x14ac:dyDescent="0.2">
      <c r="A13" t="s">
        <v>62</v>
      </c>
      <c r="C13">
        <v>40.988</v>
      </c>
      <c r="D13">
        <v>39.074000000000012</v>
      </c>
      <c r="E13">
        <v>31.343000000000018</v>
      </c>
      <c r="F13">
        <v>37.687000000000012</v>
      </c>
      <c r="G13">
        <v>21.588999999999999</v>
      </c>
      <c r="H13">
        <v>40.718000000000018</v>
      </c>
      <c r="I13">
        <v>32.527000000000015</v>
      </c>
      <c r="J13">
        <v>57.773000000000025</v>
      </c>
      <c r="K13">
        <v>80.29200000000003</v>
      </c>
      <c r="L13">
        <v>73.444999999999993</v>
      </c>
      <c r="M13">
        <v>102.10900000000004</v>
      </c>
      <c r="N13">
        <v>55.363</v>
      </c>
    </row>
    <row r="14" spans="1:20" x14ac:dyDescent="0.2">
      <c r="A14" t="s">
        <v>61</v>
      </c>
      <c r="C14">
        <v>6.0659999999999998</v>
      </c>
      <c r="D14">
        <v>5.3579999999999997</v>
      </c>
      <c r="E14">
        <v>1.5620000000000001</v>
      </c>
      <c r="F14">
        <v>1.8120000000000001</v>
      </c>
      <c r="G14">
        <v>1.9410000000000001</v>
      </c>
      <c r="H14">
        <v>2.1760000000000002</v>
      </c>
      <c r="I14">
        <v>4.0380000000000003</v>
      </c>
      <c r="J14">
        <v>4.2169999999999996</v>
      </c>
      <c r="K14">
        <v>3.3450000000000002</v>
      </c>
      <c r="L14">
        <v>3.782</v>
      </c>
      <c r="M14">
        <v>2.9129999999999998</v>
      </c>
      <c r="N14">
        <v>1</v>
      </c>
    </row>
    <row r="15" spans="1:20" x14ac:dyDescent="0.2">
      <c r="A15" t="s">
        <v>60</v>
      </c>
      <c r="C15">
        <v>6.1478741041111107</v>
      </c>
      <c r="D15">
        <v>5.4505196082575464</v>
      </c>
      <c r="E15">
        <v>1.8546816438407969</v>
      </c>
      <c r="F15">
        <v>2.069624120462457</v>
      </c>
      <c r="G15">
        <v>2.1834562051939579</v>
      </c>
      <c r="H15">
        <v>2.3947809920742231</v>
      </c>
      <c r="I15">
        <v>4.1599812499577444</v>
      </c>
      <c r="J15">
        <v>4.3339461233384062</v>
      </c>
      <c r="K15">
        <v>3.4912784191467745</v>
      </c>
      <c r="L15">
        <v>3.9119718812895372</v>
      </c>
      <c r="M15">
        <v>3.0798650944481314</v>
      </c>
      <c r="N15">
        <v>1</v>
      </c>
    </row>
    <row r="16" spans="1:20" x14ac:dyDescent="0.2">
      <c r="A16" t="s">
        <v>59</v>
      </c>
      <c r="I16">
        <v>0.81491075991862694</v>
      </c>
      <c r="J16">
        <v>1.4474079789952603</v>
      </c>
      <c r="K16">
        <v>2.011584675358514</v>
      </c>
      <c r="L16">
        <v>1.8400442943469586</v>
      </c>
      <c r="M16">
        <v>2.5581739104292147</v>
      </c>
      <c r="N16">
        <v>1.3870293725635601</v>
      </c>
    </row>
    <row r="18" spans="1:16" s="1" customFormat="1" x14ac:dyDescent="0.2">
      <c r="A18" s="1" t="s">
        <v>377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 t="s">
        <v>283</v>
      </c>
    </row>
    <row r="19" spans="1:16" x14ac:dyDescent="0.2">
      <c r="A19" t="s">
        <v>63</v>
      </c>
      <c r="C19">
        <v>240.809</v>
      </c>
      <c r="D19">
        <v>261.863</v>
      </c>
      <c r="E19">
        <v>257.91800000000001</v>
      </c>
      <c r="F19">
        <v>250.46100000000001</v>
      </c>
      <c r="G19">
        <v>265.75400000000002</v>
      </c>
      <c r="H19">
        <v>244.852</v>
      </c>
    </row>
    <row r="20" spans="1:16" x14ac:dyDescent="0.2">
      <c r="A20" t="s">
        <v>62</v>
      </c>
      <c r="C20">
        <v>29.371000000000009</v>
      </c>
      <c r="D20">
        <v>50.425000000000011</v>
      </c>
      <c r="E20">
        <v>46.480000000000018</v>
      </c>
      <c r="F20">
        <v>39.023000000000025</v>
      </c>
      <c r="G20">
        <v>54.316000000000031</v>
      </c>
      <c r="H20">
        <v>33.414000000000016</v>
      </c>
    </row>
    <row r="21" spans="1:16" x14ac:dyDescent="0.2">
      <c r="A21" t="s">
        <v>61</v>
      </c>
      <c r="C21">
        <v>5.9349999999999996</v>
      </c>
      <c r="D21">
        <v>2</v>
      </c>
      <c r="E21">
        <v>0.72</v>
      </c>
      <c r="F21">
        <v>1.256</v>
      </c>
      <c r="G21">
        <v>3.46</v>
      </c>
      <c r="H21">
        <v>1.6439999999999999</v>
      </c>
    </row>
    <row r="22" spans="1:16" x14ac:dyDescent="0.2">
      <c r="A22" t="s">
        <v>60</v>
      </c>
      <c r="C22">
        <v>6.2629246363021167</v>
      </c>
      <c r="D22">
        <v>2</v>
      </c>
      <c r="E22">
        <v>2.1256528408938276</v>
      </c>
      <c r="F22">
        <v>2.3616807574267948</v>
      </c>
      <c r="G22">
        <v>3.9964484232878572</v>
      </c>
      <c r="H22">
        <v>2.5889642716731336</v>
      </c>
    </row>
    <row r="23" spans="1:16" x14ac:dyDescent="0.2">
      <c r="A23" t="s">
        <v>59</v>
      </c>
      <c r="H23">
        <v>0.83713309348913212</v>
      </c>
    </row>
    <row r="25" spans="1:16" s="1" customFormat="1" x14ac:dyDescent="0.2">
      <c r="A25" s="1" t="s">
        <v>290</v>
      </c>
      <c r="C25" s="1" t="s">
        <v>283</v>
      </c>
    </row>
    <row r="26" spans="1:16" x14ac:dyDescent="0.2">
      <c r="A26" t="s">
        <v>63</v>
      </c>
      <c r="C26">
        <v>235.10499999999999</v>
      </c>
    </row>
    <row r="27" spans="1:16" x14ac:dyDescent="0.2">
      <c r="A27" t="s">
        <v>62</v>
      </c>
      <c r="C27">
        <v>23.667000000000002</v>
      </c>
    </row>
    <row r="28" spans="1:16" x14ac:dyDescent="0.2">
      <c r="A28" t="s">
        <v>61</v>
      </c>
      <c r="C28">
        <v>3.46</v>
      </c>
    </row>
    <row r="29" spans="1:16" x14ac:dyDescent="0.2">
      <c r="A29" t="s">
        <v>60</v>
      </c>
      <c r="C29">
        <v>4.5794759525517765</v>
      </c>
    </row>
    <row r="30" spans="1:16" x14ac:dyDescent="0.2">
      <c r="A30" t="s">
        <v>59</v>
      </c>
      <c r="C30">
        <v>0.59293795785022096</v>
      </c>
    </row>
    <row r="32" spans="1:16" s="1" customFormat="1" x14ac:dyDescent="0.2">
      <c r="A32" s="1" t="s">
        <v>378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 t="s">
        <v>283</v>
      </c>
      <c r="I32" s="1" t="s">
        <v>283</v>
      </c>
      <c r="J32" s="1" t="s">
        <v>283</v>
      </c>
      <c r="K32" s="1" t="s">
        <v>283</v>
      </c>
      <c r="L32" s="1" t="s">
        <v>283</v>
      </c>
      <c r="M32" s="1" t="s">
        <v>283</v>
      </c>
      <c r="N32" s="1" t="s">
        <v>283</v>
      </c>
      <c r="O32" s="1" t="s">
        <v>283</v>
      </c>
      <c r="P32" s="1" t="s">
        <v>283</v>
      </c>
    </row>
    <row r="33" spans="1:16" x14ac:dyDescent="0.2">
      <c r="A33" t="s">
        <v>63</v>
      </c>
      <c r="C33">
        <v>260.34399999999999</v>
      </c>
      <c r="D33">
        <v>267.75799999999998</v>
      </c>
      <c r="E33">
        <v>236.65600000000001</v>
      </c>
      <c r="F33">
        <v>279.34399999999999</v>
      </c>
      <c r="G33">
        <v>237.19900000000001</v>
      </c>
      <c r="H33">
        <v>265.00799999999998</v>
      </c>
      <c r="I33">
        <v>238.46899999999999</v>
      </c>
      <c r="J33">
        <v>237.69900000000001</v>
      </c>
      <c r="K33">
        <v>254.40600000000001</v>
      </c>
      <c r="L33">
        <v>353.99599999999998</v>
      </c>
      <c r="M33">
        <v>224.922</v>
      </c>
      <c r="N33">
        <v>316.29300000000001</v>
      </c>
      <c r="O33">
        <v>353.262</v>
      </c>
      <c r="P33">
        <v>284.59800000000001</v>
      </c>
    </row>
    <row r="34" spans="1:16" x14ac:dyDescent="0.2">
      <c r="A34" t="s">
        <v>62</v>
      </c>
      <c r="C34">
        <v>48.906000000000006</v>
      </c>
      <c r="D34">
        <v>56.319999999999993</v>
      </c>
      <c r="E34">
        <v>25.218000000000018</v>
      </c>
      <c r="F34">
        <v>67.906000000000006</v>
      </c>
      <c r="G34">
        <v>25.761000000000024</v>
      </c>
      <c r="H34">
        <v>53.569999999999993</v>
      </c>
      <c r="I34">
        <v>27.031000000000006</v>
      </c>
      <c r="J34">
        <v>26.261000000000024</v>
      </c>
      <c r="K34">
        <v>42.968000000000018</v>
      </c>
      <c r="L34">
        <v>142.55799999999999</v>
      </c>
      <c r="M34">
        <v>13.484000000000009</v>
      </c>
      <c r="N34">
        <v>104.85500000000002</v>
      </c>
      <c r="O34">
        <v>141.82400000000001</v>
      </c>
      <c r="P34">
        <v>73.160000000000025</v>
      </c>
    </row>
    <row r="35" spans="1:16" x14ac:dyDescent="0.2">
      <c r="A35" t="s">
        <v>61</v>
      </c>
      <c r="C35">
        <v>5.8079999999999998</v>
      </c>
      <c r="D35">
        <v>5.3109999999999999</v>
      </c>
      <c r="E35">
        <v>3.1349999999999998</v>
      </c>
      <c r="F35">
        <v>4.9539999999999997</v>
      </c>
      <c r="G35">
        <v>11.871</v>
      </c>
      <c r="H35">
        <v>5.4790000000000001</v>
      </c>
      <c r="I35">
        <v>3.9140000000000001</v>
      </c>
      <c r="J35">
        <v>3.8650000000000002</v>
      </c>
      <c r="K35">
        <v>2.4630000000000001</v>
      </c>
      <c r="L35">
        <v>3.3149999999999999</v>
      </c>
      <c r="M35">
        <v>5.3410000000000002</v>
      </c>
      <c r="N35">
        <v>3.4239999999999999</v>
      </c>
      <c r="O35">
        <v>4.1769999999999996</v>
      </c>
      <c r="P35">
        <v>4.2039999999999997</v>
      </c>
    </row>
    <row r="36" spans="1:16" x14ac:dyDescent="0.2">
      <c r="A36" t="s">
        <v>60</v>
      </c>
      <c r="C36">
        <v>5.8934594254987456</v>
      </c>
      <c r="D36">
        <v>5.4043242870871468</v>
      </c>
      <c r="E36">
        <v>3.2906268399804919</v>
      </c>
      <c r="F36">
        <v>5.0539208541487861</v>
      </c>
      <c r="G36">
        <v>11.913044992779975</v>
      </c>
      <c r="H36">
        <v>5.5695099425353396</v>
      </c>
      <c r="I36">
        <v>4.0397272185136464</v>
      </c>
      <c r="J36">
        <v>3.9922706571574027</v>
      </c>
      <c r="K36">
        <v>2.6582642833247414</v>
      </c>
      <c r="L36">
        <v>3.462546028574927</v>
      </c>
      <c r="M36">
        <v>5.4338090691521357</v>
      </c>
      <c r="N36">
        <v>3.5670402296581964</v>
      </c>
      <c r="O36">
        <v>4.295035389842556</v>
      </c>
      <c r="P36">
        <v>4.3212979531617579</v>
      </c>
    </row>
    <row r="37" spans="1:16" x14ac:dyDescent="0.2">
      <c r="A37" t="s">
        <v>59</v>
      </c>
      <c r="H37">
        <v>1.3421086915129221</v>
      </c>
      <c r="I37">
        <v>0.67721747321795422</v>
      </c>
      <c r="J37">
        <v>0.65792638319620844</v>
      </c>
      <c r="K37">
        <v>1.0764929299407742</v>
      </c>
      <c r="L37">
        <v>3.5715574172988456</v>
      </c>
      <c r="M37">
        <v>0.33781955565354221</v>
      </c>
      <c r="N37">
        <v>2.626970447052221</v>
      </c>
      <c r="O37">
        <v>3.5531682483690257</v>
      </c>
      <c r="P37">
        <v>1.8329040857025467</v>
      </c>
    </row>
    <row r="39" spans="1:16" s="1" customFormat="1" x14ac:dyDescent="0.2">
      <c r="A39" s="1" t="s">
        <v>379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 t="s">
        <v>283</v>
      </c>
      <c r="J39" s="1" t="s">
        <v>283</v>
      </c>
      <c r="K39" s="1" t="s">
        <v>283</v>
      </c>
      <c r="L39" s="1" t="s">
        <v>283</v>
      </c>
    </row>
    <row r="40" spans="1:16" x14ac:dyDescent="0.2">
      <c r="A40" t="s">
        <v>63</v>
      </c>
      <c r="C40">
        <v>259.59800000000001</v>
      </c>
      <c r="D40">
        <v>249.297</v>
      </c>
      <c r="E40">
        <v>245.10499999999999</v>
      </c>
      <c r="F40">
        <v>235.16399999999999</v>
      </c>
      <c r="G40">
        <v>272.44099999999997</v>
      </c>
      <c r="H40">
        <v>257.16800000000001</v>
      </c>
      <c r="I40">
        <v>231.78899999999999</v>
      </c>
      <c r="J40">
        <v>225.12100000000001</v>
      </c>
      <c r="K40">
        <v>221.47300000000001</v>
      </c>
      <c r="L40">
        <v>259.30900000000003</v>
      </c>
    </row>
    <row r="41" spans="1:16" x14ac:dyDescent="0.2">
      <c r="A41" t="s">
        <v>62</v>
      </c>
      <c r="C41">
        <v>48.160000000000025</v>
      </c>
      <c r="D41">
        <v>37.859000000000009</v>
      </c>
      <c r="E41">
        <v>33.667000000000002</v>
      </c>
      <c r="F41">
        <v>23.725999999999999</v>
      </c>
      <c r="G41">
        <v>61.002999999999986</v>
      </c>
      <c r="H41">
        <v>45.730000000000018</v>
      </c>
      <c r="I41">
        <v>20.350999999999999</v>
      </c>
      <c r="J41">
        <v>13.683000000000021</v>
      </c>
      <c r="K41">
        <v>10.035000000000025</v>
      </c>
      <c r="L41">
        <v>47.871000000000038</v>
      </c>
    </row>
    <row r="42" spans="1:16" x14ac:dyDescent="0.2">
      <c r="A42" t="s">
        <v>61</v>
      </c>
      <c r="C42">
        <v>5.56</v>
      </c>
      <c r="D42">
        <v>9.6170000000000009</v>
      </c>
      <c r="E42">
        <v>8.9149999999999991</v>
      </c>
      <c r="F42">
        <v>13.002000000000001</v>
      </c>
      <c r="G42">
        <v>3.3839999999999999</v>
      </c>
      <c r="H42">
        <v>3.3119999999999998</v>
      </c>
      <c r="I42">
        <v>5.1120000000000001</v>
      </c>
      <c r="J42">
        <v>11.914999999999999</v>
      </c>
      <c r="K42">
        <v>5.8259999999999996</v>
      </c>
      <c r="L42">
        <v>4.4210000000000003</v>
      </c>
    </row>
    <row r="43" spans="1:16" x14ac:dyDescent="0.2">
      <c r="A43" t="s">
        <v>60</v>
      </c>
      <c r="C43">
        <v>5.9087731383088311</v>
      </c>
      <c r="D43">
        <v>9.8227638167676616</v>
      </c>
      <c r="E43">
        <v>9.1365871637061495</v>
      </c>
      <c r="F43">
        <v>13.154923184876452</v>
      </c>
      <c r="G43">
        <v>3.9308340081972424</v>
      </c>
      <c r="H43">
        <v>3.8690236494495611</v>
      </c>
      <c r="I43">
        <v>5.4893117965734097</v>
      </c>
      <c r="J43">
        <v>12.081689658321801</v>
      </c>
      <c r="K43">
        <v>6.1597301888962628</v>
      </c>
      <c r="L43">
        <v>4.8523438666277556</v>
      </c>
    </row>
    <row r="44" spans="1:16" x14ac:dyDescent="0.2">
      <c r="A44" t="s">
        <v>59</v>
      </c>
      <c r="I44">
        <v>0.50986100393838862</v>
      </c>
      <c r="J44">
        <v>0.34280517502279906</v>
      </c>
      <c r="K44">
        <v>0.25141050437431789</v>
      </c>
      <c r="L44">
        <v>1.1993295719883359</v>
      </c>
    </row>
    <row r="46" spans="1:16" s="1" customFormat="1" x14ac:dyDescent="0.2">
      <c r="A46" s="1" t="s">
        <v>380</v>
      </c>
      <c r="C46" s="1">
        <v>1</v>
      </c>
      <c r="D46" s="1">
        <v>1</v>
      </c>
      <c r="E46" s="1">
        <v>1</v>
      </c>
      <c r="F46" s="1" t="s">
        <v>283</v>
      </c>
      <c r="G46" s="1" t="s">
        <v>283</v>
      </c>
      <c r="H46" s="1" t="s">
        <v>283</v>
      </c>
    </row>
    <row r="47" spans="1:16" x14ac:dyDescent="0.2">
      <c r="A47" t="s">
        <v>63</v>
      </c>
      <c r="C47">
        <v>273.05500000000001</v>
      </c>
      <c r="D47">
        <v>266.09399999999999</v>
      </c>
      <c r="E47">
        <v>235.672</v>
      </c>
      <c r="F47">
        <v>224.42599999999999</v>
      </c>
      <c r="G47">
        <v>234.12100000000001</v>
      </c>
      <c r="H47">
        <v>224.828</v>
      </c>
    </row>
    <row r="48" spans="1:16" x14ac:dyDescent="0.2">
      <c r="A48" t="s">
        <v>62</v>
      </c>
      <c r="C48">
        <v>61.617000000000019</v>
      </c>
      <c r="D48">
        <v>54.656000000000006</v>
      </c>
      <c r="E48">
        <v>24.234000000000009</v>
      </c>
      <c r="F48">
        <v>12.988</v>
      </c>
      <c r="G48">
        <v>22.683000000000021</v>
      </c>
      <c r="H48">
        <v>13.390000000000015</v>
      </c>
    </row>
    <row r="49" spans="1:8" x14ac:dyDescent="0.2">
      <c r="A49" t="s">
        <v>61</v>
      </c>
      <c r="C49">
        <v>9.7249999999999996</v>
      </c>
      <c r="D49">
        <v>8.8840000000000003</v>
      </c>
      <c r="E49">
        <v>5.4420000000000002</v>
      </c>
      <c r="F49">
        <v>5.0439999999999996</v>
      </c>
      <c r="G49">
        <v>8.3230000000000004</v>
      </c>
      <c r="H49">
        <v>12.973000000000001</v>
      </c>
    </row>
    <row r="50" spans="1:8" x14ac:dyDescent="0.2">
      <c r="A50" t="s">
        <v>60</v>
      </c>
      <c r="C50">
        <v>10.177211061975672</v>
      </c>
      <c r="D50">
        <v>9.3768574693230793</v>
      </c>
      <c r="E50">
        <v>6.2141261654395139</v>
      </c>
      <c r="F50">
        <v>5.8687252448892169</v>
      </c>
      <c r="G50">
        <v>8.8471650261538599</v>
      </c>
      <c r="H50">
        <v>13.315356885941886</v>
      </c>
    </row>
    <row r="51" spans="1:8" x14ac:dyDescent="0.2">
      <c r="A51" t="s">
        <v>59</v>
      </c>
      <c r="F51">
        <v>0.32539308727589761</v>
      </c>
      <c r="G51">
        <v>0.56828544800424952</v>
      </c>
      <c r="H51">
        <v>0.33546453946906946</v>
      </c>
    </row>
    <row r="53" spans="1:8" s="1" customFormat="1" x14ac:dyDescent="0.2">
      <c r="A53" s="1" t="s">
        <v>381</v>
      </c>
      <c r="C53" s="1">
        <v>1</v>
      </c>
      <c r="D53" s="1">
        <v>1</v>
      </c>
      <c r="E53" s="1">
        <v>1</v>
      </c>
      <c r="F53" s="1" t="s">
        <v>283</v>
      </c>
    </row>
    <row r="54" spans="1:8" x14ac:dyDescent="0.2">
      <c r="A54" t="s">
        <v>63</v>
      </c>
      <c r="C54">
        <v>252.55099999999999</v>
      </c>
      <c r="D54">
        <v>230.727</v>
      </c>
      <c r="E54">
        <v>245.566</v>
      </c>
      <c r="F54">
        <v>226.69900000000001</v>
      </c>
    </row>
    <row r="55" spans="1:8" x14ac:dyDescent="0.2">
      <c r="A55" t="s">
        <v>62</v>
      </c>
      <c r="C55">
        <v>41.113</v>
      </c>
      <c r="D55">
        <v>19.289000000000016</v>
      </c>
      <c r="E55">
        <v>34.128000000000014</v>
      </c>
      <c r="F55">
        <v>15.261000000000024</v>
      </c>
    </row>
    <row r="56" spans="1:8" x14ac:dyDescent="0.2">
      <c r="A56" t="s">
        <v>61</v>
      </c>
      <c r="C56">
        <v>11.509</v>
      </c>
      <c r="D56">
        <v>5.0629999999999997</v>
      </c>
      <c r="E56">
        <v>8.4120000000000008</v>
      </c>
      <c r="F56">
        <v>3.6349999999999998</v>
      </c>
    </row>
    <row r="57" spans="1:8" x14ac:dyDescent="0.2">
      <c r="A57" t="s">
        <v>60</v>
      </c>
      <c r="C57">
        <v>12.184296491796315</v>
      </c>
      <c r="D57">
        <v>6.4524389962246058</v>
      </c>
      <c r="E57">
        <v>9.3145984347152613</v>
      </c>
      <c r="F57">
        <v>5.4049259939429328</v>
      </c>
    </row>
    <row r="58" spans="1:8" x14ac:dyDescent="0.2">
      <c r="A58" t="s">
        <v>59</v>
      </c>
      <c r="F58">
        <v>0.38233938288554675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C13D-3407-E143-AA6F-DE43D81C8233}">
  <dimension ref="A7:AG50"/>
  <sheetViews>
    <sheetView topLeftCell="A27" zoomScale="85" zoomScaleNormal="85" workbookViewId="0">
      <selection activeCell="J75" sqref="J75"/>
    </sheetView>
  </sheetViews>
  <sheetFormatPr baseColWidth="10" defaultColWidth="8.83203125" defaultRowHeight="15" x14ac:dyDescent="0.2"/>
  <cols>
    <col min="1" max="1" width="19.6640625" customWidth="1"/>
    <col min="2" max="2" width="12" customWidth="1"/>
  </cols>
  <sheetData>
    <row r="7" spans="1:16" x14ac:dyDescent="0.2">
      <c r="A7" t="s">
        <v>367</v>
      </c>
    </row>
    <row r="8" spans="1:16" s="1" customFormat="1" x14ac:dyDescent="0.2">
      <c r="A8" s="1" t="s">
        <v>13</v>
      </c>
      <c r="C8" s="1" t="s">
        <v>23</v>
      </c>
    </row>
    <row r="9" spans="1:16" x14ac:dyDescent="0.2">
      <c r="A9" t="s">
        <v>3</v>
      </c>
      <c r="B9">
        <v>209.81100000000001</v>
      </c>
      <c r="C9">
        <v>247.238</v>
      </c>
      <c r="D9">
        <v>274.42200000000003</v>
      </c>
      <c r="E9">
        <v>319.33600000000001</v>
      </c>
      <c r="F9">
        <v>303.36700000000002</v>
      </c>
    </row>
    <row r="10" spans="1:16" x14ac:dyDescent="0.2">
      <c r="A10" t="s">
        <v>4</v>
      </c>
      <c r="C10">
        <f>C9-B9</f>
        <v>37.426999999999992</v>
      </c>
      <c r="D10">
        <f>D9-B9</f>
        <v>64.611000000000018</v>
      </c>
      <c r="E10">
        <f>E9-B9</f>
        <v>109.52500000000001</v>
      </c>
      <c r="F10">
        <f>F9-B9</f>
        <v>93.556000000000012</v>
      </c>
    </row>
    <row r="11" spans="1:16" x14ac:dyDescent="0.2">
      <c r="A11" t="s">
        <v>31</v>
      </c>
      <c r="C11">
        <v>6.9669999999999996</v>
      </c>
      <c r="D11">
        <v>5.3979999999999997</v>
      </c>
      <c r="E11">
        <v>6.6859999999999999</v>
      </c>
      <c r="F11">
        <v>6.9039999999999999</v>
      </c>
    </row>
    <row r="12" spans="1:16" x14ac:dyDescent="0.2">
      <c r="A12" t="s">
        <v>17</v>
      </c>
      <c r="C12">
        <f>SQRT(16+C11^2)</f>
        <v>8.0336224083535317</v>
      </c>
      <c r="D12">
        <f>SQRT(16+D11^2)</f>
        <v>6.7185120376464305</v>
      </c>
      <c r="E12">
        <f>SQRT(16+E11^2)</f>
        <v>7.7911870725839973</v>
      </c>
      <c r="F12">
        <f>SQRT(16+F11^2)</f>
        <v>7.979048564835284</v>
      </c>
    </row>
    <row r="13" spans="1:16" x14ac:dyDescent="0.2">
      <c r="A13" t="s">
        <v>10</v>
      </c>
    </row>
    <row r="15" spans="1:16" s="1" customFormat="1" x14ac:dyDescent="0.2">
      <c r="A15" s="1" t="s">
        <v>14</v>
      </c>
      <c r="C15" s="1" t="s">
        <v>23</v>
      </c>
      <c r="F15" s="1" t="s">
        <v>25</v>
      </c>
    </row>
    <row r="16" spans="1:16" x14ac:dyDescent="0.2">
      <c r="A16" t="s">
        <v>9</v>
      </c>
      <c r="B16">
        <v>209.81100000000001</v>
      </c>
      <c r="C16">
        <v>256.36700000000002</v>
      </c>
      <c r="D16">
        <v>246.85499999999999</v>
      </c>
      <c r="E16">
        <v>247.24600000000001</v>
      </c>
      <c r="F16">
        <v>299.10199999999998</v>
      </c>
      <c r="G16">
        <v>281.68799999999999</v>
      </c>
      <c r="H16">
        <v>294.81200000000001</v>
      </c>
      <c r="I16">
        <v>331.85899999999998</v>
      </c>
      <c r="J16">
        <v>356.738</v>
      </c>
      <c r="K16">
        <v>555.48</v>
      </c>
      <c r="L16">
        <v>488.07799999999997</v>
      </c>
      <c r="M16">
        <v>785.60199999999998</v>
      </c>
      <c r="N16">
        <v>688.05499999999995</v>
      </c>
      <c r="O16">
        <v>618.33600000000001</v>
      </c>
      <c r="P16">
        <v>568.91</v>
      </c>
    </row>
    <row r="17" spans="1:33" x14ac:dyDescent="0.2">
      <c r="A17" t="s">
        <v>4</v>
      </c>
      <c r="C17">
        <f>C16-B16</f>
        <v>46.556000000000012</v>
      </c>
      <c r="D17">
        <f>D16-B16</f>
        <v>37.043999999999983</v>
      </c>
      <c r="E17">
        <f>E16-B16</f>
        <v>37.435000000000002</v>
      </c>
      <c r="F17">
        <f>F16-B16</f>
        <v>89.290999999999968</v>
      </c>
      <c r="G17">
        <f>G16-B16</f>
        <v>71.876999999999981</v>
      </c>
      <c r="H17">
        <f>H16-B16</f>
        <v>85.001000000000005</v>
      </c>
      <c r="I17">
        <f>I16-B16</f>
        <v>122.04799999999997</v>
      </c>
      <c r="J17">
        <f>J16-B16</f>
        <v>146.92699999999999</v>
      </c>
      <c r="K17">
        <f>K16-B16</f>
        <v>345.66899999999998</v>
      </c>
      <c r="L17">
        <f>L16-B16</f>
        <v>278.26699999999994</v>
      </c>
      <c r="M17">
        <f>M16-B16</f>
        <v>575.79099999999994</v>
      </c>
      <c r="N17">
        <f>N16-B16</f>
        <v>478.24399999999991</v>
      </c>
      <c r="O17">
        <f>O16-B16</f>
        <v>408.52499999999998</v>
      </c>
      <c r="P17">
        <f>P16-B16</f>
        <v>359.09899999999993</v>
      </c>
    </row>
    <row r="18" spans="1:33" x14ac:dyDescent="0.2">
      <c r="A18" t="s">
        <v>5</v>
      </c>
      <c r="C18">
        <v>26.983000000000001</v>
      </c>
      <c r="D18">
        <v>2.6349999999999998</v>
      </c>
      <c r="E18">
        <v>5.431</v>
      </c>
      <c r="F18">
        <v>10.62</v>
      </c>
      <c r="G18">
        <v>6.9349999999999996</v>
      </c>
      <c r="H18">
        <v>7.1779999999999999</v>
      </c>
      <c r="I18">
        <v>4.8099999999999996</v>
      </c>
      <c r="J18">
        <v>5.23</v>
      </c>
      <c r="K18">
        <v>7.3479999999999999</v>
      </c>
      <c r="L18">
        <v>8.5399999999999991</v>
      </c>
      <c r="M18">
        <v>7.3550000000000004</v>
      </c>
      <c r="N18">
        <v>7.6379999999999999</v>
      </c>
      <c r="O18">
        <v>7.9459999999999997</v>
      </c>
      <c r="P18">
        <v>8.6530000000000005</v>
      </c>
    </row>
    <row r="19" spans="1:33" x14ac:dyDescent="0.2">
      <c r="A19" t="s">
        <v>6</v>
      </c>
      <c r="C19">
        <f t="shared" ref="C19:P19" si="0">SQRT(9+C18^2)</f>
        <v>27.149259455830467</v>
      </c>
      <c r="D19">
        <f t="shared" si="0"/>
        <v>3.9928968181008631</v>
      </c>
      <c r="E19">
        <f t="shared" si="0"/>
        <v>6.204495225237908</v>
      </c>
      <c r="F19">
        <f t="shared" si="0"/>
        <v>11.035596948058586</v>
      </c>
      <c r="G19">
        <f t="shared" si="0"/>
        <v>7.5560720615939072</v>
      </c>
      <c r="H19">
        <f t="shared" si="0"/>
        <v>7.7796969092632393</v>
      </c>
      <c r="I19">
        <f t="shared" si="0"/>
        <v>5.6688711398302223</v>
      </c>
      <c r="J19">
        <f t="shared" si="0"/>
        <v>6.029336613591914</v>
      </c>
      <c r="K19">
        <f t="shared" si="0"/>
        <v>7.9368195141378886</v>
      </c>
      <c r="L19">
        <f t="shared" si="0"/>
        <v>9.0516075920247445</v>
      </c>
      <c r="M19">
        <f t="shared" si="0"/>
        <v>7.9433006363853558</v>
      </c>
      <c r="N19">
        <f t="shared" si="0"/>
        <v>8.2060370459802332</v>
      </c>
      <c r="O19">
        <f t="shared" si="0"/>
        <v>8.4934631334927211</v>
      </c>
      <c r="P19">
        <f t="shared" si="0"/>
        <v>9.1582972762408197</v>
      </c>
    </row>
    <row r="20" spans="1:33" x14ac:dyDescent="0.2">
      <c r="A20" t="s">
        <v>10</v>
      </c>
      <c r="F20">
        <f t="shared" ref="F20:P20" si="1">F17/56.06</f>
        <v>1.5927755975740272</v>
      </c>
      <c r="G20">
        <f t="shared" si="1"/>
        <v>1.2821441312879054</v>
      </c>
      <c r="H20">
        <f t="shared" si="1"/>
        <v>1.5162504459507671</v>
      </c>
      <c r="I20">
        <f t="shared" si="1"/>
        <v>2.1770959686050655</v>
      </c>
      <c r="J20">
        <f t="shared" si="1"/>
        <v>2.6208883339279341</v>
      </c>
      <c r="K20">
        <f t="shared" si="1"/>
        <v>6.1660542276132713</v>
      </c>
      <c r="L20">
        <f t="shared" si="1"/>
        <v>4.9637352836246862</v>
      </c>
      <c r="M20">
        <f t="shared" si="1"/>
        <v>10.27097752408134</v>
      </c>
      <c r="N20">
        <f t="shared" si="1"/>
        <v>8.530931145201567</v>
      </c>
      <c r="O20">
        <f t="shared" si="1"/>
        <v>7.2872814841241516</v>
      </c>
      <c r="P20">
        <f t="shared" si="1"/>
        <v>6.4056189796646432</v>
      </c>
    </row>
    <row r="22" spans="1:33" s="1" customFormat="1" x14ac:dyDescent="0.2">
      <c r="A22" s="1" t="s">
        <v>15</v>
      </c>
      <c r="C22" s="1" t="s">
        <v>23</v>
      </c>
      <c r="I22" s="1" t="s">
        <v>25</v>
      </c>
    </row>
    <row r="23" spans="1:33" x14ac:dyDescent="0.2">
      <c r="A23" t="s">
        <v>9</v>
      </c>
      <c r="B23">
        <v>209.81100000000001</v>
      </c>
      <c r="C23">
        <v>246.137</v>
      </c>
      <c r="D23">
        <v>311.05900000000003</v>
      </c>
      <c r="E23">
        <v>280.74200000000002</v>
      </c>
      <c r="F23">
        <v>242.94499999999999</v>
      </c>
      <c r="G23">
        <v>298.93</v>
      </c>
      <c r="H23">
        <v>281.20299999999997</v>
      </c>
      <c r="I23">
        <v>435.03100000000001</v>
      </c>
      <c r="J23">
        <v>429.84</v>
      </c>
      <c r="K23">
        <v>417.41</v>
      </c>
      <c r="L23">
        <v>339.75</v>
      </c>
      <c r="M23">
        <v>331.08199999999999</v>
      </c>
      <c r="N23">
        <v>363.19900000000001</v>
      </c>
      <c r="O23">
        <v>522.70699999999999</v>
      </c>
      <c r="P23">
        <v>412.45699999999999</v>
      </c>
      <c r="Q23">
        <v>417.92200000000003</v>
      </c>
      <c r="R23">
        <v>384.03500000000003</v>
      </c>
      <c r="S23">
        <v>308.31200000000001</v>
      </c>
      <c r="T23">
        <v>333.02</v>
      </c>
      <c r="U23">
        <v>290.51600000000002</v>
      </c>
      <c r="V23">
        <v>294.58999999999997</v>
      </c>
      <c r="W23">
        <v>277.28100000000001</v>
      </c>
      <c r="X23">
        <v>276.34800000000001</v>
      </c>
      <c r="Y23">
        <v>278.41800000000001</v>
      </c>
    </row>
    <row r="24" spans="1:33" x14ac:dyDescent="0.2">
      <c r="A24" t="s">
        <v>4</v>
      </c>
      <c r="C24">
        <f>C23-B23</f>
        <v>36.325999999999993</v>
      </c>
      <c r="D24">
        <f>D23-B23</f>
        <v>101.24800000000002</v>
      </c>
      <c r="E24">
        <f>E23-B23</f>
        <v>70.931000000000012</v>
      </c>
      <c r="F24">
        <f>F23-B23</f>
        <v>33.133999999999986</v>
      </c>
      <c r="G24">
        <f>G23-B23</f>
        <v>89.119</v>
      </c>
      <c r="H24">
        <f>H23-B23</f>
        <v>71.391999999999967</v>
      </c>
      <c r="I24">
        <f>I23-B23</f>
        <v>225.22</v>
      </c>
      <c r="J24">
        <f>J23-B23</f>
        <v>220.02899999999997</v>
      </c>
      <c r="K24">
        <f>K23-B23</f>
        <v>207.59900000000002</v>
      </c>
      <c r="L24">
        <f>L23-B23</f>
        <v>129.93899999999999</v>
      </c>
      <c r="M24">
        <f>M23-B23</f>
        <v>121.27099999999999</v>
      </c>
      <c r="N24">
        <f>N23-B23</f>
        <v>153.38800000000001</v>
      </c>
      <c r="O24">
        <f>O23-B23</f>
        <v>312.89599999999996</v>
      </c>
      <c r="P24">
        <f>P23-B23</f>
        <v>202.64599999999999</v>
      </c>
      <c r="Q24">
        <f>Q23-B23</f>
        <v>208.11100000000002</v>
      </c>
      <c r="R24">
        <f>R23-B23</f>
        <v>174.22400000000002</v>
      </c>
      <c r="S24">
        <f>S23-B23</f>
        <v>98.501000000000005</v>
      </c>
      <c r="T24">
        <f>T23-B23</f>
        <v>123.20899999999997</v>
      </c>
      <c r="U24">
        <f>U23-B23</f>
        <v>80.705000000000013</v>
      </c>
      <c r="V24">
        <f>V23-B23</f>
        <v>84.778999999999968</v>
      </c>
      <c r="W24">
        <f>W23-B23</f>
        <v>67.47</v>
      </c>
      <c r="X24">
        <f>X23-B23</f>
        <v>66.537000000000006</v>
      </c>
      <c r="Y24">
        <f>Y23-B23</f>
        <v>68.606999999999999</v>
      </c>
    </row>
    <row r="25" spans="1:33" x14ac:dyDescent="0.2">
      <c r="A25" t="s">
        <v>5</v>
      </c>
      <c r="C25">
        <v>35.670999999999999</v>
      </c>
      <c r="D25">
        <v>28.253</v>
      </c>
      <c r="E25">
        <v>21.853000000000002</v>
      </c>
      <c r="F25">
        <v>20.896000000000001</v>
      </c>
      <c r="G25">
        <v>13.736000000000001</v>
      </c>
      <c r="H25">
        <v>6.984</v>
      </c>
      <c r="I25">
        <v>26.905000000000001</v>
      </c>
      <c r="J25">
        <v>24.885999999999999</v>
      </c>
      <c r="K25">
        <v>10.815</v>
      </c>
      <c r="L25">
        <v>9.6300000000000008</v>
      </c>
      <c r="M25">
        <v>6.5049999999999999</v>
      </c>
      <c r="N25">
        <v>5.819</v>
      </c>
      <c r="O25">
        <v>5</v>
      </c>
      <c r="P25">
        <v>4.5890000000000004</v>
      </c>
      <c r="Q25">
        <v>4.2140000000000004</v>
      </c>
      <c r="R25">
        <v>3.5350000000000001</v>
      </c>
      <c r="S25">
        <v>3.589</v>
      </c>
      <c r="T25">
        <v>3.5009999999999999</v>
      </c>
      <c r="U25">
        <v>2.9009999999999998</v>
      </c>
      <c r="V25">
        <v>5.3410000000000002</v>
      </c>
      <c r="W25">
        <v>5.9349999999999996</v>
      </c>
      <c r="X25">
        <v>4.62</v>
      </c>
      <c r="Y25">
        <v>5.3789999999999996</v>
      </c>
    </row>
    <row r="26" spans="1:33" x14ac:dyDescent="0.2">
      <c r="A26" t="s">
        <v>17</v>
      </c>
      <c r="C26">
        <f t="shared" ref="C26:Y26" si="2">SQRT(4+C25^2)</f>
        <v>35.727023959462393</v>
      </c>
      <c r="D26">
        <f t="shared" si="2"/>
        <v>28.323700482105089</v>
      </c>
      <c r="E26">
        <f t="shared" si="2"/>
        <v>21.944329768758035</v>
      </c>
      <c r="F26">
        <f t="shared" si="2"/>
        <v>20.991493896338106</v>
      </c>
      <c r="G26">
        <f t="shared" si="2"/>
        <v>13.880839167716051</v>
      </c>
      <c r="H26">
        <f t="shared" si="2"/>
        <v>7.2647268358830948</v>
      </c>
      <c r="I26">
        <f t="shared" si="2"/>
        <v>26.979233217421136</v>
      </c>
      <c r="J26">
        <f t="shared" si="2"/>
        <v>24.966237121360521</v>
      </c>
      <c r="K26">
        <f t="shared" si="2"/>
        <v>10.998373743422251</v>
      </c>
      <c r="L26">
        <f t="shared" si="2"/>
        <v>9.8354918534865359</v>
      </c>
      <c r="M26">
        <f t="shared" si="2"/>
        <v>6.8055143082650265</v>
      </c>
      <c r="N26">
        <f t="shared" si="2"/>
        <v>6.1531098641256197</v>
      </c>
      <c r="O26">
        <f t="shared" si="2"/>
        <v>5.3851648071345037</v>
      </c>
      <c r="P26">
        <f t="shared" si="2"/>
        <v>5.0058886324008451</v>
      </c>
      <c r="Q26">
        <f t="shared" si="2"/>
        <v>4.6645252705929252</v>
      </c>
      <c r="R26">
        <f t="shared" si="2"/>
        <v>4.061554505358755</v>
      </c>
      <c r="S26">
        <f t="shared" si="2"/>
        <v>4.1086397992523027</v>
      </c>
      <c r="T26">
        <f t="shared" si="2"/>
        <v>4.0319971478164511</v>
      </c>
      <c r="U26">
        <f t="shared" si="2"/>
        <v>3.5236062492849562</v>
      </c>
      <c r="V26">
        <f t="shared" si="2"/>
        <v>5.7031816558829682</v>
      </c>
      <c r="W26">
        <f t="shared" si="2"/>
        <v>6.2629246363021167</v>
      </c>
      <c r="X26">
        <f t="shared" si="2"/>
        <v>5.0343221986678603</v>
      </c>
      <c r="Y26">
        <f t="shared" si="2"/>
        <v>5.7387839304159201</v>
      </c>
    </row>
    <row r="27" spans="1:33" x14ac:dyDescent="0.2">
      <c r="A27" t="s">
        <v>10</v>
      </c>
      <c r="I27">
        <f t="shared" ref="I27:Y27" si="3">I24/56.06</f>
        <v>4.0174812700677842</v>
      </c>
      <c r="J27">
        <f t="shared" si="3"/>
        <v>3.9248840528005702</v>
      </c>
      <c r="K27">
        <f t="shared" si="3"/>
        <v>3.7031573314306101</v>
      </c>
      <c r="L27">
        <f t="shared" si="3"/>
        <v>2.317855868712094</v>
      </c>
      <c r="M27">
        <f t="shared" si="3"/>
        <v>2.163235818765608</v>
      </c>
      <c r="N27">
        <f t="shared" si="3"/>
        <v>2.7361398501605421</v>
      </c>
      <c r="O27">
        <f t="shared" si="3"/>
        <v>5.5814484480913293</v>
      </c>
      <c r="P27">
        <f t="shared" si="3"/>
        <v>3.6148055654655722</v>
      </c>
      <c r="Q27">
        <f t="shared" si="3"/>
        <v>3.7122904031394937</v>
      </c>
      <c r="R27">
        <f t="shared" si="3"/>
        <v>3.107813057438459</v>
      </c>
      <c r="S27">
        <f t="shared" si="3"/>
        <v>1.7570638601498394</v>
      </c>
      <c r="T27">
        <f t="shared" si="3"/>
        <v>2.1978059222261859</v>
      </c>
      <c r="U27">
        <f t="shared" si="3"/>
        <v>1.439618266143418</v>
      </c>
      <c r="V27">
        <f t="shared" si="3"/>
        <v>1.5122904031394928</v>
      </c>
      <c r="W27">
        <f t="shared" si="3"/>
        <v>1.2035319300749197</v>
      </c>
      <c r="X27">
        <f t="shared" si="3"/>
        <v>1.1868890474491616</v>
      </c>
      <c r="Y27">
        <f t="shared" si="3"/>
        <v>1.2238137709596859</v>
      </c>
    </row>
    <row r="29" spans="1:33" s="1" customFormat="1" x14ac:dyDescent="0.2">
      <c r="A29" s="1" t="s">
        <v>16</v>
      </c>
      <c r="C29" s="1" t="s">
        <v>23</v>
      </c>
      <c r="L29" s="1" t="s">
        <v>25</v>
      </c>
    </row>
    <row r="30" spans="1:33" x14ac:dyDescent="0.2">
      <c r="A30" t="s">
        <v>9</v>
      </c>
      <c r="B30">
        <v>209.81100000000001</v>
      </c>
      <c r="C30">
        <v>302.08600000000001</v>
      </c>
      <c r="D30">
        <v>311.33199999999999</v>
      </c>
      <c r="E30">
        <v>262.55900000000003</v>
      </c>
      <c r="F30">
        <v>261.56599999999997</v>
      </c>
      <c r="G30">
        <v>262.69900000000001</v>
      </c>
      <c r="H30">
        <v>284.30099999999999</v>
      </c>
      <c r="I30">
        <v>241.32</v>
      </c>
      <c r="J30">
        <v>235.33600000000001</v>
      </c>
      <c r="K30">
        <v>238.387</v>
      </c>
      <c r="L30">
        <v>399.60899999999998</v>
      </c>
      <c r="M30">
        <v>417.64499999999998</v>
      </c>
      <c r="N30">
        <v>456.52</v>
      </c>
      <c r="O30">
        <v>374.03899999999999</v>
      </c>
      <c r="P30">
        <v>412.52</v>
      </c>
      <c r="Q30">
        <v>285.31599999999997</v>
      </c>
      <c r="R30">
        <v>272.887</v>
      </c>
      <c r="S30">
        <v>366.70699999999999</v>
      </c>
      <c r="T30">
        <v>460.32</v>
      </c>
      <c r="U30">
        <v>556.09400000000005</v>
      </c>
      <c r="V30">
        <v>310.57</v>
      </c>
      <c r="W30">
        <v>377.08199999999999</v>
      </c>
      <c r="X30">
        <v>465.30099999999999</v>
      </c>
      <c r="Y30">
        <v>402.71499999999997</v>
      </c>
      <c r="Z30">
        <v>520.89499999999998</v>
      </c>
      <c r="AA30">
        <v>456.40600000000001</v>
      </c>
      <c r="AB30">
        <v>573.86300000000006</v>
      </c>
      <c r="AC30">
        <v>522.96500000000003</v>
      </c>
      <c r="AD30">
        <v>442.63299999999998</v>
      </c>
      <c r="AE30">
        <v>510.91</v>
      </c>
      <c r="AF30">
        <v>413.51600000000002</v>
      </c>
      <c r="AG30">
        <v>417.14800000000002</v>
      </c>
    </row>
    <row r="31" spans="1:33" x14ac:dyDescent="0.2">
      <c r="A31" t="s">
        <v>4</v>
      </c>
      <c r="C31">
        <f>C30-B30</f>
        <v>92.275000000000006</v>
      </c>
      <c r="D31">
        <f>D30-B30</f>
        <v>101.52099999999999</v>
      </c>
      <c r="E31">
        <f>E30-B30</f>
        <v>52.748000000000019</v>
      </c>
      <c r="F31">
        <f>F30-B30</f>
        <v>51.754999999999967</v>
      </c>
      <c r="G31">
        <f>G30-B30</f>
        <v>52.888000000000005</v>
      </c>
      <c r="H31">
        <f>H30-B30</f>
        <v>74.489999999999981</v>
      </c>
      <c r="I31">
        <f>I30-B30</f>
        <v>31.508999999999986</v>
      </c>
      <c r="J31">
        <f>J30-B30</f>
        <v>25.525000000000006</v>
      </c>
      <c r="K31">
        <f>K30-B30</f>
        <v>28.575999999999993</v>
      </c>
      <c r="L31">
        <f>L30-B30</f>
        <v>189.79799999999997</v>
      </c>
      <c r="M31">
        <f>M30-B30</f>
        <v>207.83399999999997</v>
      </c>
      <c r="N31">
        <f>N30-B30</f>
        <v>246.70899999999997</v>
      </c>
      <c r="O31">
        <f>O30-B30</f>
        <v>164.22799999999998</v>
      </c>
      <c r="P31">
        <f>P30-B30</f>
        <v>202.70899999999997</v>
      </c>
      <c r="Q31">
        <f>Q30-B30</f>
        <v>75.504999999999967</v>
      </c>
      <c r="R31">
        <f>R30-B30</f>
        <v>63.075999999999993</v>
      </c>
      <c r="S31">
        <f>S30-B30</f>
        <v>156.89599999999999</v>
      </c>
      <c r="T31">
        <f>T30-B30</f>
        <v>250.50899999999999</v>
      </c>
      <c r="U31">
        <f>U30-B30</f>
        <v>346.28300000000002</v>
      </c>
      <c r="V31">
        <f>V30-B30</f>
        <v>100.75899999999999</v>
      </c>
      <c r="W31">
        <f>W30-B30</f>
        <v>167.27099999999999</v>
      </c>
      <c r="X31">
        <f>X30-B30</f>
        <v>255.48999999999998</v>
      </c>
      <c r="Y31">
        <f>Y30-B30</f>
        <v>192.90399999999997</v>
      </c>
      <c r="Z31">
        <f>Z30-B30</f>
        <v>311.08399999999995</v>
      </c>
      <c r="AA31">
        <f>AA30-B30</f>
        <v>246.595</v>
      </c>
      <c r="AB31">
        <f>AB30-B30</f>
        <v>364.05200000000002</v>
      </c>
      <c r="AC31">
        <f>AC30-B30</f>
        <v>313.154</v>
      </c>
      <c r="AD31">
        <f>AD30-B30</f>
        <v>232.82199999999997</v>
      </c>
      <c r="AE31">
        <f>AE30-B30</f>
        <v>301.09900000000005</v>
      </c>
      <c r="AF31">
        <f>AF30-B30</f>
        <v>203.70500000000001</v>
      </c>
      <c r="AG31">
        <f>AG30-B30</f>
        <v>207.33700000000002</v>
      </c>
    </row>
    <row r="32" spans="1:33" x14ac:dyDescent="0.2">
      <c r="A32" t="s">
        <v>5</v>
      </c>
      <c r="C32">
        <v>26.87</v>
      </c>
      <c r="D32">
        <v>21.66</v>
      </c>
      <c r="E32">
        <v>21.305</v>
      </c>
      <c r="F32">
        <v>18.951000000000001</v>
      </c>
      <c r="G32">
        <v>14.407</v>
      </c>
      <c r="H32">
        <v>8.0470000000000006</v>
      </c>
      <c r="I32">
        <v>8.0969999999999995</v>
      </c>
      <c r="J32">
        <v>7.0380000000000003</v>
      </c>
      <c r="K32">
        <v>7.6</v>
      </c>
      <c r="L32">
        <v>35.529000000000003</v>
      </c>
      <c r="M32">
        <v>24.77</v>
      </c>
      <c r="N32">
        <v>28.097000000000001</v>
      </c>
      <c r="O32">
        <v>20.75</v>
      </c>
      <c r="P32">
        <v>13.795</v>
      </c>
      <c r="Q32">
        <v>9.7590000000000003</v>
      </c>
      <c r="R32">
        <v>5.9210000000000003</v>
      </c>
      <c r="S32">
        <v>6.6269999999999998</v>
      </c>
      <c r="T32">
        <v>6.048</v>
      </c>
      <c r="U32">
        <v>5.2530000000000001</v>
      </c>
      <c r="V32">
        <v>5.6379999999999999</v>
      </c>
      <c r="W32">
        <v>4.8159999999999998</v>
      </c>
      <c r="X32">
        <v>4.1769999999999996</v>
      </c>
      <c r="Y32">
        <v>3.4039999999999999</v>
      </c>
      <c r="Z32">
        <v>4.5759999999999996</v>
      </c>
      <c r="AA32">
        <v>3.952</v>
      </c>
      <c r="AB32">
        <v>3.419</v>
      </c>
      <c r="AC32">
        <v>4.1959999999999997</v>
      </c>
      <c r="AD32">
        <v>3.3580000000000001</v>
      </c>
      <c r="AE32">
        <v>3.7029999999999998</v>
      </c>
      <c r="AF32">
        <v>2.97</v>
      </c>
      <c r="AG32">
        <v>3.782</v>
      </c>
    </row>
    <row r="33" spans="1:33" x14ac:dyDescent="0.2">
      <c r="A33" t="s">
        <v>6</v>
      </c>
      <c r="C33">
        <f t="shared" ref="C33:AG33" si="4">SQRT(1+C32^2)</f>
        <v>26.88860167431546</v>
      </c>
      <c r="D33">
        <f t="shared" si="4"/>
        <v>21.683071738109433</v>
      </c>
      <c r="E33">
        <f t="shared" si="4"/>
        <v>21.328455757508561</v>
      </c>
      <c r="F33">
        <f t="shared" si="4"/>
        <v>18.977365491553353</v>
      </c>
      <c r="G33">
        <f t="shared" si="4"/>
        <v>14.441663650701743</v>
      </c>
      <c r="H33">
        <f t="shared" si="4"/>
        <v>8.1088969040184491</v>
      </c>
      <c r="I33">
        <f t="shared" si="4"/>
        <v>8.1585175736772175</v>
      </c>
      <c r="J33">
        <f t="shared" si="4"/>
        <v>7.1086879239420835</v>
      </c>
      <c r="K33">
        <f t="shared" si="4"/>
        <v>7.6655071586947203</v>
      </c>
      <c r="L33">
        <f t="shared" si="4"/>
        <v>35.543070224728758</v>
      </c>
      <c r="M33">
        <f t="shared" si="4"/>
        <v>24.790177490288368</v>
      </c>
      <c r="N33">
        <f t="shared" si="4"/>
        <v>28.114789862277114</v>
      </c>
      <c r="O33">
        <f t="shared" si="4"/>
        <v>20.774082410542228</v>
      </c>
      <c r="P33">
        <f t="shared" si="4"/>
        <v>13.831197525883288</v>
      </c>
      <c r="Q33">
        <f t="shared" si="4"/>
        <v>9.8101009678799951</v>
      </c>
      <c r="R33">
        <f t="shared" si="4"/>
        <v>6.0048514552818046</v>
      </c>
      <c r="S33">
        <f t="shared" si="4"/>
        <v>6.7020242464497244</v>
      </c>
      <c r="T33">
        <f t="shared" si="4"/>
        <v>6.1301145176905143</v>
      </c>
      <c r="U33">
        <f t="shared" si="4"/>
        <v>5.3473366267703772</v>
      </c>
      <c r="V33">
        <f t="shared" si="4"/>
        <v>5.725997205727575</v>
      </c>
      <c r="W33">
        <f t="shared" si="4"/>
        <v>4.9187250380561016</v>
      </c>
      <c r="X33">
        <f t="shared" si="4"/>
        <v>4.295035389842556</v>
      </c>
      <c r="Y33">
        <f t="shared" si="4"/>
        <v>3.5478466708695291</v>
      </c>
      <c r="Z33">
        <f t="shared" si="4"/>
        <v>4.6839914602825647</v>
      </c>
      <c r="AA33">
        <f t="shared" si="4"/>
        <v>4.0765554086753193</v>
      </c>
      <c r="AB33">
        <f t="shared" si="4"/>
        <v>3.5622410081295732</v>
      </c>
      <c r="AC33">
        <f t="shared" si="4"/>
        <v>4.3135155036234654</v>
      </c>
      <c r="AD33">
        <f t="shared" si="4"/>
        <v>3.5037357206273421</v>
      </c>
      <c r="AE33">
        <f t="shared" si="4"/>
        <v>3.8356497493905772</v>
      </c>
      <c r="AF33">
        <f t="shared" si="4"/>
        <v>3.1338315206788003</v>
      </c>
      <c r="AG33">
        <f t="shared" si="4"/>
        <v>3.9119718812895372</v>
      </c>
    </row>
    <row r="34" spans="1:33" x14ac:dyDescent="0.2">
      <c r="A34" t="s">
        <v>10</v>
      </c>
      <c r="L34">
        <f t="shared" ref="L34:AG34" si="5">L31/56.06</f>
        <v>3.3856225472707808</v>
      </c>
      <c r="M34">
        <f t="shared" si="5"/>
        <v>3.7073492686407414</v>
      </c>
      <c r="N34">
        <f t="shared" si="5"/>
        <v>4.4008027113806634</v>
      </c>
      <c r="O34">
        <f t="shared" si="5"/>
        <v>2.9295041027470563</v>
      </c>
      <c r="P34">
        <f t="shared" si="5"/>
        <v>3.6159293613985009</v>
      </c>
      <c r="Q34">
        <f t="shared" si="5"/>
        <v>1.3468605066000707</v>
      </c>
      <c r="R34">
        <f t="shared" si="5"/>
        <v>1.1251516232607919</v>
      </c>
      <c r="S34">
        <f t="shared" si="5"/>
        <v>2.7987156617909381</v>
      </c>
      <c r="T34">
        <f t="shared" si="5"/>
        <v>4.4685872279700316</v>
      </c>
      <c r="U34">
        <f t="shared" si="5"/>
        <v>6.1770067784516591</v>
      </c>
      <c r="V34">
        <f t="shared" si="5"/>
        <v>1.7973421334284692</v>
      </c>
      <c r="W34">
        <f t="shared" si="5"/>
        <v>2.9837852301105956</v>
      </c>
      <c r="X34">
        <f t="shared" si="5"/>
        <v>4.5574384587941488</v>
      </c>
      <c r="Y34">
        <f t="shared" si="5"/>
        <v>3.4410274705672488</v>
      </c>
      <c r="Z34">
        <f t="shared" si="5"/>
        <v>5.5491259364966092</v>
      </c>
      <c r="AA34">
        <f t="shared" si="5"/>
        <v>4.3987691758829826</v>
      </c>
      <c r="AB34">
        <f t="shared" si="5"/>
        <v>6.4939707456296825</v>
      </c>
      <c r="AC34">
        <f t="shared" si="5"/>
        <v>5.5860506600071353</v>
      </c>
      <c r="AD34">
        <f t="shared" si="5"/>
        <v>4.1530859793078836</v>
      </c>
      <c r="AE34">
        <f t="shared" si="5"/>
        <v>5.3710132001427047</v>
      </c>
      <c r="AF34">
        <f t="shared" si="5"/>
        <v>3.6336960399571887</v>
      </c>
      <c r="AG34">
        <f t="shared" si="5"/>
        <v>3.6984837673920801</v>
      </c>
    </row>
    <row r="36" spans="1:33" s="1" customFormat="1" x14ac:dyDescent="0.2">
      <c r="A36" s="1" t="s">
        <v>277</v>
      </c>
      <c r="C36" s="1" t="s">
        <v>23</v>
      </c>
      <c r="H36" s="1" t="s">
        <v>25</v>
      </c>
    </row>
    <row r="37" spans="1:33" x14ac:dyDescent="0.2">
      <c r="A37" t="s">
        <v>9</v>
      </c>
      <c r="B37">
        <v>209.81100000000001</v>
      </c>
      <c r="C37">
        <v>267.46499999999997</v>
      </c>
      <c r="D37">
        <v>254.88300000000001</v>
      </c>
      <c r="E37">
        <v>252.148</v>
      </c>
      <c r="F37">
        <v>236.375</v>
      </c>
      <c r="G37">
        <v>244.20699999999999</v>
      </c>
      <c r="H37">
        <v>433.15199999999999</v>
      </c>
      <c r="I37">
        <v>319.56200000000001</v>
      </c>
      <c r="J37">
        <v>245.48</v>
      </c>
      <c r="K37">
        <v>275.92200000000003</v>
      </c>
      <c r="L37">
        <v>250.82400000000001</v>
      </c>
      <c r="M37">
        <v>250.434</v>
      </c>
      <c r="N37">
        <v>259.65199999999999</v>
      </c>
      <c r="O37">
        <v>261.94900000000001</v>
      </c>
      <c r="P37">
        <v>288.75400000000002</v>
      </c>
      <c r="Q37">
        <v>361.51600000000002</v>
      </c>
      <c r="R37">
        <v>418.60899999999998</v>
      </c>
      <c r="S37">
        <v>476.46899999999999</v>
      </c>
      <c r="T37">
        <v>433.20299999999997</v>
      </c>
      <c r="U37">
        <v>329.86700000000002</v>
      </c>
      <c r="V37">
        <v>291.988</v>
      </c>
      <c r="W37">
        <v>436.48</v>
      </c>
      <c r="X37">
        <v>407.012</v>
      </c>
      <c r="Y37">
        <v>320.99599999999998</v>
      </c>
    </row>
    <row r="38" spans="1:33" x14ac:dyDescent="0.2">
      <c r="A38" t="s">
        <v>21</v>
      </c>
      <c r="C38">
        <f>C37-B37</f>
        <v>57.653999999999968</v>
      </c>
      <c r="D38">
        <f>D37-B37</f>
        <v>45.072000000000003</v>
      </c>
      <c r="E38">
        <f>E37-B37</f>
        <v>42.336999999999989</v>
      </c>
      <c r="F38">
        <f>F37-B37</f>
        <v>26.563999999999993</v>
      </c>
      <c r="G38">
        <f>G37-B37</f>
        <v>34.395999999999987</v>
      </c>
      <c r="H38">
        <f>H37-B37</f>
        <v>223.34099999999998</v>
      </c>
      <c r="I38">
        <f>I37-B37</f>
        <v>109.751</v>
      </c>
      <c r="J38">
        <f>J37-B37</f>
        <v>35.668999999999983</v>
      </c>
      <c r="K38">
        <f>K37-B37</f>
        <v>66.111000000000018</v>
      </c>
      <c r="L38">
        <f>L37-B37</f>
        <v>41.013000000000005</v>
      </c>
      <c r="M38">
        <f>M37-B37</f>
        <v>40.62299999999999</v>
      </c>
      <c r="N38">
        <f>N37-B37</f>
        <v>49.84099999999998</v>
      </c>
      <c r="O38">
        <f>O37-B37</f>
        <v>52.138000000000005</v>
      </c>
      <c r="P38">
        <f>P37-B37</f>
        <v>78.943000000000012</v>
      </c>
      <c r="Q38">
        <f>Q37-B37</f>
        <v>151.70500000000001</v>
      </c>
      <c r="R38">
        <f>R37-B37</f>
        <v>208.79799999999997</v>
      </c>
      <c r="S38">
        <f>S37-B37</f>
        <v>266.65800000000002</v>
      </c>
      <c r="T38">
        <f>T37-B37</f>
        <v>223.39199999999997</v>
      </c>
      <c r="U38">
        <f>U37-B37</f>
        <v>120.05600000000001</v>
      </c>
      <c r="V38">
        <f>V37-B37</f>
        <v>82.176999999999992</v>
      </c>
      <c r="W38">
        <f>W37-B37</f>
        <v>226.66900000000001</v>
      </c>
      <c r="X38">
        <f>X37-B37</f>
        <v>197.20099999999999</v>
      </c>
      <c r="Y38">
        <f>Y37-B37</f>
        <v>111.18499999999997</v>
      </c>
    </row>
    <row r="39" spans="1:33" x14ac:dyDescent="0.2">
      <c r="A39" t="s">
        <v>5</v>
      </c>
      <c r="C39">
        <v>35.243000000000002</v>
      </c>
      <c r="D39">
        <v>20.939</v>
      </c>
      <c r="E39">
        <v>7.9509999999999996</v>
      </c>
      <c r="F39">
        <v>7.9039999999999999</v>
      </c>
      <c r="G39">
        <v>9.9860000000000007</v>
      </c>
      <c r="H39">
        <v>18.904</v>
      </c>
      <c r="I39">
        <v>7.52</v>
      </c>
      <c r="J39">
        <v>7.242</v>
      </c>
      <c r="K39">
        <v>5.9489999999999998</v>
      </c>
      <c r="L39">
        <v>5.681</v>
      </c>
      <c r="M39">
        <v>4.45</v>
      </c>
      <c r="N39">
        <v>4.7709999999999999</v>
      </c>
      <c r="O39">
        <v>2.9529999999999998</v>
      </c>
      <c r="P39">
        <v>3.6070000000000002</v>
      </c>
      <c r="Q39">
        <v>4.0149999999999997</v>
      </c>
      <c r="R39">
        <v>5.6210000000000004</v>
      </c>
      <c r="S39">
        <v>4.694</v>
      </c>
      <c r="T39">
        <v>4.2380000000000004</v>
      </c>
      <c r="U39">
        <v>3.6930000000000001</v>
      </c>
      <c r="V39">
        <v>4.1760000000000002</v>
      </c>
      <c r="W39">
        <v>5.0599999999999996</v>
      </c>
      <c r="X39">
        <v>4.7770000000000001</v>
      </c>
      <c r="Y39">
        <v>5.7</v>
      </c>
    </row>
    <row r="40" spans="1:33" x14ac:dyDescent="0.2">
      <c r="A40" t="s">
        <v>10</v>
      </c>
      <c r="H40">
        <f t="shared" ref="H40:Y40" si="6">H38/56.06</f>
        <v>3.9839636104174092</v>
      </c>
      <c r="I40">
        <f t="shared" si="6"/>
        <v>1.9577417053157331</v>
      </c>
      <c r="J40">
        <f t="shared" si="6"/>
        <v>0.63626471637531179</v>
      </c>
      <c r="K40">
        <f t="shared" si="6"/>
        <v>1.17929004637888</v>
      </c>
      <c r="L40">
        <f t="shared" si="6"/>
        <v>0.73159115233678207</v>
      </c>
      <c r="M40">
        <f t="shared" si="6"/>
        <v>0.72463432037103082</v>
      </c>
      <c r="N40">
        <f t="shared" si="6"/>
        <v>0.88906528719229361</v>
      </c>
      <c r="O40">
        <f t="shared" si="6"/>
        <v>0.93003924366749913</v>
      </c>
      <c r="P40">
        <f t="shared" si="6"/>
        <v>1.4081876560827686</v>
      </c>
      <c r="Q40">
        <f t="shared" si="6"/>
        <v>2.7061184445237245</v>
      </c>
      <c r="R40">
        <f t="shared" si="6"/>
        <v>3.7245451302176233</v>
      </c>
      <c r="S40">
        <f t="shared" si="6"/>
        <v>4.7566535854441669</v>
      </c>
      <c r="T40">
        <f t="shared" si="6"/>
        <v>3.9848733499821614</v>
      </c>
      <c r="U40">
        <f t="shared" si="6"/>
        <v>2.141562611487692</v>
      </c>
      <c r="V40">
        <f t="shared" si="6"/>
        <v>1.4658758473064573</v>
      </c>
      <c r="W40">
        <f t="shared" si="6"/>
        <v>4.0433285765251519</v>
      </c>
      <c r="X40">
        <f t="shared" si="6"/>
        <v>3.5176774884052797</v>
      </c>
      <c r="Y40">
        <f t="shared" si="6"/>
        <v>1.9833214413128786</v>
      </c>
    </row>
    <row r="42" spans="1:33" s="1" customFormat="1" x14ac:dyDescent="0.2">
      <c r="A42" s="1" t="s">
        <v>19</v>
      </c>
      <c r="C42" s="1" t="s">
        <v>23</v>
      </c>
      <c r="G42" s="1" t="s">
        <v>25</v>
      </c>
    </row>
    <row r="43" spans="1:33" x14ac:dyDescent="0.2">
      <c r="A43" t="s">
        <v>9</v>
      </c>
      <c r="B43">
        <v>209.81100000000001</v>
      </c>
      <c r="C43">
        <v>272.32799999999997</v>
      </c>
      <c r="D43">
        <v>269.70699999999999</v>
      </c>
      <c r="E43">
        <v>246.28899999999999</v>
      </c>
      <c r="F43">
        <v>243.09</v>
      </c>
      <c r="G43">
        <v>283.85500000000002</v>
      </c>
      <c r="H43">
        <v>259.863</v>
      </c>
      <c r="I43">
        <v>271.16399999999999</v>
      </c>
      <c r="J43">
        <v>247.68</v>
      </c>
    </row>
    <row r="44" spans="1:33" x14ac:dyDescent="0.2">
      <c r="A44" t="s">
        <v>4</v>
      </c>
      <c r="C44">
        <f>C43-B43</f>
        <v>62.516999999999967</v>
      </c>
      <c r="D44">
        <f>D43-B43</f>
        <v>59.895999999999987</v>
      </c>
      <c r="E44">
        <f>E43-B43</f>
        <v>36.47799999999998</v>
      </c>
      <c r="F44">
        <f>F43-B43</f>
        <v>33.278999999999996</v>
      </c>
      <c r="G44">
        <f>G43-B43</f>
        <v>74.044000000000011</v>
      </c>
      <c r="H44">
        <f>H43-B43</f>
        <v>50.051999999999992</v>
      </c>
      <c r="I44">
        <f>I43-B43</f>
        <v>61.35299999999998</v>
      </c>
      <c r="J44">
        <f>J43-B43</f>
        <v>37.869</v>
      </c>
    </row>
    <row r="45" spans="1:33" x14ac:dyDescent="0.2">
      <c r="A45" t="s">
        <v>5</v>
      </c>
      <c r="C45">
        <v>19.132000000000001</v>
      </c>
      <c r="D45">
        <v>18.704000000000001</v>
      </c>
      <c r="E45">
        <v>7.5309999999999997</v>
      </c>
      <c r="F45">
        <v>9.9290000000000003</v>
      </c>
      <c r="G45">
        <v>4.0019999999999998</v>
      </c>
      <c r="H45">
        <v>5.0140000000000002</v>
      </c>
      <c r="I45">
        <v>4.101</v>
      </c>
      <c r="J45">
        <v>4.83</v>
      </c>
    </row>
    <row r="46" spans="1:33" x14ac:dyDescent="0.2">
      <c r="A46" t="s">
        <v>6</v>
      </c>
      <c r="C46">
        <f t="shared" ref="C46:J46" si="7">SQRT(1+C45^2)</f>
        <v>19.15811640010573</v>
      </c>
      <c r="D46">
        <f t="shared" si="7"/>
        <v>18.730713173822295</v>
      </c>
      <c r="E46">
        <f t="shared" si="7"/>
        <v>7.5971021448970921</v>
      </c>
      <c r="F46">
        <f t="shared" si="7"/>
        <v>9.9792304813547617</v>
      </c>
      <c r="G46">
        <f t="shared" si="7"/>
        <v>4.1250459391381327</v>
      </c>
      <c r="H46">
        <f t="shared" si="7"/>
        <v>5.1127483802745468</v>
      </c>
      <c r="I46">
        <f t="shared" si="7"/>
        <v>4.2211610961914259</v>
      </c>
      <c r="J46">
        <f t="shared" si="7"/>
        <v>4.9324334764900781</v>
      </c>
    </row>
    <row r="47" spans="1:33" x14ac:dyDescent="0.2">
      <c r="A47" t="s">
        <v>10</v>
      </c>
      <c r="G47">
        <f>G44/56.06</f>
        <v>1.3207991437745275</v>
      </c>
      <c r="H47">
        <f>H44/56.06</f>
        <v>0.89282911166607193</v>
      </c>
      <c r="I47">
        <f>I44/56.06</f>
        <v>1.0944166963967175</v>
      </c>
      <c r="J47">
        <f>J44/56.06</f>
        <v>0.67550838387442025</v>
      </c>
    </row>
    <row r="49" spans="1:2" x14ac:dyDescent="0.2">
      <c r="A49" t="s">
        <v>33</v>
      </c>
      <c r="B49">
        <f>AVERAGE(C44:F44,C38:G38,C31:K31,C24:H24,C17:E17,C10:F10)</f>
        <v>56.05754838709678</v>
      </c>
    </row>
    <row r="50" spans="1:2" x14ac:dyDescent="0.2">
      <c r="A50" t="s">
        <v>27</v>
      </c>
      <c r="B50">
        <v>57.122999999999998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347C-A307-AD4F-98B8-33A2714DCAD3}">
  <dimension ref="A1:W51"/>
  <sheetViews>
    <sheetView workbookViewId="0">
      <selection activeCell="J48" sqref="J48"/>
    </sheetView>
  </sheetViews>
  <sheetFormatPr baseColWidth="10" defaultColWidth="8.83203125" defaultRowHeight="15" x14ac:dyDescent="0.2"/>
  <cols>
    <col min="1" max="1" width="17.6640625" customWidth="1"/>
    <col min="2" max="2" width="11" customWidth="1"/>
  </cols>
  <sheetData>
    <row r="1" spans="1:17" x14ac:dyDescent="0.2">
      <c r="A1" t="s">
        <v>366</v>
      </c>
    </row>
    <row r="2" spans="1:17" s="1" customFormat="1" x14ac:dyDescent="0.2">
      <c r="A2" s="1" t="s">
        <v>8</v>
      </c>
      <c r="B2" s="1" t="s">
        <v>30</v>
      </c>
      <c r="C2" s="1" t="s">
        <v>25</v>
      </c>
    </row>
    <row r="3" spans="1:17" x14ac:dyDescent="0.2">
      <c r="A3" t="s">
        <v>9</v>
      </c>
      <c r="B3">
        <v>207.58799999999999</v>
      </c>
      <c r="C3">
        <v>271.637</v>
      </c>
      <c r="D3">
        <v>274.46899999999999</v>
      </c>
      <c r="E3">
        <v>316.74599999999998</v>
      </c>
    </row>
    <row r="4" spans="1:17" x14ac:dyDescent="0.2">
      <c r="A4" t="s">
        <v>4</v>
      </c>
      <c r="C4">
        <f>C3-B3</f>
        <v>64.049000000000007</v>
      </c>
      <c r="D4">
        <f>D3-B3</f>
        <v>66.881</v>
      </c>
      <c r="E4">
        <f>E3-B3</f>
        <v>109.15799999999999</v>
      </c>
    </row>
    <row r="5" spans="1:17" x14ac:dyDescent="0.2">
      <c r="A5" t="s">
        <v>5</v>
      </c>
      <c r="C5">
        <v>11.683999999999999</v>
      </c>
      <c r="D5">
        <v>9.66</v>
      </c>
      <c r="E5">
        <v>2.7570000000000001</v>
      </c>
    </row>
    <row r="6" spans="1:17" x14ac:dyDescent="0.2">
      <c r="A6" t="s">
        <v>17</v>
      </c>
      <c r="C6">
        <f>SQRT(16+C5^2)</f>
        <v>12.349731009216354</v>
      </c>
      <c r="D6">
        <f>SQRT(16+D5^2)</f>
        <v>10.455410082823152</v>
      </c>
      <c r="E6">
        <f>SQRT(16+E5^2)</f>
        <v>4.8580910860131059</v>
      </c>
    </row>
    <row r="7" spans="1:17" x14ac:dyDescent="0.2">
      <c r="A7" t="s">
        <v>10</v>
      </c>
      <c r="C7">
        <f>C4/34.74</f>
        <v>1.8436672423719056</v>
      </c>
      <c r="D7">
        <f>D4/34.74</f>
        <v>1.925187104202648</v>
      </c>
      <c r="E7">
        <f>E4/34.74</f>
        <v>3.1421416234887731</v>
      </c>
    </row>
    <row r="9" spans="1:17" s="1" customFormat="1" x14ac:dyDescent="0.2">
      <c r="A9" s="1" t="s">
        <v>11</v>
      </c>
      <c r="C9" s="1" t="s">
        <v>23</v>
      </c>
      <c r="D9" s="1" t="s">
        <v>25</v>
      </c>
    </row>
    <row r="10" spans="1:17" x14ac:dyDescent="0.2">
      <c r="A10" t="s">
        <v>9</v>
      </c>
      <c r="B10">
        <v>207.58799999999999</v>
      </c>
      <c r="C10">
        <v>245.488</v>
      </c>
      <c r="D10">
        <v>241.828</v>
      </c>
      <c r="E10">
        <v>237.31200000000001</v>
      </c>
      <c r="F10">
        <v>250.40600000000001</v>
      </c>
      <c r="G10">
        <v>264.57799999999997</v>
      </c>
      <c r="H10">
        <v>292.48399999999998</v>
      </c>
      <c r="I10">
        <v>375.46499999999997</v>
      </c>
      <c r="J10">
        <v>369.32400000000001</v>
      </c>
      <c r="K10">
        <v>276.92200000000003</v>
      </c>
      <c r="L10">
        <v>313.5</v>
      </c>
      <c r="M10">
        <v>323.38299999999998</v>
      </c>
      <c r="N10">
        <v>264.19499999999999</v>
      </c>
      <c r="O10">
        <v>336.25400000000002</v>
      </c>
      <c r="P10">
        <v>258.56200000000001</v>
      </c>
      <c r="Q10">
        <v>362.23</v>
      </c>
    </row>
    <row r="11" spans="1:17" x14ac:dyDescent="0.2">
      <c r="A11" t="s">
        <v>4</v>
      </c>
      <c r="C11">
        <f>C10-B10</f>
        <v>37.900000000000006</v>
      </c>
      <c r="D11">
        <f>D10-B10</f>
        <v>34.240000000000009</v>
      </c>
      <c r="E11">
        <f>E10-B10</f>
        <v>29.724000000000018</v>
      </c>
      <c r="F11">
        <f>F10-B10</f>
        <v>42.818000000000012</v>
      </c>
      <c r="G11">
        <f>G10-B10</f>
        <v>56.989999999999981</v>
      </c>
      <c r="H11">
        <f>H10-B10</f>
        <v>84.895999999999987</v>
      </c>
      <c r="I11">
        <f>I10-B10</f>
        <v>167.87699999999998</v>
      </c>
      <c r="J11">
        <f>J10-B10</f>
        <v>161.73600000000002</v>
      </c>
      <c r="K11">
        <f>K10-B10</f>
        <v>69.334000000000032</v>
      </c>
      <c r="L11">
        <f>L10-B10</f>
        <v>105.91200000000001</v>
      </c>
      <c r="M11">
        <f>M10-B10</f>
        <v>115.79499999999999</v>
      </c>
      <c r="N11">
        <f>N10-B10</f>
        <v>56.606999999999999</v>
      </c>
      <c r="O11">
        <f>O10-B10</f>
        <v>128.66600000000003</v>
      </c>
      <c r="P11">
        <f>P10-B10</f>
        <v>50.974000000000018</v>
      </c>
      <c r="Q11">
        <f>Q10-B10</f>
        <v>154.64200000000002</v>
      </c>
    </row>
    <row r="12" spans="1:17" x14ac:dyDescent="0.2">
      <c r="A12" t="s">
        <v>5</v>
      </c>
      <c r="C12">
        <v>2.3279999999999998</v>
      </c>
      <c r="D12">
        <v>1.8420000000000001</v>
      </c>
      <c r="E12">
        <v>2.7570000000000001</v>
      </c>
      <c r="F12">
        <v>3.754</v>
      </c>
      <c r="G12">
        <v>7.859</v>
      </c>
      <c r="H12">
        <v>9.1790000000000003</v>
      </c>
      <c r="I12">
        <v>9.43</v>
      </c>
      <c r="J12">
        <v>10.119999999999999</v>
      </c>
      <c r="K12">
        <v>9.8040000000000003</v>
      </c>
      <c r="L12">
        <v>10.459</v>
      </c>
      <c r="M12">
        <v>9.9689999999999994</v>
      </c>
      <c r="N12">
        <v>10.654</v>
      </c>
      <c r="O12">
        <v>11.776999999999999</v>
      </c>
      <c r="P12">
        <v>12.88</v>
      </c>
      <c r="Q12">
        <v>13.015000000000001</v>
      </c>
    </row>
    <row r="13" spans="1:17" x14ac:dyDescent="0.2">
      <c r="A13" t="s">
        <v>17</v>
      </c>
      <c r="C13">
        <f t="shared" ref="C13:Q13" si="0">SQRT(9+C12^2)</f>
        <v>3.7973127340265247</v>
      </c>
      <c r="D13">
        <f t="shared" si="0"/>
        <v>3.5203641857057915</v>
      </c>
      <c r="E13">
        <f t="shared" si="0"/>
        <v>4.0744384889208964</v>
      </c>
      <c r="F13">
        <f t="shared" si="0"/>
        <v>4.8054673029789727</v>
      </c>
      <c r="G13">
        <f t="shared" si="0"/>
        <v>8.412127019963501</v>
      </c>
      <c r="H13">
        <f t="shared" si="0"/>
        <v>9.6568131906959866</v>
      </c>
      <c r="I13">
        <f t="shared" si="0"/>
        <v>9.8957010868356363</v>
      </c>
      <c r="J13">
        <f t="shared" si="0"/>
        <v>10.555301985258403</v>
      </c>
      <c r="K13">
        <f t="shared" si="0"/>
        <v>10.252727246932887</v>
      </c>
      <c r="L13">
        <f t="shared" si="0"/>
        <v>10.880748181995575</v>
      </c>
      <c r="M13">
        <f t="shared" si="0"/>
        <v>10.410617705016355</v>
      </c>
      <c r="N13">
        <f t="shared" si="0"/>
        <v>11.068320378449478</v>
      </c>
      <c r="O13">
        <f t="shared" si="0"/>
        <v>12.153095449308378</v>
      </c>
      <c r="P13">
        <f t="shared" si="0"/>
        <v>13.224764648189396</v>
      </c>
      <c r="Q13">
        <f t="shared" si="0"/>
        <v>13.356280357943975</v>
      </c>
    </row>
    <row r="14" spans="1:17" x14ac:dyDescent="0.2">
      <c r="A14" t="s">
        <v>10</v>
      </c>
      <c r="D14">
        <f t="shared" ref="D14:Q14" si="1">D11/34.74</f>
        <v>0.98560736902705837</v>
      </c>
      <c r="E14">
        <f t="shared" si="1"/>
        <v>0.85561312607944784</v>
      </c>
      <c r="F14">
        <f t="shared" si="1"/>
        <v>1.2325273459988488</v>
      </c>
      <c r="G14">
        <f t="shared" si="1"/>
        <v>1.6404720782959119</v>
      </c>
      <c r="H14">
        <f t="shared" si="1"/>
        <v>2.4437535981577425</v>
      </c>
      <c r="I14">
        <f t="shared" si="1"/>
        <v>4.8323834196891182</v>
      </c>
      <c r="J14">
        <f t="shared" si="1"/>
        <v>4.655613126079448</v>
      </c>
      <c r="K14">
        <f t="shared" si="1"/>
        <v>1.9957973517559018</v>
      </c>
      <c r="L14">
        <f t="shared" si="1"/>
        <v>3.0487046632124351</v>
      </c>
      <c r="M14">
        <f t="shared" si="1"/>
        <v>3.3331894070236032</v>
      </c>
      <c r="N14">
        <f t="shared" si="1"/>
        <v>1.629447322970639</v>
      </c>
      <c r="O14">
        <f t="shared" si="1"/>
        <v>3.7036845135290735</v>
      </c>
      <c r="P14">
        <f t="shared" si="1"/>
        <v>1.4672999424294766</v>
      </c>
      <c r="Q14">
        <f t="shared" si="1"/>
        <v>4.4514104778353492</v>
      </c>
    </row>
    <row r="16" spans="1:17" s="1" customFormat="1" x14ac:dyDescent="0.2">
      <c r="A16" s="1" t="s">
        <v>29</v>
      </c>
      <c r="C16" s="1" t="s">
        <v>23</v>
      </c>
      <c r="E16" s="1" t="s">
        <v>25</v>
      </c>
    </row>
    <row r="17" spans="1:23" x14ac:dyDescent="0.2">
      <c r="A17" t="s">
        <v>9</v>
      </c>
      <c r="B17">
        <v>207.58799999999999</v>
      </c>
      <c r="C17">
        <v>243.035</v>
      </c>
      <c r="D17">
        <v>248.68799999999999</v>
      </c>
      <c r="E17">
        <v>277.10500000000002</v>
      </c>
      <c r="F17">
        <v>298.07</v>
      </c>
      <c r="G17">
        <v>289.42599999999999</v>
      </c>
      <c r="H17">
        <v>323.09800000000001</v>
      </c>
      <c r="I17">
        <v>278.35199999999998</v>
      </c>
      <c r="J17">
        <v>232.31200000000001</v>
      </c>
      <c r="K17">
        <v>320.15199999999999</v>
      </c>
      <c r="L17">
        <v>287.00799999999998</v>
      </c>
      <c r="M17">
        <v>254.74600000000001</v>
      </c>
      <c r="N17">
        <v>278.60199999999998</v>
      </c>
      <c r="O17">
        <v>255.32</v>
      </c>
      <c r="P17">
        <v>287.71899999999999</v>
      </c>
      <c r="Q17">
        <v>403.18</v>
      </c>
      <c r="R17">
        <v>346.58600000000001</v>
      </c>
      <c r="S17">
        <v>246.32400000000001</v>
      </c>
      <c r="T17">
        <v>254.07</v>
      </c>
      <c r="U17">
        <v>251.49600000000001</v>
      </c>
      <c r="V17">
        <v>244.58600000000001</v>
      </c>
      <c r="W17">
        <v>265.012</v>
      </c>
    </row>
    <row r="18" spans="1:23" x14ac:dyDescent="0.2">
      <c r="A18" t="s">
        <v>4</v>
      </c>
      <c r="C18">
        <f>C17-B17</f>
        <v>35.447000000000003</v>
      </c>
      <c r="D18">
        <f>D17-B17</f>
        <v>41.099999999999994</v>
      </c>
      <c r="E18">
        <f>E17-B17</f>
        <v>69.517000000000024</v>
      </c>
      <c r="F18">
        <f>F17-B17</f>
        <v>90.481999999999999</v>
      </c>
      <c r="G18">
        <f>G17-B17</f>
        <v>81.837999999999994</v>
      </c>
      <c r="H18">
        <f>H17-B17</f>
        <v>115.51000000000002</v>
      </c>
      <c r="I18">
        <f>I17-B17</f>
        <v>70.763999999999982</v>
      </c>
      <c r="J18">
        <f>J17-B17</f>
        <v>24.724000000000018</v>
      </c>
      <c r="K18">
        <f>K17-B17</f>
        <v>112.56399999999999</v>
      </c>
      <c r="L18">
        <f>L17-B17</f>
        <v>79.419999999999987</v>
      </c>
      <c r="M18">
        <f>M17-B17</f>
        <v>47.158000000000015</v>
      </c>
      <c r="N18">
        <f>N17-B17</f>
        <v>71.013999999999982</v>
      </c>
      <c r="O18">
        <f>O17-B17</f>
        <v>47.731999999999999</v>
      </c>
      <c r="P18">
        <f>P17-B17</f>
        <v>80.131</v>
      </c>
      <c r="Q18">
        <f>Q17-B17</f>
        <v>195.59200000000001</v>
      </c>
      <c r="R18">
        <f>R17-B17</f>
        <v>138.99800000000002</v>
      </c>
      <c r="S18">
        <f>S17-B17</f>
        <v>38.736000000000018</v>
      </c>
      <c r="T18">
        <f>T17-B17</f>
        <v>46.481999999999999</v>
      </c>
      <c r="U18">
        <f>U17-B17</f>
        <v>43.908000000000015</v>
      </c>
      <c r="V18">
        <f>V17-B17</f>
        <v>36.998000000000019</v>
      </c>
      <c r="W18">
        <f>W17-B17</f>
        <v>57.424000000000007</v>
      </c>
    </row>
    <row r="19" spans="1:23" x14ac:dyDescent="0.2">
      <c r="A19" t="s">
        <v>5</v>
      </c>
      <c r="C19">
        <v>3.8660000000000001</v>
      </c>
      <c r="D19">
        <v>12.943</v>
      </c>
      <c r="E19">
        <v>2.1070000000000002</v>
      </c>
      <c r="F19">
        <v>3.4750000000000001</v>
      </c>
      <c r="G19">
        <v>4.048</v>
      </c>
      <c r="H19">
        <v>2.1480000000000001</v>
      </c>
      <c r="I19">
        <v>2.5550000000000002</v>
      </c>
      <c r="J19">
        <v>6.0220000000000002</v>
      </c>
      <c r="K19">
        <v>8.0619999999999994</v>
      </c>
      <c r="L19">
        <v>10.265000000000001</v>
      </c>
      <c r="M19">
        <v>9.6039999999999992</v>
      </c>
      <c r="N19">
        <v>9.6460000000000008</v>
      </c>
      <c r="O19">
        <v>10.507999999999999</v>
      </c>
      <c r="P19">
        <v>12.927</v>
      </c>
      <c r="Q19">
        <v>12.478</v>
      </c>
      <c r="R19">
        <v>13.397</v>
      </c>
      <c r="S19">
        <v>15.555999999999999</v>
      </c>
      <c r="T19">
        <v>16.956</v>
      </c>
      <c r="U19">
        <v>17.341000000000001</v>
      </c>
      <c r="V19">
        <v>20.227</v>
      </c>
      <c r="W19">
        <v>25.084</v>
      </c>
    </row>
    <row r="20" spans="1:23" x14ac:dyDescent="0.2">
      <c r="A20" t="s">
        <v>6</v>
      </c>
      <c r="C20">
        <f t="shared" ref="C20:W20" si="2">SQRT(4+C19^2)</f>
        <v>4.3526952569643562</v>
      </c>
      <c r="D20">
        <f t="shared" si="2"/>
        <v>13.096612119170361</v>
      </c>
      <c r="E20">
        <f t="shared" si="2"/>
        <v>2.9050729767081584</v>
      </c>
      <c r="F20">
        <f t="shared" si="2"/>
        <v>4.0094419811240565</v>
      </c>
      <c r="G20">
        <f t="shared" si="2"/>
        <v>4.5151194890058006</v>
      </c>
      <c r="H20">
        <f t="shared" si="2"/>
        <v>2.9349453146523876</v>
      </c>
      <c r="I20">
        <f t="shared" si="2"/>
        <v>3.2446918189560003</v>
      </c>
      <c r="J20">
        <f t="shared" si="2"/>
        <v>6.3454301666632498</v>
      </c>
      <c r="K20">
        <f t="shared" si="2"/>
        <v>8.3063736973483202</v>
      </c>
      <c r="L20">
        <f t="shared" si="2"/>
        <v>10.4580220405199</v>
      </c>
      <c r="M20">
        <f t="shared" si="2"/>
        <v>9.8100364933062298</v>
      </c>
      <c r="N20">
        <f t="shared" si="2"/>
        <v>9.8511581045073076</v>
      </c>
      <c r="O20">
        <f t="shared" si="2"/>
        <v>10.696637976485881</v>
      </c>
      <c r="P20">
        <f t="shared" si="2"/>
        <v>13.080800013760626</v>
      </c>
      <c r="Q20">
        <f t="shared" si="2"/>
        <v>12.637265685265939</v>
      </c>
      <c r="R20">
        <f t="shared" si="2"/>
        <v>13.545464517690045</v>
      </c>
      <c r="S20">
        <f t="shared" si="2"/>
        <v>15.684040805863773</v>
      </c>
      <c r="T20">
        <f t="shared" si="2"/>
        <v>17.073544916038966</v>
      </c>
      <c r="U20">
        <f t="shared" si="2"/>
        <v>17.455952595031874</v>
      </c>
      <c r="V20">
        <f t="shared" si="2"/>
        <v>20.32563723478307</v>
      </c>
      <c r="W20">
        <f t="shared" si="2"/>
        <v>25.163605782955667</v>
      </c>
    </row>
    <row r="21" spans="1:23" x14ac:dyDescent="0.2">
      <c r="A21" t="s">
        <v>10</v>
      </c>
      <c r="E21">
        <f t="shared" ref="E21:W21" si="3">E18/34.74</f>
        <v>2.0010650546919981</v>
      </c>
      <c r="F21">
        <f t="shared" si="3"/>
        <v>2.6045480713874496</v>
      </c>
      <c r="G21">
        <f t="shared" si="3"/>
        <v>2.3557282671272306</v>
      </c>
      <c r="H21">
        <f t="shared" si="3"/>
        <v>3.3249856073690274</v>
      </c>
      <c r="I21">
        <f t="shared" si="3"/>
        <v>2.036960276338514</v>
      </c>
      <c r="J21">
        <f t="shared" si="3"/>
        <v>0.71168681635002928</v>
      </c>
      <c r="K21">
        <f t="shared" si="3"/>
        <v>3.2401842256764533</v>
      </c>
      <c r="L21">
        <f t="shared" si="3"/>
        <v>2.2861255037420833</v>
      </c>
      <c r="M21">
        <f t="shared" si="3"/>
        <v>1.3574553828439841</v>
      </c>
      <c r="N21">
        <f t="shared" si="3"/>
        <v>2.0441565918249851</v>
      </c>
      <c r="O21">
        <f t="shared" si="3"/>
        <v>1.3739781232009209</v>
      </c>
      <c r="P21">
        <f t="shared" si="3"/>
        <v>2.3065918249856074</v>
      </c>
      <c r="Q21">
        <f t="shared" si="3"/>
        <v>5.6301669545192858</v>
      </c>
      <c r="R21">
        <f t="shared" si="3"/>
        <v>4.0010938399539437</v>
      </c>
      <c r="S21">
        <f t="shared" si="3"/>
        <v>1.1150259067357517</v>
      </c>
      <c r="T21">
        <f t="shared" si="3"/>
        <v>1.3379965457685663</v>
      </c>
      <c r="U21">
        <f t="shared" si="3"/>
        <v>1.2639032815198623</v>
      </c>
      <c r="V21">
        <f t="shared" si="3"/>
        <v>1.0649971214738059</v>
      </c>
      <c r="W21">
        <f t="shared" si="3"/>
        <v>1.6529648819804261</v>
      </c>
    </row>
    <row r="23" spans="1:23" s="1" customFormat="1" x14ac:dyDescent="0.2">
      <c r="A23" s="1" t="s">
        <v>13</v>
      </c>
      <c r="C23" s="1" t="s">
        <v>23</v>
      </c>
      <c r="F23" s="1" t="s">
        <v>25</v>
      </c>
    </row>
    <row r="24" spans="1:23" x14ac:dyDescent="0.2">
      <c r="A24" t="s">
        <v>9</v>
      </c>
      <c r="B24">
        <v>207.58799999999999</v>
      </c>
      <c r="C24">
        <v>235.863</v>
      </c>
      <c r="D24">
        <v>225.922</v>
      </c>
      <c r="E24">
        <v>247.64500000000001</v>
      </c>
      <c r="F24">
        <v>232.84</v>
      </c>
      <c r="G24">
        <v>338.75799999999998</v>
      </c>
      <c r="H24">
        <v>408.84399999999999</v>
      </c>
      <c r="I24">
        <v>400.26600000000002</v>
      </c>
      <c r="J24">
        <v>342.53100000000001</v>
      </c>
      <c r="K24">
        <v>252.09800000000001</v>
      </c>
      <c r="L24">
        <v>334.53899999999999</v>
      </c>
      <c r="M24">
        <v>345.80099999999999</v>
      </c>
      <c r="N24">
        <v>282.56599999999997</v>
      </c>
      <c r="O24">
        <v>253.29300000000001</v>
      </c>
      <c r="P24">
        <v>240.512</v>
      </c>
    </row>
    <row r="25" spans="1:23" x14ac:dyDescent="0.2">
      <c r="A25" t="s">
        <v>4</v>
      </c>
      <c r="C25">
        <f>C24-B24</f>
        <v>28.275000000000006</v>
      </c>
      <c r="D25">
        <f>D24-B24</f>
        <v>18.334000000000003</v>
      </c>
      <c r="E25">
        <f>E24-B24</f>
        <v>40.057000000000016</v>
      </c>
      <c r="F25">
        <f>F24-B24</f>
        <v>25.25200000000001</v>
      </c>
      <c r="G25">
        <f>G24-B24</f>
        <v>131.16999999999999</v>
      </c>
      <c r="H25">
        <f>H24-B24</f>
        <v>201.256</v>
      </c>
      <c r="I25">
        <f>I24-B24</f>
        <v>192.67800000000003</v>
      </c>
      <c r="J25">
        <f>J24-B24</f>
        <v>134.94300000000001</v>
      </c>
      <c r="K25">
        <f>K24-B24</f>
        <v>44.510000000000019</v>
      </c>
      <c r="L25">
        <f>L24-B24</f>
        <v>126.95099999999999</v>
      </c>
      <c r="M25">
        <f>M24-B24</f>
        <v>138.21299999999999</v>
      </c>
      <c r="N25">
        <f>N24-B24</f>
        <v>74.97799999999998</v>
      </c>
      <c r="O25">
        <f>O24-B24</f>
        <v>45.705000000000013</v>
      </c>
      <c r="P25">
        <f>P24-B24</f>
        <v>32.924000000000007</v>
      </c>
    </row>
    <row r="26" spans="1:23" x14ac:dyDescent="0.2">
      <c r="A26" t="s">
        <v>31</v>
      </c>
      <c r="C26">
        <v>14.496</v>
      </c>
      <c r="D26">
        <v>20.177</v>
      </c>
      <c r="E26">
        <v>18.288</v>
      </c>
      <c r="F26">
        <v>19.917999999999999</v>
      </c>
      <c r="G26">
        <v>15.323</v>
      </c>
      <c r="H26">
        <v>16.37</v>
      </c>
      <c r="I26">
        <v>17.009</v>
      </c>
      <c r="J26">
        <v>16.562999999999999</v>
      </c>
      <c r="K26">
        <v>12.747999999999999</v>
      </c>
      <c r="L26">
        <v>5.6040000000000001</v>
      </c>
      <c r="M26">
        <v>3.6789999999999998</v>
      </c>
      <c r="N26">
        <v>3.4969999999999999</v>
      </c>
      <c r="O26">
        <v>1.796</v>
      </c>
      <c r="P26">
        <v>3.645</v>
      </c>
    </row>
    <row r="27" spans="1:23" x14ac:dyDescent="0.2">
      <c r="A27" t="s">
        <v>6</v>
      </c>
      <c r="C27">
        <f t="shared" ref="C27:P27" si="4">SQRT(1+C26^2)</f>
        <v>14.53045133504118</v>
      </c>
      <c r="D27">
        <f t="shared" si="4"/>
        <v>20.201765492154394</v>
      </c>
      <c r="E27">
        <f t="shared" si="4"/>
        <v>18.315319926225694</v>
      </c>
      <c r="F27">
        <f t="shared" si="4"/>
        <v>19.943087123111106</v>
      </c>
      <c r="G27">
        <f t="shared" si="4"/>
        <v>15.355596015785256</v>
      </c>
      <c r="H27">
        <f t="shared" si="4"/>
        <v>16.400515235808907</v>
      </c>
      <c r="I27">
        <f t="shared" si="4"/>
        <v>17.038370843481488</v>
      </c>
      <c r="J27">
        <f t="shared" si="4"/>
        <v>16.593160307789471</v>
      </c>
      <c r="K27">
        <f t="shared" si="4"/>
        <v>12.787161686629288</v>
      </c>
      <c r="L27">
        <f t="shared" si="4"/>
        <v>5.692522815061877</v>
      </c>
      <c r="M27">
        <f t="shared" si="4"/>
        <v>3.8124848852159396</v>
      </c>
      <c r="N27">
        <f t="shared" si="4"/>
        <v>3.6371704661728463</v>
      </c>
      <c r="O27">
        <f t="shared" si="4"/>
        <v>2.0556303169587671</v>
      </c>
      <c r="P27">
        <f t="shared" si="4"/>
        <v>3.7796858335052135</v>
      </c>
    </row>
    <row r="28" spans="1:23" x14ac:dyDescent="0.2">
      <c r="A28" t="s">
        <v>10</v>
      </c>
      <c r="F28">
        <f t="shared" ref="F28:P28" si="5">F25/34.74</f>
        <v>0.72688543465745559</v>
      </c>
      <c r="G28">
        <f t="shared" si="5"/>
        <v>3.7757628094415652</v>
      </c>
      <c r="H28">
        <f t="shared" si="5"/>
        <v>5.7932066781807707</v>
      </c>
      <c r="I28">
        <f t="shared" si="5"/>
        <v>5.5462867012089818</v>
      </c>
      <c r="J28">
        <f t="shared" si="5"/>
        <v>3.8843696027633854</v>
      </c>
      <c r="K28">
        <f t="shared" si="5"/>
        <v>1.2812320092112843</v>
      </c>
      <c r="L28">
        <f t="shared" si="5"/>
        <v>3.6543177892918823</v>
      </c>
      <c r="M28">
        <f t="shared" si="5"/>
        <v>3.9784974093264243</v>
      </c>
      <c r="N28">
        <f t="shared" si="5"/>
        <v>2.1582613701784679</v>
      </c>
      <c r="O28">
        <f t="shared" si="5"/>
        <v>1.3156303972366152</v>
      </c>
      <c r="P28">
        <f t="shared" si="5"/>
        <v>0.94772596430627531</v>
      </c>
    </row>
    <row r="30" spans="1:23" s="1" customFormat="1" x14ac:dyDescent="0.2">
      <c r="A30" s="1" t="s">
        <v>55</v>
      </c>
      <c r="C30" s="1" t="s">
        <v>23</v>
      </c>
      <c r="G30" s="1" t="s">
        <v>25</v>
      </c>
    </row>
    <row r="31" spans="1:23" x14ac:dyDescent="0.2">
      <c r="A31" t="s">
        <v>9</v>
      </c>
      <c r="B31">
        <v>207.58799999999999</v>
      </c>
      <c r="C31">
        <v>240.059</v>
      </c>
      <c r="D31">
        <v>251.273</v>
      </c>
      <c r="E31">
        <v>240.99600000000001</v>
      </c>
      <c r="F31">
        <v>253.08199999999999</v>
      </c>
      <c r="G31">
        <v>289.33999999999997</v>
      </c>
      <c r="H31">
        <v>270.89100000000002</v>
      </c>
      <c r="I31">
        <v>242.32400000000001</v>
      </c>
      <c r="J31">
        <v>294.27699999999999</v>
      </c>
      <c r="K31">
        <v>359.59399999999999</v>
      </c>
      <c r="L31">
        <v>340.82</v>
      </c>
      <c r="M31">
        <v>259.16800000000001</v>
      </c>
      <c r="N31">
        <v>327.67599999999999</v>
      </c>
      <c r="O31">
        <v>257.17599999999999</v>
      </c>
      <c r="P31">
        <v>240.648</v>
      </c>
      <c r="Q31">
        <v>415.30099999999999</v>
      </c>
      <c r="R31">
        <v>266.50799999999998</v>
      </c>
      <c r="S31">
        <v>377.43</v>
      </c>
      <c r="T31">
        <v>287.25</v>
      </c>
      <c r="U31">
        <v>280.04300000000001</v>
      </c>
      <c r="V31">
        <v>293.65600000000001</v>
      </c>
    </row>
    <row r="32" spans="1:23" x14ac:dyDescent="0.2">
      <c r="A32" t="s">
        <v>4</v>
      </c>
      <c r="C32">
        <f>C31-B31</f>
        <v>32.471000000000004</v>
      </c>
      <c r="D32">
        <f>D31-B31</f>
        <v>43.685000000000002</v>
      </c>
      <c r="E32">
        <f>E31-B31</f>
        <v>33.408000000000015</v>
      </c>
      <c r="F32">
        <f>F31-B31</f>
        <v>45.494</v>
      </c>
      <c r="G32">
        <f>G31-B31</f>
        <v>81.751999999999981</v>
      </c>
      <c r="H32">
        <f>H31-B31</f>
        <v>63.303000000000026</v>
      </c>
      <c r="I32">
        <f>I31-B31</f>
        <v>34.736000000000018</v>
      </c>
      <c r="J32">
        <f>J31-B31</f>
        <v>86.688999999999993</v>
      </c>
      <c r="K32">
        <f>K31-B31</f>
        <v>152.006</v>
      </c>
      <c r="L32">
        <f>L31-B31</f>
        <v>133.232</v>
      </c>
      <c r="M32">
        <f>M31-B31</f>
        <v>51.580000000000013</v>
      </c>
      <c r="N32">
        <f>N31-B31</f>
        <v>120.08799999999999</v>
      </c>
      <c r="O32">
        <f>O31-B31</f>
        <v>49.587999999999994</v>
      </c>
      <c r="P32">
        <f>P31-B31</f>
        <v>33.06</v>
      </c>
      <c r="Q32">
        <f>Q31-B31</f>
        <v>207.71299999999999</v>
      </c>
      <c r="R32">
        <f>R31-B31</f>
        <v>58.919999999999987</v>
      </c>
      <c r="S32">
        <f>S31-B31</f>
        <v>169.84200000000001</v>
      </c>
      <c r="T32">
        <f>T31-B31</f>
        <v>79.662000000000006</v>
      </c>
      <c r="U32">
        <f>U31-B31</f>
        <v>72.455000000000013</v>
      </c>
      <c r="V32">
        <f>V31-B31</f>
        <v>86.068000000000012</v>
      </c>
    </row>
    <row r="33" spans="1:22" x14ac:dyDescent="0.2">
      <c r="A33" t="s">
        <v>5</v>
      </c>
      <c r="C33">
        <v>12.478999999999999</v>
      </c>
      <c r="D33">
        <v>19.329000000000001</v>
      </c>
      <c r="E33">
        <v>20.126999999999999</v>
      </c>
      <c r="F33">
        <v>14.462</v>
      </c>
      <c r="G33">
        <v>18.411999999999999</v>
      </c>
      <c r="H33">
        <v>16.405000000000001</v>
      </c>
      <c r="I33">
        <v>15.837</v>
      </c>
      <c r="J33">
        <v>16.440999999999999</v>
      </c>
      <c r="K33">
        <v>16.803999999999998</v>
      </c>
      <c r="L33">
        <v>16.379000000000001</v>
      </c>
      <c r="M33">
        <v>15.526999999999999</v>
      </c>
      <c r="N33">
        <v>15.000999999999999</v>
      </c>
      <c r="O33">
        <v>5.6269999999999998</v>
      </c>
      <c r="P33">
        <v>3.6789999999999998</v>
      </c>
      <c r="Q33">
        <v>3.7090000000000001</v>
      </c>
      <c r="R33">
        <v>1.5620000000000001</v>
      </c>
      <c r="S33">
        <v>2.11</v>
      </c>
      <c r="T33">
        <v>3.298</v>
      </c>
      <c r="U33">
        <v>3.4409999999999998</v>
      </c>
      <c r="V33">
        <v>1.837</v>
      </c>
    </row>
    <row r="34" spans="1:22" x14ac:dyDescent="0.2">
      <c r="A34" t="s">
        <v>10</v>
      </c>
      <c r="G34">
        <f t="shared" ref="G34:V34" si="6">G32/34.74</f>
        <v>2.3532527345998844</v>
      </c>
      <c r="H34">
        <f t="shared" si="6"/>
        <v>1.822193436960277</v>
      </c>
      <c r="I34">
        <f t="shared" si="6"/>
        <v>0.9998848589522169</v>
      </c>
      <c r="J34">
        <f t="shared" si="6"/>
        <v>2.4953655728267123</v>
      </c>
      <c r="K34">
        <f t="shared" si="6"/>
        <v>4.3755325273459986</v>
      </c>
      <c r="L34">
        <f t="shared" si="6"/>
        <v>3.835118019573978</v>
      </c>
      <c r="M34">
        <f t="shared" si="6"/>
        <v>1.4847438111686819</v>
      </c>
      <c r="N34">
        <f t="shared" si="6"/>
        <v>3.4567645365572823</v>
      </c>
      <c r="O34">
        <f t="shared" si="6"/>
        <v>1.4274035693724811</v>
      </c>
      <c r="P34">
        <f t="shared" si="6"/>
        <v>0.95164075993091535</v>
      </c>
      <c r="Q34">
        <f t="shared" si="6"/>
        <v>5.9790731145653417</v>
      </c>
      <c r="R34">
        <f t="shared" si="6"/>
        <v>1.6960276338514675</v>
      </c>
      <c r="S34">
        <f t="shared" si="6"/>
        <v>4.8889464594127805</v>
      </c>
      <c r="T34">
        <f t="shared" si="6"/>
        <v>2.2930915371329879</v>
      </c>
      <c r="U34">
        <f t="shared" si="6"/>
        <v>2.0856361542890043</v>
      </c>
      <c r="V34">
        <f t="shared" si="6"/>
        <v>2.4774899251583191</v>
      </c>
    </row>
    <row r="36" spans="1:22" s="1" customFormat="1" x14ac:dyDescent="0.2">
      <c r="A36" s="1" t="s">
        <v>15</v>
      </c>
      <c r="C36" s="1" t="s">
        <v>23</v>
      </c>
      <c r="D36" s="1" t="s">
        <v>25</v>
      </c>
    </row>
    <row r="37" spans="1:22" x14ac:dyDescent="0.2">
      <c r="A37" t="s">
        <v>9</v>
      </c>
      <c r="B37">
        <v>207.58799999999999</v>
      </c>
      <c r="C37">
        <v>233.57400000000001</v>
      </c>
      <c r="D37">
        <v>330.04300000000001</v>
      </c>
      <c r="E37">
        <v>268.33600000000001</v>
      </c>
      <c r="F37">
        <v>268.78100000000001</v>
      </c>
      <c r="G37">
        <v>324.43400000000003</v>
      </c>
      <c r="H37">
        <v>408.51600000000002</v>
      </c>
      <c r="I37">
        <v>240.79300000000001</v>
      </c>
    </row>
    <row r="38" spans="1:22" x14ac:dyDescent="0.2">
      <c r="A38" t="s">
        <v>4</v>
      </c>
      <c r="C38">
        <f>C37-B37</f>
        <v>25.986000000000018</v>
      </c>
      <c r="D38">
        <f>D37-B37</f>
        <v>122.45500000000001</v>
      </c>
      <c r="E38">
        <f>E37-B37</f>
        <v>60.748000000000019</v>
      </c>
      <c r="F38">
        <f>F37-B37</f>
        <v>61.193000000000012</v>
      </c>
      <c r="G38">
        <f>G37-B37</f>
        <v>116.84600000000003</v>
      </c>
      <c r="H38">
        <f>H37-B37</f>
        <v>200.92800000000003</v>
      </c>
      <c r="I38">
        <f>I37-B37</f>
        <v>33.205000000000013</v>
      </c>
    </row>
    <row r="39" spans="1:22" x14ac:dyDescent="0.2">
      <c r="A39" t="s">
        <v>5</v>
      </c>
      <c r="C39">
        <v>20.494</v>
      </c>
      <c r="D39">
        <v>12.444000000000001</v>
      </c>
      <c r="E39">
        <v>14.917999999999999</v>
      </c>
      <c r="F39">
        <v>16.483000000000001</v>
      </c>
      <c r="G39">
        <v>3.903</v>
      </c>
      <c r="H39">
        <v>2.5169999999999999</v>
      </c>
      <c r="I39">
        <v>3.2480000000000002</v>
      </c>
    </row>
    <row r="40" spans="1:22" x14ac:dyDescent="0.2">
      <c r="A40" t="s">
        <v>17</v>
      </c>
      <c r="C40">
        <f t="shared" ref="C40:I40" si="7">SQRT(1+C39^2)</f>
        <v>20.518382879749563</v>
      </c>
      <c r="D40">
        <f t="shared" si="7"/>
        <v>12.484115347112107</v>
      </c>
      <c r="E40">
        <f t="shared" si="7"/>
        <v>14.951478990387539</v>
      </c>
      <c r="F40">
        <f t="shared" si="7"/>
        <v>16.513306422397665</v>
      </c>
      <c r="G40">
        <f t="shared" si="7"/>
        <v>4.0290704883384709</v>
      </c>
      <c r="H40">
        <f t="shared" si="7"/>
        <v>2.708373866363357</v>
      </c>
      <c r="I40">
        <f t="shared" si="7"/>
        <v>3.3984561200639329</v>
      </c>
    </row>
    <row r="41" spans="1:22" x14ac:dyDescent="0.2">
      <c r="A41" t="s">
        <v>10</v>
      </c>
      <c r="D41">
        <f t="shared" ref="D41:I41" si="8">D38/34.74</f>
        <v>3.5248992515831894</v>
      </c>
      <c r="E41">
        <f t="shared" si="8"/>
        <v>1.748647092688544</v>
      </c>
      <c r="F41">
        <f t="shared" si="8"/>
        <v>1.7614565342544619</v>
      </c>
      <c r="G41">
        <f t="shared" si="8"/>
        <v>3.3634427173287285</v>
      </c>
      <c r="H41">
        <f t="shared" si="8"/>
        <v>5.7837651122625218</v>
      </c>
      <c r="I41">
        <f t="shared" si="8"/>
        <v>0.95581462291306885</v>
      </c>
    </row>
    <row r="43" spans="1:22" s="1" customFormat="1" x14ac:dyDescent="0.2">
      <c r="A43" s="1" t="s">
        <v>16</v>
      </c>
      <c r="C43" s="1" t="s">
        <v>24</v>
      </c>
    </row>
    <row r="44" spans="1:22" x14ac:dyDescent="0.2">
      <c r="A44" t="s">
        <v>9</v>
      </c>
      <c r="B44">
        <v>207.58799999999999</v>
      </c>
      <c r="C44">
        <v>244.42599999999999</v>
      </c>
      <c r="D44">
        <v>234.19499999999999</v>
      </c>
    </row>
    <row r="45" spans="1:22" x14ac:dyDescent="0.2">
      <c r="A45" t="s">
        <v>4</v>
      </c>
      <c r="C45">
        <f>C44-B44</f>
        <v>36.837999999999994</v>
      </c>
      <c r="D45">
        <f>D44-B44</f>
        <v>26.606999999999999</v>
      </c>
    </row>
    <row r="46" spans="1:22" x14ac:dyDescent="0.2">
      <c r="A46" t="s">
        <v>5</v>
      </c>
      <c r="C46">
        <v>12.587</v>
      </c>
      <c r="D46">
        <v>2.6549999999999998</v>
      </c>
    </row>
    <row r="47" spans="1:22" x14ac:dyDescent="0.2">
      <c r="A47" t="s">
        <v>6</v>
      </c>
      <c r="C47">
        <f>SQRT(4+C46^2)</f>
        <v>12.744903648125394</v>
      </c>
      <c r="D47">
        <f>SQRT(4+D46^2)</f>
        <v>3.3240073706296136</v>
      </c>
    </row>
    <row r="48" spans="1:22" x14ac:dyDescent="0.2">
      <c r="A48" t="s">
        <v>10</v>
      </c>
      <c r="C48">
        <f>C45/34.74</f>
        <v>1.0603914795624638</v>
      </c>
      <c r="D48">
        <f>D45/34.74</f>
        <v>0.76588946459412777</v>
      </c>
    </row>
    <row r="50" spans="1:2" x14ac:dyDescent="0.2">
      <c r="A50" t="s">
        <v>33</v>
      </c>
      <c r="B50">
        <f>AVERAGE(C38,C32:F32,C25:E25,C18:D18,C11)</f>
        <v>34.741545454545459</v>
      </c>
    </row>
    <row r="51" spans="1:2" x14ac:dyDescent="0.2">
      <c r="A51" t="s">
        <v>27</v>
      </c>
      <c r="B51">
        <v>54.945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2EAA-8F56-E645-B17A-2784976E60BE}">
  <dimension ref="A1:T73"/>
  <sheetViews>
    <sheetView workbookViewId="0">
      <selection activeCell="H97" sqref="H97"/>
    </sheetView>
  </sheetViews>
  <sheetFormatPr baseColWidth="10" defaultColWidth="8.83203125" defaultRowHeight="15" x14ac:dyDescent="0.2"/>
  <cols>
    <col min="1" max="1" width="20.1640625" customWidth="1"/>
    <col min="2" max="2" width="22.33203125" customWidth="1"/>
  </cols>
  <sheetData>
    <row r="1" spans="1:7" x14ac:dyDescent="0.2">
      <c r="A1" t="s">
        <v>628</v>
      </c>
    </row>
    <row r="2" spans="1:7" s="1" customFormat="1" x14ac:dyDescent="0.2">
      <c r="A2" s="1" t="s">
        <v>16</v>
      </c>
      <c r="B2" s="1" t="s">
        <v>256</v>
      </c>
      <c r="C2" s="1" t="s">
        <v>23</v>
      </c>
      <c r="D2" s="1" t="s">
        <v>25</v>
      </c>
    </row>
    <row r="3" spans="1:7" x14ac:dyDescent="0.2">
      <c r="A3" t="s">
        <v>9</v>
      </c>
      <c r="B3">
        <v>498.85500000000002</v>
      </c>
      <c r="C3">
        <v>3203.25</v>
      </c>
      <c r="D3">
        <v>2526.4229999999998</v>
      </c>
    </row>
    <row r="4" spans="1:7" x14ac:dyDescent="0.2">
      <c r="A4" t="s">
        <v>21</v>
      </c>
      <c r="C4">
        <f>C3-B3</f>
        <v>2704.395</v>
      </c>
      <c r="D4">
        <f>D3-B3</f>
        <v>2027.5679999999998</v>
      </c>
    </row>
    <row r="5" spans="1:7" x14ac:dyDescent="0.2">
      <c r="A5" t="s">
        <v>31</v>
      </c>
      <c r="C5">
        <v>5.851</v>
      </c>
      <c r="D5">
        <v>3.4420000000000002</v>
      </c>
    </row>
    <row r="6" spans="1:7" x14ac:dyDescent="0.2">
      <c r="A6" t="s">
        <v>17</v>
      </c>
      <c r="C6">
        <f>SQRT(36+C5^2)</f>
        <v>8.3805847648001262</v>
      </c>
      <c r="D6">
        <f>SQRT(36+D5^2)</f>
        <v>6.9171789047269838</v>
      </c>
    </row>
    <row r="7" spans="1:7" x14ac:dyDescent="0.2">
      <c r="A7" t="s">
        <v>10</v>
      </c>
    </row>
    <row r="9" spans="1:7" s="1" customFormat="1" x14ac:dyDescent="0.2">
      <c r="A9" s="1" t="s">
        <v>18</v>
      </c>
      <c r="C9" s="1" t="s">
        <v>23</v>
      </c>
      <c r="E9" s="1" t="s">
        <v>25</v>
      </c>
    </row>
    <row r="10" spans="1:7" x14ac:dyDescent="0.2">
      <c r="A10" t="s">
        <v>3</v>
      </c>
      <c r="B10">
        <v>498.85500000000002</v>
      </c>
      <c r="C10">
        <v>3377.9810000000002</v>
      </c>
      <c r="D10">
        <v>2804.5770000000002</v>
      </c>
      <c r="E10">
        <v>5614.9620000000004</v>
      </c>
      <c r="F10">
        <v>5098.3649999999998</v>
      </c>
      <c r="G10">
        <v>5622.9620000000004</v>
      </c>
    </row>
    <row r="11" spans="1:7" x14ac:dyDescent="0.2">
      <c r="A11" t="s">
        <v>21</v>
      </c>
      <c r="C11">
        <f>C10-B10</f>
        <v>2879.1260000000002</v>
      </c>
      <c r="D11">
        <f>D10-B10</f>
        <v>2305.7220000000002</v>
      </c>
      <c r="E11">
        <f>E10-B10</f>
        <v>5116.107</v>
      </c>
      <c r="F11">
        <f>F10-B10</f>
        <v>4599.51</v>
      </c>
      <c r="G11">
        <f>G10-B10</f>
        <v>5124.107</v>
      </c>
    </row>
    <row r="12" spans="1:7" x14ac:dyDescent="0.2">
      <c r="A12" t="s">
        <v>31</v>
      </c>
      <c r="C12">
        <v>5.8860000000000001</v>
      </c>
      <c r="D12">
        <v>5.7779999999999996</v>
      </c>
      <c r="E12">
        <v>3.528</v>
      </c>
      <c r="F12">
        <v>2.7189999999999999</v>
      </c>
      <c r="G12">
        <v>2.476</v>
      </c>
    </row>
    <row r="13" spans="1:7" x14ac:dyDescent="0.2">
      <c r="A13" t="s">
        <v>17</v>
      </c>
      <c r="C13">
        <f>SQRT(25+C12^2)</f>
        <v>7.7230172860093997</v>
      </c>
      <c r="D13">
        <f>SQRT(25+D12^2)</f>
        <v>7.6410263708483557</v>
      </c>
      <c r="E13">
        <f>SQRT(25+E12^2)</f>
        <v>6.1193777461438019</v>
      </c>
      <c r="F13">
        <f>SQRT(25+F12^2)</f>
        <v>5.6914814415932167</v>
      </c>
      <c r="G13">
        <f>SQRT(25+G12^2)</f>
        <v>5.5794781117950452</v>
      </c>
    </row>
    <row r="14" spans="1:7" x14ac:dyDescent="0.2">
      <c r="A14" t="s">
        <v>10</v>
      </c>
    </row>
    <row r="16" spans="1:7" s="1" customFormat="1" x14ac:dyDescent="0.2">
      <c r="A16" s="1" t="s">
        <v>19</v>
      </c>
      <c r="C16" s="1" t="s">
        <v>627</v>
      </c>
      <c r="D16" s="1" t="s">
        <v>25</v>
      </c>
    </row>
    <row r="17" spans="1:18" x14ac:dyDescent="0.2">
      <c r="A17" t="s">
        <v>3</v>
      </c>
      <c r="B17">
        <v>498.85500000000002</v>
      </c>
      <c r="C17">
        <v>4501.2120000000004</v>
      </c>
      <c r="D17">
        <v>12735.096</v>
      </c>
      <c r="E17">
        <v>18265.422999999999</v>
      </c>
      <c r="F17">
        <v>11814.191999999999</v>
      </c>
      <c r="G17">
        <v>12279.885</v>
      </c>
    </row>
    <row r="18" spans="1:18" x14ac:dyDescent="0.2">
      <c r="A18" t="s">
        <v>21</v>
      </c>
      <c r="C18">
        <f>C17-B17</f>
        <v>4002.3570000000004</v>
      </c>
      <c r="D18">
        <f>D17-B17</f>
        <v>12236.241</v>
      </c>
      <c r="E18">
        <f>E17-B17</f>
        <v>17766.567999999999</v>
      </c>
      <c r="F18">
        <f>F17-B17</f>
        <v>11315.337</v>
      </c>
      <c r="G18">
        <f>G17-B17</f>
        <v>11781.03</v>
      </c>
    </row>
    <row r="19" spans="1:18" x14ac:dyDescent="0.2">
      <c r="A19" t="s">
        <v>31</v>
      </c>
      <c r="C19">
        <v>10.204000000000001</v>
      </c>
      <c r="D19">
        <v>2.363</v>
      </c>
      <c r="E19">
        <v>1.821</v>
      </c>
      <c r="F19">
        <v>3.86</v>
      </c>
      <c r="G19">
        <v>3.2360000000000002</v>
      </c>
    </row>
    <row r="20" spans="1:18" x14ac:dyDescent="0.2">
      <c r="A20" t="s">
        <v>17</v>
      </c>
      <c r="C20">
        <f>SQRT(9+C19^2)</f>
        <v>10.635864609894206</v>
      </c>
      <c r="D20">
        <f>SQRT(9+D19^2)</f>
        <v>3.8188701208603573</v>
      </c>
      <c r="E20">
        <f>SQRT(9+E19^2)</f>
        <v>3.5094217472398497</v>
      </c>
      <c r="F20">
        <f>SQRT(9+F19^2)</f>
        <v>4.8887217143134665</v>
      </c>
      <c r="G20">
        <f>SQRT(9+G19^2)</f>
        <v>4.4126744724713154</v>
      </c>
    </row>
    <row r="21" spans="1:18" x14ac:dyDescent="0.2">
      <c r="A21" t="s">
        <v>10</v>
      </c>
    </row>
    <row r="23" spans="1:18" s="1" customFormat="1" x14ac:dyDescent="0.2">
      <c r="A23" s="1" t="s">
        <v>37</v>
      </c>
      <c r="C23" s="1" t="s">
        <v>626</v>
      </c>
      <c r="D23" s="1" t="s">
        <v>25</v>
      </c>
    </row>
    <row r="24" spans="1:18" x14ac:dyDescent="0.2">
      <c r="A24" t="s">
        <v>3</v>
      </c>
      <c r="B24">
        <v>498.85500000000002</v>
      </c>
      <c r="C24">
        <v>5634.25</v>
      </c>
      <c r="D24">
        <v>7940.9620000000004</v>
      </c>
      <c r="E24">
        <v>5299</v>
      </c>
      <c r="F24">
        <v>4641.6540000000005</v>
      </c>
      <c r="G24">
        <v>4763.4229999999998</v>
      </c>
      <c r="H24">
        <v>8286.2309999999998</v>
      </c>
      <c r="I24">
        <v>10658.941999999999</v>
      </c>
      <c r="J24">
        <v>16916.538</v>
      </c>
      <c r="K24">
        <v>26943.558000000001</v>
      </c>
      <c r="L24">
        <v>17185.038</v>
      </c>
      <c r="M24">
        <v>4208.7120000000004</v>
      </c>
    </row>
    <row r="25" spans="1:18" x14ac:dyDescent="0.2">
      <c r="A25" t="s">
        <v>21</v>
      </c>
      <c r="C25">
        <f>C24-B24</f>
        <v>5135.3950000000004</v>
      </c>
      <c r="D25">
        <f>D24-B24</f>
        <v>7442.107</v>
      </c>
      <c r="E25">
        <f>E24-B24</f>
        <v>4800.1450000000004</v>
      </c>
      <c r="F25">
        <f>F24-B24</f>
        <v>4142.7990000000009</v>
      </c>
      <c r="G25">
        <f>G24-B24</f>
        <v>4264.5679999999993</v>
      </c>
      <c r="H25">
        <f>H24-B24</f>
        <v>7787.3760000000002</v>
      </c>
      <c r="I25">
        <f>I24-B24</f>
        <v>10160.087</v>
      </c>
      <c r="J25">
        <f>J24-B24</f>
        <v>16417.683000000001</v>
      </c>
      <c r="K25">
        <f>K24-B24</f>
        <v>26444.703000000001</v>
      </c>
      <c r="L25">
        <f>L24-B24</f>
        <v>16686.183000000001</v>
      </c>
      <c r="M25">
        <f>M24-B24</f>
        <v>3709.8570000000004</v>
      </c>
    </row>
    <row r="26" spans="1:18" x14ac:dyDescent="0.2">
      <c r="A26" t="s">
        <v>31</v>
      </c>
      <c r="C26">
        <v>8.8680000000000003</v>
      </c>
      <c r="D26">
        <v>4.0490000000000004</v>
      </c>
      <c r="E26">
        <v>3.714</v>
      </c>
      <c r="F26">
        <v>4.2149999999999999</v>
      </c>
      <c r="G26">
        <v>3.73</v>
      </c>
      <c r="H26">
        <v>3.931</v>
      </c>
      <c r="I26">
        <v>3.2429999999999999</v>
      </c>
      <c r="J26">
        <v>2.5059999999999998</v>
      </c>
      <c r="K26">
        <v>2.1440000000000001</v>
      </c>
      <c r="L26">
        <v>1.633</v>
      </c>
      <c r="M26">
        <v>2.1539999999999999</v>
      </c>
    </row>
    <row r="27" spans="1:18" x14ac:dyDescent="0.2">
      <c r="A27" t="s">
        <v>17</v>
      </c>
      <c r="C27">
        <f t="shared" ref="C27:M27" si="0">SQRT(4+C26^2)</f>
        <v>9.0907328637464655</v>
      </c>
      <c r="D27">
        <f t="shared" si="0"/>
        <v>4.5160160540015797</v>
      </c>
      <c r="E27">
        <f t="shared" si="0"/>
        <v>4.2182693133558935</v>
      </c>
      <c r="F27">
        <f t="shared" si="0"/>
        <v>4.6654287048458896</v>
      </c>
      <c r="G27">
        <f t="shared" si="0"/>
        <v>4.2323634059470843</v>
      </c>
      <c r="H27">
        <f t="shared" si="0"/>
        <v>4.4105284263906519</v>
      </c>
      <c r="I27">
        <f t="shared" si="0"/>
        <v>3.8101245386469982</v>
      </c>
      <c r="J27">
        <f t="shared" si="0"/>
        <v>3.2062495224171181</v>
      </c>
      <c r="K27">
        <f t="shared" si="0"/>
        <v>2.9320190995285142</v>
      </c>
      <c r="L27">
        <f t="shared" si="0"/>
        <v>2.5819932222993924</v>
      </c>
      <c r="M27">
        <f t="shared" si="0"/>
        <v>2.9393393815617821</v>
      </c>
    </row>
    <row r="28" spans="1:18" x14ac:dyDescent="0.2">
      <c r="A28" t="s">
        <v>10</v>
      </c>
    </row>
    <row r="30" spans="1:18" s="1" customFormat="1" x14ac:dyDescent="0.2">
      <c r="A30" s="1" t="s">
        <v>22</v>
      </c>
      <c r="C30" s="1" t="s">
        <v>23</v>
      </c>
      <c r="D30" s="1" t="s">
        <v>25</v>
      </c>
    </row>
    <row r="31" spans="1:18" x14ac:dyDescent="0.2">
      <c r="A31" t="s">
        <v>9</v>
      </c>
      <c r="B31">
        <v>498.85500000000002</v>
      </c>
      <c r="C31">
        <v>6600.25</v>
      </c>
      <c r="D31">
        <v>6820.4040000000005</v>
      </c>
      <c r="E31">
        <v>4481.808</v>
      </c>
      <c r="F31">
        <v>6337.6729999999998</v>
      </c>
      <c r="G31">
        <v>11470.135</v>
      </c>
      <c r="H31">
        <v>10118.038</v>
      </c>
      <c r="I31">
        <v>10389.269</v>
      </c>
      <c r="J31">
        <v>8121.8459999999995</v>
      </c>
      <c r="K31">
        <v>5706.6350000000002</v>
      </c>
      <c r="L31">
        <v>9449.4230000000007</v>
      </c>
      <c r="M31">
        <v>17204.634999999998</v>
      </c>
      <c r="N31">
        <v>17578.922999999999</v>
      </c>
      <c r="O31">
        <v>10077.941999999999</v>
      </c>
      <c r="P31">
        <v>6898.5190000000002</v>
      </c>
      <c r="Q31">
        <v>5146.1729999999998</v>
      </c>
      <c r="R31">
        <v>7634.1149999999998</v>
      </c>
    </row>
    <row r="32" spans="1:18" x14ac:dyDescent="0.2">
      <c r="A32" t="s">
        <v>21</v>
      </c>
      <c r="C32">
        <f>C31-B31</f>
        <v>6101.3950000000004</v>
      </c>
      <c r="D32">
        <f>D31-B31</f>
        <v>6321.5490000000009</v>
      </c>
      <c r="E32">
        <f>E31-B31</f>
        <v>3982.953</v>
      </c>
      <c r="F32">
        <f>F31-B31</f>
        <v>5838.8179999999993</v>
      </c>
      <c r="G32">
        <f>G31-B31</f>
        <v>10971.28</v>
      </c>
      <c r="H32">
        <f>H31-B31</f>
        <v>9619.1830000000009</v>
      </c>
      <c r="I32">
        <f>I31-B31</f>
        <v>9890.4140000000007</v>
      </c>
      <c r="J32">
        <f>J31-B31</f>
        <v>7622.991</v>
      </c>
      <c r="K32">
        <f>K31-B31</f>
        <v>5207.7800000000007</v>
      </c>
      <c r="L32">
        <f>L31-B31</f>
        <v>8950.5680000000011</v>
      </c>
      <c r="M32">
        <f>M31-B31</f>
        <v>16705.78</v>
      </c>
      <c r="N32">
        <f>N31-B31</f>
        <v>17080.067999999999</v>
      </c>
      <c r="O32">
        <f>O31-B31</f>
        <v>9579.0869999999995</v>
      </c>
      <c r="P32">
        <f>P31-B31</f>
        <v>6399.6640000000007</v>
      </c>
      <c r="Q32">
        <f>Q31-B31</f>
        <v>4647.3179999999993</v>
      </c>
      <c r="R32">
        <f>R31-B31</f>
        <v>7135.26</v>
      </c>
    </row>
    <row r="33" spans="1:20" x14ac:dyDescent="0.2">
      <c r="A33" t="s">
        <v>31</v>
      </c>
      <c r="C33">
        <v>1.0860000000000001</v>
      </c>
      <c r="D33">
        <v>8.24</v>
      </c>
      <c r="E33">
        <v>4.9909999999999997</v>
      </c>
      <c r="F33">
        <v>4.4320000000000004</v>
      </c>
      <c r="G33">
        <v>4.1449999999999996</v>
      </c>
      <c r="H33">
        <v>3.778</v>
      </c>
      <c r="I33">
        <v>3.7559999999999998</v>
      </c>
      <c r="J33">
        <v>4.2480000000000002</v>
      </c>
      <c r="K33">
        <v>3.1480000000000001</v>
      </c>
      <c r="L33">
        <v>2.91</v>
      </c>
      <c r="M33">
        <v>2.7080000000000002</v>
      </c>
      <c r="N33">
        <v>2.1309999999999998</v>
      </c>
      <c r="O33">
        <v>2.2959999999999998</v>
      </c>
      <c r="P33">
        <v>2.8039999999999998</v>
      </c>
      <c r="Q33">
        <v>2.1819999999999999</v>
      </c>
      <c r="R33">
        <v>2.2970000000000002</v>
      </c>
    </row>
    <row r="34" spans="1:20" x14ac:dyDescent="0.2">
      <c r="A34" t="s">
        <v>17</v>
      </c>
      <c r="C34">
        <f t="shared" ref="C34:R34" si="1">SQRT(1+C33^2)</f>
        <v>1.4762777516443171</v>
      </c>
      <c r="D34">
        <f t="shared" si="1"/>
        <v>8.3004578186989182</v>
      </c>
      <c r="E34">
        <f t="shared" si="1"/>
        <v>5.090194593529799</v>
      </c>
      <c r="F34">
        <f t="shared" si="1"/>
        <v>4.5434154553595478</v>
      </c>
      <c r="G34">
        <f t="shared" si="1"/>
        <v>4.2639213172852992</v>
      </c>
      <c r="H34">
        <f t="shared" si="1"/>
        <v>3.9081049115907827</v>
      </c>
      <c r="I34">
        <f t="shared" si="1"/>
        <v>3.8868413911555484</v>
      </c>
      <c r="J34">
        <f t="shared" si="1"/>
        <v>4.3641154888476548</v>
      </c>
      <c r="K34">
        <f t="shared" si="1"/>
        <v>3.3030143808345733</v>
      </c>
      <c r="L34">
        <f t="shared" si="1"/>
        <v>3.0770277866798672</v>
      </c>
      <c r="M34">
        <f t="shared" si="1"/>
        <v>2.8867393370375511</v>
      </c>
      <c r="N34">
        <f t="shared" si="1"/>
        <v>2.3539670770849788</v>
      </c>
      <c r="O34">
        <f t="shared" si="1"/>
        <v>2.5043194684384815</v>
      </c>
      <c r="P34">
        <f t="shared" si="1"/>
        <v>2.9769810211017469</v>
      </c>
      <c r="Q34">
        <f t="shared" si="1"/>
        <v>2.4002341552440254</v>
      </c>
      <c r="R34">
        <f t="shared" si="1"/>
        <v>2.505236316198534</v>
      </c>
    </row>
    <row r="35" spans="1:20" x14ac:dyDescent="0.2">
      <c r="A35" t="s">
        <v>625</v>
      </c>
      <c r="D35">
        <f t="shared" ref="D35:R35" si="2">D32/4360.019</f>
        <v>1.4498902413039945</v>
      </c>
      <c r="E35">
        <f t="shared" si="2"/>
        <v>0.91351734935100048</v>
      </c>
      <c r="F35">
        <f t="shared" si="2"/>
        <v>1.3391726045230534</v>
      </c>
      <c r="G35">
        <f t="shared" si="2"/>
        <v>2.5163376581615813</v>
      </c>
      <c r="H35">
        <f t="shared" si="2"/>
        <v>2.2062250187441843</v>
      </c>
      <c r="I35">
        <f t="shared" si="2"/>
        <v>2.268433692605468</v>
      </c>
      <c r="J35">
        <f t="shared" si="2"/>
        <v>1.7483848120845344</v>
      </c>
      <c r="K35">
        <f t="shared" si="2"/>
        <v>1.1944397490010938</v>
      </c>
      <c r="L35">
        <f t="shared" si="2"/>
        <v>2.0528736227984328</v>
      </c>
      <c r="M35">
        <f t="shared" si="2"/>
        <v>3.8315842201605079</v>
      </c>
      <c r="N35">
        <f t="shared" si="2"/>
        <v>3.9174297176227899</v>
      </c>
      <c r="O35">
        <f t="shared" si="2"/>
        <v>2.1970287285445314</v>
      </c>
      <c r="P35">
        <f t="shared" si="2"/>
        <v>1.467806447632453</v>
      </c>
      <c r="Q35">
        <f t="shared" si="2"/>
        <v>1.0658939789023854</v>
      </c>
      <c r="R35">
        <f t="shared" si="2"/>
        <v>1.6365203913102213</v>
      </c>
    </row>
    <row r="37" spans="1:20" s="1" customFormat="1" x14ac:dyDescent="0.2">
      <c r="A37" s="1" t="s">
        <v>624</v>
      </c>
      <c r="C37" s="1" t="s">
        <v>23</v>
      </c>
      <c r="D37" s="1" t="s">
        <v>25</v>
      </c>
    </row>
    <row r="38" spans="1:20" x14ac:dyDescent="0.2">
      <c r="A38" t="s">
        <v>3</v>
      </c>
      <c r="B38">
        <v>498.85500000000002</v>
      </c>
      <c r="C38">
        <v>5413.8649999999998</v>
      </c>
      <c r="D38">
        <v>7632.0379999999996</v>
      </c>
      <c r="E38">
        <v>9057.6919999999991</v>
      </c>
      <c r="F38">
        <v>11017.135</v>
      </c>
      <c r="G38">
        <v>16620.077000000001</v>
      </c>
      <c r="H38">
        <v>15781.769</v>
      </c>
      <c r="I38">
        <v>7641.2120000000004</v>
      </c>
      <c r="J38">
        <v>10997.423000000001</v>
      </c>
      <c r="K38">
        <v>6318.4040000000005</v>
      </c>
      <c r="L38">
        <v>7856.9620000000004</v>
      </c>
      <c r="M38">
        <v>4603.0770000000002</v>
      </c>
      <c r="N38">
        <v>5700.9620000000004</v>
      </c>
      <c r="O38">
        <v>7880.4040000000005</v>
      </c>
      <c r="P38">
        <v>10517.691999999999</v>
      </c>
      <c r="Q38">
        <v>11627.423000000001</v>
      </c>
      <c r="R38">
        <v>7335.6729999999998</v>
      </c>
      <c r="S38">
        <v>8241.1540000000005</v>
      </c>
      <c r="T38">
        <v>5393.5190000000002</v>
      </c>
    </row>
    <row r="39" spans="1:20" x14ac:dyDescent="0.2">
      <c r="A39" t="s">
        <v>21</v>
      </c>
      <c r="C39">
        <f>C38-B38</f>
        <v>4915.01</v>
      </c>
      <c r="D39">
        <f>D38-B38</f>
        <v>7133.1829999999991</v>
      </c>
      <c r="E39">
        <f>E38-B38</f>
        <v>8558.8369999999995</v>
      </c>
      <c r="F39">
        <f>F38-B38</f>
        <v>10518.28</v>
      </c>
      <c r="G39">
        <f>G38-B38</f>
        <v>16121.222000000002</v>
      </c>
      <c r="H39">
        <f>H38-B38</f>
        <v>15282.914000000001</v>
      </c>
      <c r="I39">
        <f>I38-B38</f>
        <v>7142.357</v>
      </c>
      <c r="J39">
        <f>J38-B38</f>
        <v>10498.568000000001</v>
      </c>
      <c r="K39">
        <f>K38-B38</f>
        <v>5819.5490000000009</v>
      </c>
      <c r="L39">
        <f>L38-B38</f>
        <v>7358.107</v>
      </c>
      <c r="M39">
        <f>M38-B38</f>
        <v>4104.2219999999998</v>
      </c>
      <c r="N39">
        <f>N38-B38</f>
        <v>5202.107</v>
      </c>
      <c r="O39">
        <f>O38-B38</f>
        <v>7381.5490000000009</v>
      </c>
      <c r="P39">
        <f>P38-B38</f>
        <v>10018.837</v>
      </c>
      <c r="Q39">
        <f>Q38-B38</f>
        <v>11128.568000000001</v>
      </c>
      <c r="R39">
        <f>R38-B38</f>
        <v>6836.8179999999993</v>
      </c>
      <c r="S39">
        <f>S38-B38</f>
        <v>7742.2990000000009</v>
      </c>
      <c r="T39">
        <f>T38-B38</f>
        <v>4894.6640000000007</v>
      </c>
    </row>
    <row r="40" spans="1:20" x14ac:dyDescent="0.2">
      <c r="A40" t="s">
        <v>31</v>
      </c>
      <c r="C40">
        <v>8.2530000000000001</v>
      </c>
      <c r="D40">
        <v>4.9740000000000002</v>
      </c>
      <c r="E40">
        <v>4.29</v>
      </c>
      <c r="F40">
        <v>4.3179999999999996</v>
      </c>
      <c r="G40">
        <v>3.7909999999999999</v>
      </c>
      <c r="H40">
        <v>3.7909999999999999</v>
      </c>
      <c r="I40">
        <v>4.101</v>
      </c>
      <c r="J40">
        <v>3.585</v>
      </c>
      <c r="K40">
        <v>3.9870000000000001</v>
      </c>
      <c r="L40">
        <v>2.9510000000000001</v>
      </c>
      <c r="M40">
        <v>2.0939999999999999</v>
      </c>
      <c r="N40">
        <v>2.1469999999999998</v>
      </c>
      <c r="O40">
        <v>2.6640000000000001</v>
      </c>
      <c r="P40">
        <v>2.7410000000000001</v>
      </c>
      <c r="Q40">
        <v>2.1309999999999998</v>
      </c>
      <c r="R40">
        <v>2.0019999999999998</v>
      </c>
      <c r="S40">
        <v>2.2930000000000001</v>
      </c>
      <c r="T40">
        <v>1.0569999999999999</v>
      </c>
    </row>
    <row r="41" spans="1:20" x14ac:dyDescent="0.2">
      <c r="A41" t="s">
        <v>10</v>
      </c>
      <c r="D41">
        <f t="shared" ref="D41:T41" si="3">D39/4360.019</f>
        <v>1.6360440172393742</v>
      </c>
      <c r="E41">
        <f t="shared" si="3"/>
        <v>1.9630274546968716</v>
      </c>
      <c r="F41">
        <f t="shared" si="3"/>
        <v>2.4124390283620323</v>
      </c>
      <c r="G41">
        <f t="shared" si="3"/>
        <v>3.6975118686409396</v>
      </c>
      <c r="H41">
        <f t="shared" si="3"/>
        <v>3.5052402294577156</v>
      </c>
      <c r="I41">
        <f t="shared" si="3"/>
        <v>1.6381481365104142</v>
      </c>
      <c r="J41">
        <f t="shared" si="3"/>
        <v>2.4079179471465606</v>
      </c>
      <c r="K41">
        <f t="shared" si="3"/>
        <v>1.3347531283693947</v>
      </c>
      <c r="L41">
        <f t="shared" si="3"/>
        <v>1.6876318658244378</v>
      </c>
      <c r="M41">
        <f t="shared" si="3"/>
        <v>0.94133121896945848</v>
      </c>
      <c r="N41">
        <f t="shared" si="3"/>
        <v>1.1931386078822133</v>
      </c>
      <c r="O41">
        <f t="shared" si="3"/>
        <v>1.6930084478989658</v>
      </c>
      <c r="P41">
        <f t="shared" si="3"/>
        <v>2.297888380761643</v>
      </c>
      <c r="Q41">
        <f t="shared" si="3"/>
        <v>2.5524127303114965</v>
      </c>
      <c r="R41">
        <f t="shared" si="3"/>
        <v>1.5680706896002057</v>
      </c>
      <c r="S41">
        <f t="shared" si="3"/>
        <v>1.775748913020792</v>
      </c>
      <c r="T41">
        <f t="shared" si="3"/>
        <v>1.1226244656273288</v>
      </c>
    </row>
    <row r="44" spans="1:20" s="1" customFormat="1" x14ac:dyDescent="0.2">
      <c r="A44" s="1" t="s">
        <v>58</v>
      </c>
      <c r="C44" s="1" t="s">
        <v>23</v>
      </c>
      <c r="E44" s="1" t="s">
        <v>25</v>
      </c>
    </row>
    <row r="45" spans="1:20" x14ac:dyDescent="0.2">
      <c r="A45" t="s">
        <v>3</v>
      </c>
      <c r="B45">
        <v>498.85500000000002</v>
      </c>
      <c r="C45">
        <v>6145.8850000000002</v>
      </c>
      <c r="D45">
        <v>6048.5959999999995</v>
      </c>
      <c r="E45">
        <v>10180.212</v>
      </c>
      <c r="F45">
        <v>7471.0190000000002</v>
      </c>
      <c r="G45">
        <v>12411.712</v>
      </c>
      <c r="H45">
        <v>14336.596</v>
      </c>
      <c r="I45">
        <v>12159.712</v>
      </c>
      <c r="J45">
        <v>9065.5190000000002</v>
      </c>
      <c r="K45">
        <v>7837.0770000000002</v>
      </c>
      <c r="L45">
        <v>7095.2690000000002</v>
      </c>
    </row>
    <row r="46" spans="1:20" x14ac:dyDescent="0.2">
      <c r="A46" t="s">
        <v>21</v>
      </c>
      <c r="C46">
        <f>C45-B45</f>
        <v>5647.0300000000007</v>
      </c>
      <c r="D46">
        <f>D45-B45</f>
        <v>5549.741</v>
      </c>
      <c r="E46">
        <f>E45-B45</f>
        <v>9681.357</v>
      </c>
      <c r="F46">
        <f>F45-B45</f>
        <v>6972.1640000000007</v>
      </c>
      <c r="G46">
        <f>G45-B45</f>
        <v>11912.857</v>
      </c>
      <c r="H46">
        <f>H45-B45</f>
        <v>13837.741</v>
      </c>
      <c r="I46">
        <f>I45-B45</f>
        <v>11660.857</v>
      </c>
      <c r="J46">
        <f>J45-B45</f>
        <v>8566.6640000000007</v>
      </c>
      <c r="K46">
        <f>K45-B45</f>
        <v>7338.2219999999998</v>
      </c>
      <c r="L46">
        <f>L45-B45</f>
        <v>6596.4140000000007</v>
      </c>
    </row>
    <row r="47" spans="1:20" x14ac:dyDescent="0.2">
      <c r="A47" t="s">
        <v>31</v>
      </c>
      <c r="C47">
        <v>10.484</v>
      </c>
      <c r="D47">
        <v>2.0219999999999998</v>
      </c>
      <c r="E47">
        <v>4.585</v>
      </c>
      <c r="F47">
        <v>4.4329999999999998</v>
      </c>
      <c r="G47">
        <v>3.7170000000000001</v>
      </c>
      <c r="H47">
        <v>3.827</v>
      </c>
      <c r="I47">
        <v>2.9660000000000002</v>
      </c>
      <c r="J47">
        <v>3.1120000000000001</v>
      </c>
      <c r="K47">
        <v>2.4</v>
      </c>
      <c r="L47">
        <v>2.1989999999999998</v>
      </c>
    </row>
    <row r="48" spans="1:20" x14ac:dyDescent="0.2">
      <c r="A48" t="s">
        <v>17</v>
      </c>
      <c r="C48">
        <f t="shared" ref="C48:L48" si="4">SQRT(1+C47^2)</f>
        <v>10.531583736551687</v>
      </c>
      <c r="D48">
        <f t="shared" si="4"/>
        <v>2.2557668319221293</v>
      </c>
      <c r="E48">
        <f t="shared" si="4"/>
        <v>4.6927843547301427</v>
      </c>
      <c r="F48">
        <f t="shared" si="4"/>
        <v>4.5443909382886503</v>
      </c>
      <c r="G48">
        <f t="shared" si="4"/>
        <v>3.8491673125495596</v>
      </c>
      <c r="H48">
        <f t="shared" si="4"/>
        <v>3.95549352167337</v>
      </c>
      <c r="I48">
        <f t="shared" si="4"/>
        <v>3.1300408943015428</v>
      </c>
      <c r="J48">
        <f t="shared" si="4"/>
        <v>3.268722074450503</v>
      </c>
      <c r="K48">
        <f t="shared" si="4"/>
        <v>2.6</v>
      </c>
      <c r="L48">
        <f t="shared" si="4"/>
        <v>2.4156988636831369</v>
      </c>
    </row>
    <row r="49" spans="1:12" x14ac:dyDescent="0.2">
      <c r="A49" t="s">
        <v>10</v>
      </c>
      <c r="E49">
        <f t="shared" ref="E49:L49" si="5">E46/4360.019</f>
        <v>2.2204850483449725</v>
      </c>
      <c r="F49">
        <f t="shared" si="5"/>
        <v>1.5991132148736049</v>
      </c>
      <c r="G49">
        <f t="shared" si="5"/>
        <v>2.7322947445871222</v>
      </c>
      <c r="H49">
        <f t="shared" si="5"/>
        <v>3.1737799766468906</v>
      </c>
      <c r="I49">
        <f t="shared" si="5"/>
        <v>2.6744968313211479</v>
      </c>
      <c r="J49">
        <f t="shared" si="5"/>
        <v>1.9648226303600971</v>
      </c>
      <c r="K49">
        <f t="shared" si="5"/>
        <v>1.6830711058827954</v>
      </c>
      <c r="L49">
        <f t="shared" si="5"/>
        <v>1.5129323977716611</v>
      </c>
    </row>
    <row r="51" spans="1:12" s="1" customFormat="1" x14ac:dyDescent="0.2">
      <c r="A51" s="1" t="s">
        <v>623</v>
      </c>
      <c r="C51" s="1" t="s">
        <v>25</v>
      </c>
    </row>
    <row r="52" spans="1:12" x14ac:dyDescent="0.2">
      <c r="A52" t="s">
        <v>3</v>
      </c>
      <c r="B52">
        <v>498.85500000000002</v>
      </c>
      <c r="C52">
        <v>6566.2879999999996</v>
      </c>
      <c r="D52">
        <v>4886.2879999999996</v>
      </c>
      <c r="E52">
        <v>4637.9040000000005</v>
      </c>
      <c r="F52">
        <v>7503.7879999999996</v>
      </c>
      <c r="G52">
        <v>8965.2309999999998</v>
      </c>
      <c r="H52">
        <v>9132.5580000000009</v>
      </c>
      <c r="I52">
        <v>14018.346</v>
      </c>
      <c r="J52">
        <v>12679.923000000001</v>
      </c>
      <c r="K52">
        <v>6306.6149999999998</v>
      </c>
    </row>
    <row r="53" spans="1:12" x14ac:dyDescent="0.2">
      <c r="A53" t="s">
        <v>4</v>
      </c>
      <c r="C53">
        <f>C52-B52</f>
        <v>6067.4329999999991</v>
      </c>
      <c r="D53">
        <f>D52-B52</f>
        <v>4387.4329999999991</v>
      </c>
      <c r="E53">
        <f>E52-B52</f>
        <v>4139.0490000000009</v>
      </c>
      <c r="F53">
        <f>F52-B52</f>
        <v>7004.9329999999991</v>
      </c>
      <c r="G53">
        <f>G52-B52</f>
        <v>8466.3760000000002</v>
      </c>
      <c r="H53">
        <f>H52-B52</f>
        <v>8633.7030000000013</v>
      </c>
      <c r="I53">
        <f>I52-B52</f>
        <v>13519.491</v>
      </c>
      <c r="J53">
        <f>J52-B52</f>
        <v>12181.068000000001</v>
      </c>
      <c r="K53">
        <f>K52-B52</f>
        <v>5807.76</v>
      </c>
    </row>
    <row r="54" spans="1:12" x14ac:dyDescent="0.2">
      <c r="A54" t="s">
        <v>31</v>
      </c>
      <c r="C54">
        <v>4.76</v>
      </c>
      <c r="D54">
        <v>4.4749999999999996</v>
      </c>
      <c r="E54">
        <v>4.4790000000000001</v>
      </c>
      <c r="F54">
        <v>4.2510000000000003</v>
      </c>
      <c r="G54">
        <v>4.2140000000000004</v>
      </c>
      <c r="H54">
        <v>3.5529999999999999</v>
      </c>
      <c r="I54">
        <v>3.0390000000000001</v>
      </c>
      <c r="J54">
        <v>2.2850000000000001</v>
      </c>
      <c r="K54">
        <v>2.1579999999999999</v>
      </c>
    </row>
    <row r="55" spans="1:12" x14ac:dyDescent="0.2">
      <c r="A55" t="s">
        <v>17</v>
      </c>
      <c r="C55">
        <f t="shared" ref="C55:K55" si="6">SQRT(4+C54^2)</f>
        <v>5.1630998440859148</v>
      </c>
      <c r="D55">
        <f t="shared" si="6"/>
        <v>4.9015941284443372</v>
      </c>
      <c r="E55">
        <f t="shared" si="6"/>
        <v>4.9052462731243169</v>
      </c>
      <c r="F55">
        <f t="shared" si="6"/>
        <v>4.6979783950120506</v>
      </c>
      <c r="G55">
        <f t="shared" si="6"/>
        <v>4.6645252705929252</v>
      </c>
      <c r="H55">
        <f t="shared" si="6"/>
        <v>4.077230555168545</v>
      </c>
      <c r="I55">
        <f t="shared" si="6"/>
        <v>3.6380655574082224</v>
      </c>
      <c r="J55">
        <f t="shared" si="6"/>
        <v>3.0366469995704146</v>
      </c>
      <c r="K55">
        <f t="shared" si="6"/>
        <v>2.9422719112957592</v>
      </c>
    </row>
    <row r="56" spans="1:12" x14ac:dyDescent="0.2">
      <c r="A56" t="s">
        <v>10</v>
      </c>
      <c r="C56">
        <f t="shared" ref="C56:K56" si="7">C53/4360.019</f>
        <v>1.3916070090520245</v>
      </c>
      <c r="D56">
        <f t="shared" si="7"/>
        <v>1.0062875872788626</v>
      </c>
      <c r="E56">
        <f t="shared" si="7"/>
        <v>0.94931902819689562</v>
      </c>
      <c r="F56">
        <f t="shared" si="7"/>
        <v>1.6066290078093692</v>
      </c>
      <c r="G56">
        <f t="shared" si="7"/>
        <v>1.9418208957346286</v>
      </c>
      <c r="H56">
        <f t="shared" si="7"/>
        <v>1.9801984807864372</v>
      </c>
      <c r="I56">
        <f t="shared" si="7"/>
        <v>3.1007871754687306</v>
      </c>
      <c r="J56">
        <f t="shared" si="7"/>
        <v>2.7938107609164091</v>
      </c>
      <c r="K56">
        <f t="shared" si="7"/>
        <v>1.332049241069821</v>
      </c>
    </row>
    <row r="58" spans="1:12" s="1" customFormat="1" x14ac:dyDescent="0.2">
      <c r="A58" s="1" t="s">
        <v>622</v>
      </c>
      <c r="C58" s="1" t="s">
        <v>25</v>
      </c>
    </row>
    <row r="59" spans="1:12" x14ac:dyDescent="0.2">
      <c r="A59" t="s">
        <v>3</v>
      </c>
      <c r="B59">
        <v>498.85500000000002</v>
      </c>
      <c r="C59">
        <v>5662.808</v>
      </c>
      <c r="D59">
        <v>5061.5379999999996</v>
      </c>
      <c r="E59">
        <v>5578.9229999999998</v>
      </c>
      <c r="F59">
        <v>11033.25</v>
      </c>
      <c r="G59">
        <v>7662.8850000000002</v>
      </c>
      <c r="H59">
        <v>10192.808000000001</v>
      </c>
      <c r="I59">
        <v>6501.192</v>
      </c>
    </row>
    <row r="60" spans="1:12" x14ac:dyDescent="0.2">
      <c r="A60" t="s">
        <v>4</v>
      </c>
      <c r="C60">
        <f>C59-B59</f>
        <v>5163.9529999999995</v>
      </c>
      <c r="D60">
        <f>D59-B59</f>
        <v>4562.6829999999991</v>
      </c>
      <c r="E60">
        <f>E59-B59</f>
        <v>5080.0679999999993</v>
      </c>
      <c r="F60">
        <f>F59-B59</f>
        <v>10534.395</v>
      </c>
      <c r="G60">
        <f>G59-B59</f>
        <v>7164.0300000000007</v>
      </c>
      <c r="H60">
        <f>H59-B59</f>
        <v>9693.9530000000013</v>
      </c>
      <c r="I60">
        <f>I59-B59</f>
        <v>6002.3369999999995</v>
      </c>
    </row>
    <row r="61" spans="1:12" x14ac:dyDescent="0.2">
      <c r="A61" t="s">
        <v>31</v>
      </c>
      <c r="C61">
        <v>3.4129999999999998</v>
      </c>
      <c r="D61">
        <v>3.472</v>
      </c>
      <c r="E61">
        <v>2.5590000000000002</v>
      </c>
      <c r="F61">
        <v>2.5139999999999998</v>
      </c>
      <c r="G61">
        <v>2.4550000000000001</v>
      </c>
      <c r="H61">
        <v>1.9330000000000001</v>
      </c>
      <c r="I61">
        <v>1.8049999999999999</v>
      </c>
    </row>
    <row r="62" spans="1:12" x14ac:dyDescent="0.2">
      <c r="A62" t="s">
        <v>17</v>
      </c>
      <c r="C62">
        <f t="shared" ref="C62:I62" si="8">SQRT(9+C61^2)</f>
        <v>4.5440696517549108</v>
      </c>
      <c r="D62">
        <f t="shared" si="8"/>
        <v>4.5885492260626339</v>
      </c>
      <c r="E62">
        <f t="shared" si="8"/>
        <v>3.9431562231288781</v>
      </c>
      <c r="F62">
        <f t="shared" si="8"/>
        <v>3.914102195906489</v>
      </c>
      <c r="G62">
        <f t="shared" si="8"/>
        <v>3.8764706886548232</v>
      </c>
      <c r="H62">
        <f t="shared" si="8"/>
        <v>3.56882179437416</v>
      </c>
      <c r="I62">
        <f t="shared" si="8"/>
        <v>3.501146240875979</v>
      </c>
    </row>
    <row r="63" spans="1:12" x14ac:dyDescent="0.2">
      <c r="A63" t="s">
        <v>10</v>
      </c>
      <c r="C63">
        <f t="shared" ref="C63:I63" si="9">C60/4360.019</f>
        <v>1.1843877285855862</v>
      </c>
      <c r="D63">
        <f t="shared" si="9"/>
        <v>1.0464823662465688</v>
      </c>
      <c r="E63">
        <f t="shared" si="9"/>
        <v>1.1651481335287757</v>
      </c>
      <c r="F63">
        <f t="shared" si="9"/>
        <v>2.4161351131726718</v>
      </c>
      <c r="G63">
        <f t="shared" si="9"/>
        <v>1.6431189864080868</v>
      </c>
      <c r="H63">
        <f t="shared" si="9"/>
        <v>2.2233740265810771</v>
      </c>
      <c r="I63">
        <f t="shared" si="9"/>
        <v>1.3766767988855093</v>
      </c>
    </row>
    <row r="65" spans="1:7" s="1" customFormat="1" x14ac:dyDescent="0.2">
      <c r="A65" s="1" t="s">
        <v>621</v>
      </c>
      <c r="C65" s="1" t="s">
        <v>25</v>
      </c>
    </row>
    <row r="66" spans="1:7" x14ac:dyDescent="0.2">
      <c r="A66" t="s">
        <v>9</v>
      </c>
      <c r="B66">
        <v>498.85500000000002</v>
      </c>
      <c r="C66">
        <v>5996.192</v>
      </c>
      <c r="D66">
        <v>5611.2309999999998</v>
      </c>
      <c r="E66">
        <v>5558.2690000000002</v>
      </c>
      <c r="F66">
        <v>5840.8850000000002</v>
      </c>
      <c r="G66">
        <v>6293.942</v>
      </c>
    </row>
    <row r="67" spans="1:7" x14ac:dyDescent="0.2">
      <c r="A67" t="s">
        <v>21</v>
      </c>
      <c r="C67">
        <f>C66-B66</f>
        <v>5497.3369999999995</v>
      </c>
      <c r="D67">
        <f>D66-B66</f>
        <v>5112.3760000000002</v>
      </c>
      <c r="E67">
        <f>E66-B66</f>
        <v>5059.4140000000007</v>
      </c>
      <c r="F67">
        <f>F66-B66</f>
        <v>5342.0300000000007</v>
      </c>
      <c r="G67">
        <f>G66-B66</f>
        <v>5795.0869999999995</v>
      </c>
    </row>
    <row r="68" spans="1:7" x14ac:dyDescent="0.2">
      <c r="A68" t="s">
        <v>31</v>
      </c>
      <c r="C68">
        <v>1.6970000000000001</v>
      </c>
      <c r="D68">
        <v>1.6339999999999999</v>
      </c>
      <c r="E68">
        <v>2.02</v>
      </c>
      <c r="F68">
        <v>2.3620000000000001</v>
      </c>
      <c r="G68">
        <v>1.6080000000000001</v>
      </c>
    </row>
    <row r="69" spans="1:7" x14ac:dyDescent="0.2">
      <c r="A69" t="s">
        <v>17</v>
      </c>
      <c r="C69">
        <f>SQRT(16+C68^2)</f>
        <v>4.3450902177054971</v>
      </c>
      <c r="D69">
        <f>SQRT(16+D68^2)</f>
        <v>4.3208744485346946</v>
      </c>
      <c r="E69">
        <f>SQRT(16+E68^2)</f>
        <v>4.4811159324436138</v>
      </c>
      <c r="F69">
        <f>SQRT(16+F68^2)</f>
        <v>4.6453249617222694</v>
      </c>
      <c r="G69">
        <f>SQRT(16+G68^2)</f>
        <v>4.3111093699881939</v>
      </c>
    </row>
    <row r="70" spans="1:7" x14ac:dyDescent="0.2">
      <c r="A70" t="s">
        <v>10</v>
      </c>
      <c r="C70">
        <f>C67/4360.019</f>
        <v>1.2608516155548861</v>
      </c>
      <c r="D70">
        <f>D67/4360.019</f>
        <v>1.1725581929803517</v>
      </c>
      <c r="E70">
        <f>E67/4360.019</f>
        <v>1.1604109982089528</v>
      </c>
      <c r="F70">
        <f>F67/4360.019</f>
        <v>1.2252308992231458</v>
      </c>
      <c r="G70">
        <f>G67/4360.019</f>
        <v>1.3291426023602189</v>
      </c>
    </row>
    <row r="72" spans="1:7" x14ac:dyDescent="0.2">
      <c r="A72" t="s">
        <v>33</v>
      </c>
      <c r="B72">
        <f>AVERAGE(C46:D46,C39,C32,C25,C18,C11:D11,C4)</f>
        <v>4360.0190000000002</v>
      </c>
    </row>
    <row r="73" spans="1:7" x14ac:dyDescent="0.2">
      <c r="A73" t="s">
        <v>27</v>
      </c>
      <c r="B73">
        <v>40.024000000000001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01F1-97BF-564C-9DD5-3ACDCF414383}">
  <dimension ref="A1:W43"/>
  <sheetViews>
    <sheetView workbookViewId="0">
      <selection activeCell="D52" sqref="D52"/>
    </sheetView>
  </sheetViews>
  <sheetFormatPr baseColWidth="10" defaultColWidth="8.83203125" defaultRowHeight="15" x14ac:dyDescent="0.2"/>
  <cols>
    <col min="1" max="1" width="34.5" bestFit="1" customWidth="1"/>
    <col min="2" max="2" width="19.1640625" bestFit="1" customWidth="1"/>
  </cols>
  <sheetData>
    <row r="1" spans="1:18" ht="32" x14ac:dyDescent="0.2">
      <c r="A1" t="s">
        <v>227</v>
      </c>
      <c r="C1" s="26" t="s">
        <v>226</v>
      </c>
      <c r="E1" t="s">
        <v>225</v>
      </c>
      <c r="G1" t="s">
        <v>224</v>
      </c>
    </row>
    <row r="2" spans="1:18" x14ac:dyDescent="0.2">
      <c r="A2" t="s">
        <v>223</v>
      </c>
      <c r="B2" s="25">
        <v>44862</v>
      </c>
      <c r="C2" t="s">
        <v>222</v>
      </c>
      <c r="E2">
        <v>50.435000000000002</v>
      </c>
      <c r="G2">
        <f>AVERAGE(C13,D13,E13,F13,G13,C19,D19,E19,F19,G19,C26,D26,E26,C33)</f>
        <v>79.588642857142872</v>
      </c>
    </row>
    <row r="3" spans="1:18" ht="16" thickBot="1" x14ac:dyDescent="0.25"/>
    <row r="4" spans="1:18" ht="16" thickBot="1" x14ac:dyDescent="0.25">
      <c r="A4" s="1" t="s">
        <v>221</v>
      </c>
      <c r="B4" s="24" t="s">
        <v>70</v>
      </c>
      <c r="C4" s="1"/>
      <c r="D4" s="1"/>
      <c r="E4" s="1"/>
      <c r="F4" s="1"/>
      <c r="G4" s="1"/>
      <c r="H4" s="1"/>
      <c r="I4" s="1"/>
    </row>
    <row r="5" spans="1:18" x14ac:dyDescent="0.2">
      <c r="A5" t="s">
        <v>63</v>
      </c>
      <c r="B5">
        <v>209.636</v>
      </c>
      <c r="C5">
        <v>228.71100000000001</v>
      </c>
      <c r="D5">
        <v>218.97300000000001</v>
      </c>
      <c r="E5">
        <v>244.46100000000001</v>
      </c>
      <c r="F5">
        <v>238.80099999999999</v>
      </c>
      <c r="G5">
        <v>243.18799999999999</v>
      </c>
      <c r="H5">
        <v>239.10900000000001</v>
      </c>
    </row>
    <row r="6" spans="1:18" x14ac:dyDescent="0.2">
      <c r="A6" t="s">
        <v>62</v>
      </c>
      <c r="C6">
        <f t="shared" ref="C6:H6" si="0">C5-$B$5</f>
        <v>19.075000000000017</v>
      </c>
      <c r="D6">
        <f t="shared" si="0"/>
        <v>9.3370000000000175</v>
      </c>
      <c r="E6">
        <f t="shared" si="0"/>
        <v>34.825000000000017</v>
      </c>
      <c r="F6">
        <f t="shared" si="0"/>
        <v>29.164999999999992</v>
      </c>
      <c r="G6">
        <f t="shared" si="0"/>
        <v>33.551999999999992</v>
      </c>
      <c r="H6">
        <f t="shared" si="0"/>
        <v>29.473000000000013</v>
      </c>
    </row>
    <row r="7" spans="1:18" x14ac:dyDescent="0.2">
      <c r="A7" t="s">
        <v>61</v>
      </c>
      <c r="C7">
        <v>5.3</v>
      </c>
      <c r="D7">
        <v>2.99</v>
      </c>
      <c r="E7">
        <v>1.6459999999999999</v>
      </c>
      <c r="F7">
        <v>2.5619999999999998</v>
      </c>
      <c r="G7">
        <v>5.0209999999999999</v>
      </c>
      <c r="H7">
        <v>2.0760000000000001</v>
      </c>
    </row>
    <row r="8" spans="1:18" x14ac:dyDescent="0.2">
      <c r="A8" t="s">
        <v>60</v>
      </c>
      <c r="C8">
        <f t="shared" ref="C8:H8" si="1">SQRT(1+(C7^2))</f>
        <v>5.3935146240647205</v>
      </c>
      <c r="D8">
        <f t="shared" si="1"/>
        <v>3.1527924130839953</v>
      </c>
      <c r="E8">
        <f t="shared" si="1"/>
        <v>1.9259584626881234</v>
      </c>
      <c r="F8">
        <f t="shared" si="1"/>
        <v>2.7502443527803124</v>
      </c>
      <c r="G8">
        <f t="shared" si="1"/>
        <v>5.1196133643078943</v>
      </c>
      <c r="H8">
        <f t="shared" si="1"/>
        <v>2.3042951199878892</v>
      </c>
    </row>
    <row r="9" spans="1:18" x14ac:dyDescent="0.2">
      <c r="A9" t="s">
        <v>59</v>
      </c>
      <c r="C9">
        <f t="shared" ref="C9:H9" si="2">C6/$G$2</f>
        <v>0.23966987393212077</v>
      </c>
      <c r="D9">
        <f t="shared" si="2"/>
        <v>0.1173157333108369</v>
      </c>
      <c r="E9">
        <f t="shared" si="2"/>
        <v>0.437562430389835</v>
      </c>
      <c r="F9">
        <f t="shared" si="2"/>
        <v>0.36644675613264976</v>
      </c>
      <c r="G9">
        <f t="shared" si="2"/>
        <v>0.42156768598534772</v>
      </c>
      <c r="H9">
        <f t="shared" si="2"/>
        <v>0.37031665501448979</v>
      </c>
    </row>
    <row r="11" spans="1:18" x14ac:dyDescent="0.2">
      <c r="A11" s="1" t="s">
        <v>220</v>
      </c>
      <c r="B11" s="1"/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/>
      <c r="I11" s="1"/>
    </row>
    <row r="12" spans="1:18" x14ac:dyDescent="0.2">
      <c r="A12" t="s">
        <v>215</v>
      </c>
      <c r="C12">
        <v>310.54300000000001</v>
      </c>
      <c r="D12">
        <v>343.50799999999998</v>
      </c>
      <c r="E12">
        <v>319.01600000000002</v>
      </c>
      <c r="F12">
        <v>294.84399999999999</v>
      </c>
      <c r="G12">
        <v>344.96499999999997</v>
      </c>
      <c r="H12">
        <v>333.60199999999998</v>
      </c>
      <c r="I12">
        <v>292.08600000000001</v>
      </c>
      <c r="J12">
        <v>307.10199999999998</v>
      </c>
      <c r="K12">
        <v>282.37900000000002</v>
      </c>
      <c r="L12">
        <v>329.91</v>
      </c>
      <c r="M12">
        <v>439.00400000000002</v>
      </c>
      <c r="N12">
        <v>416.55900000000003</v>
      </c>
      <c r="O12">
        <v>418.57799999999997</v>
      </c>
      <c r="P12">
        <v>414.49599999999998</v>
      </c>
      <c r="Q12">
        <v>367.21899999999999</v>
      </c>
      <c r="R12">
        <v>287.37900000000002</v>
      </c>
    </row>
    <row r="13" spans="1:18" x14ac:dyDescent="0.2">
      <c r="A13" t="s">
        <v>62</v>
      </c>
      <c r="C13">
        <f t="shared" ref="C13:R13" si="3">C12-$B$5</f>
        <v>100.90700000000001</v>
      </c>
      <c r="D13">
        <f t="shared" si="3"/>
        <v>133.87199999999999</v>
      </c>
      <c r="E13">
        <f t="shared" si="3"/>
        <v>109.38000000000002</v>
      </c>
      <c r="F13">
        <f t="shared" si="3"/>
        <v>85.207999999999998</v>
      </c>
      <c r="G13">
        <f t="shared" si="3"/>
        <v>135.32899999999998</v>
      </c>
      <c r="H13">
        <f t="shared" si="3"/>
        <v>123.96599999999998</v>
      </c>
      <c r="I13">
        <f t="shared" si="3"/>
        <v>82.450000000000017</v>
      </c>
      <c r="J13">
        <f t="shared" si="3"/>
        <v>97.46599999999998</v>
      </c>
      <c r="K13">
        <f t="shared" si="3"/>
        <v>72.743000000000023</v>
      </c>
      <c r="L13">
        <f t="shared" si="3"/>
        <v>120.27400000000003</v>
      </c>
      <c r="M13">
        <f t="shared" si="3"/>
        <v>229.36800000000002</v>
      </c>
      <c r="N13">
        <f t="shared" si="3"/>
        <v>206.92300000000003</v>
      </c>
      <c r="O13">
        <f t="shared" si="3"/>
        <v>208.94199999999998</v>
      </c>
      <c r="P13">
        <f t="shared" si="3"/>
        <v>204.85999999999999</v>
      </c>
      <c r="Q13">
        <f t="shared" si="3"/>
        <v>157.583</v>
      </c>
      <c r="R13">
        <f t="shared" si="3"/>
        <v>77.743000000000023</v>
      </c>
    </row>
    <row r="14" spans="1:18" x14ac:dyDescent="0.2">
      <c r="A14" t="s">
        <v>214</v>
      </c>
      <c r="C14">
        <v>5.2809999999999997</v>
      </c>
      <c r="D14">
        <v>2.4900000000000002</v>
      </c>
      <c r="E14">
        <v>1.8580000000000001</v>
      </c>
      <c r="F14">
        <v>1.833</v>
      </c>
      <c r="G14">
        <v>4.92</v>
      </c>
      <c r="H14">
        <v>2.532</v>
      </c>
      <c r="I14">
        <v>2.7679999999999998</v>
      </c>
      <c r="J14">
        <v>3.2090000000000001</v>
      </c>
      <c r="K14">
        <v>3.9910000000000001</v>
      </c>
      <c r="L14">
        <v>3.3250000000000002</v>
      </c>
      <c r="M14">
        <v>3.1280000000000001</v>
      </c>
      <c r="N14">
        <v>2.1930000000000001</v>
      </c>
      <c r="O14">
        <v>2.6120000000000001</v>
      </c>
      <c r="P14">
        <v>2.0990000000000002</v>
      </c>
      <c r="Q14">
        <v>1.5880000000000001</v>
      </c>
      <c r="R14">
        <v>2.548</v>
      </c>
    </row>
    <row r="15" spans="1:18" x14ac:dyDescent="0.2">
      <c r="A15" t="s">
        <v>59</v>
      </c>
      <c r="H15">
        <f t="shared" ref="H15:R15" si="4">H13/$G$2</f>
        <v>1.5575840415134601</v>
      </c>
      <c r="I15">
        <f t="shared" si="4"/>
        <v>1.0359518272976851</v>
      </c>
      <c r="J15">
        <f t="shared" si="4"/>
        <v>1.2246219623941315</v>
      </c>
      <c r="K15">
        <f t="shared" si="4"/>
        <v>0.91398718948593716</v>
      </c>
      <c r="L15">
        <f t="shared" si="4"/>
        <v>1.5111955133584207</v>
      </c>
      <c r="M15">
        <f t="shared" si="4"/>
        <v>2.881918723148762</v>
      </c>
      <c r="N15">
        <f t="shared" si="4"/>
        <v>2.5999061244380703</v>
      </c>
      <c r="O15">
        <f t="shared" si="4"/>
        <v>2.6252740654849349</v>
      </c>
      <c r="P15">
        <f t="shared" si="4"/>
        <v>2.5739853406937989</v>
      </c>
      <c r="Q15">
        <f t="shared" si="4"/>
        <v>1.9799684269381574</v>
      </c>
      <c r="R15">
        <f t="shared" si="4"/>
        <v>0.97681022328203693</v>
      </c>
    </row>
    <row r="17" spans="1:23" x14ac:dyDescent="0.2">
      <c r="A17" s="1" t="s">
        <v>219</v>
      </c>
      <c r="B17" s="1"/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/>
      <c r="I17" s="1"/>
    </row>
    <row r="18" spans="1:23" x14ac:dyDescent="0.2">
      <c r="A18" t="s">
        <v>215</v>
      </c>
      <c r="C18">
        <v>250.047</v>
      </c>
      <c r="D18">
        <v>248.78100000000001</v>
      </c>
      <c r="E18">
        <v>324.35500000000002</v>
      </c>
      <c r="F18">
        <v>262.44900000000001</v>
      </c>
      <c r="G18">
        <v>312.75400000000002</v>
      </c>
      <c r="H18">
        <v>617.14499999999998</v>
      </c>
      <c r="I18">
        <v>632.24599999999998</v>
      </c>
      <c r="J18">
        <v>531.22699999999998</v>
      </c>
      <c r="K18">
        <v>634.78899999999999</v>
      </c>
      <c r="L18">
        <v>608.81200000000001</v>
      </c>
      <c r="M18">
        <v>553.83600000000001</v>
      </c>
      <c r="N18">
        <v>440.20699999999999</v>
      </c>
      <c r="O18">
        <v>424.62099999999998</v>
      </c>
      <c r="P18">
        <v>373.75</v>
      </c>
      <c r="Q18">
        <v>566.875</v>
      </c>
      <c r="R18">
        <v>601.97699999999998</v>
      </c>
      <c r="S18">
        <v>345.04700000000003</v>
      </c>
      <c r="T18">
        <v>452.39499999999998</v>
      </c>
      <c r="U18">
        <v>524.84</v>
      </c>
      <c r="V18">
        <v>502.77699999999999</v>
      </c>
      <c r="W18">
        <v>408.30099999999999</v>
      </c>
    </row>
    <row r="19" spans="1:23" x14ac:dyDescent="0.2">
      <c r="A19" t="s">
        <v>62</v>
      </c>
      <c r="C19">
        <f t="shared" ref="C19:W19" si="5">C18-$B$5</f>
        <v>40.411000000000001</v>
      </c>
      <c r="D19">
        <f t="shared" si="5"/>
        <v>39.14500000000001</v>
      </c>
      <c r="E19">
        <f t="shared" si="5"/>
        <v>114.71900000000002</v>
      </c>
      <c r="F19">
        <f t="shared" si="5"/>
        <v>52.813000000000017</v>
      </c>
      <c r="G19">
        <f t="shared" si="5"/>
        <v>103.11800000000002</v>
      </c>
      <c r="H19">
        <f t="shared" si="5"/>
        <v>407.50900000000001</v>
      </c>
      <c r="I19">
        <f t="shared" si="5"/>
        <v>422.61</v>
      </c>
      <c r="J19">
        <f t="shared" si="5"/>
        <v>321.59100000000001</v>
      </c>
      <c r="K19">
        <f t="shared" si="5"/>
        <v>425.15300000000002</v>
      </c>
      <c r="L19">
        <f t="shared" si="5"/>
        <v>399.17600000000004</v>
      </c>
      <c r="M19">
        <f t="shared" si="5"/>
        <v>344.20000000000005</v>
      </c>
      <c r="N19">
        <f t="shared" si="5"/>
        <v>230.571</v>
      </c>
      <c r="O19">
        <f t="shared" si="5"/>
        <v>214.98499999999999</v>
      </c>
      <c r="P19">
        <f t="shared" si="5"/>
        <v>164.114</v>
      </c>
      <c r="Q19">
        <f t="shared" si="5"/>
        <v>357.23900000000003</v>
      </c>
      <c r="R19">
        <f t="shared" si="5"/>
        <v>392.34100000000001</v>
      </c>
      <c r="S19">
        <f t="shared" si="5"/>
        <v>135.41100000000003</v>
      </c>
      <c r="T19">
        <f t="shared" si="5"/>
        <v>242.75899999999999</v>
      </c>
      <c r="U19">
        <f t="shared" si="5"/>
        <v>315.20400000000006</v>
      </c>
      <c r="V19">
        <f t="shared" si="5"/>
        <v>293.14099999999996</v>
      </c>
      <c r="W19">
        <f t="shared" si="5"/>
        <v>198.66499999999999</v>
      </c>
    </row>
    <row r="20" spans="1:23" x14ac:dyDescent="0.2">
      <c r="A20" t="s">
        <v>214</v>
      </c>
      <c r="C20">
        <v>5.3339999999999996</v>
      </c>
      <c r="D20">
        <v>1.339</v>
      </c>
      <c r="E20">
        <v>4.024</v>
      </c>
      <c r="F20">
        <v>2.5369999999999999</v>
      </c>
      <c r="G20">
        <v>5.0510000000000002</v>
      </c>
      <c r="H20">
        <v>2.6259999999999999</v>
      </c>
      <c r="I20">
        <v>2.56</v>
      </c>
      <c r="J20">
        <v>2.819</v>
      </c>
      <c r="K20">
        <v>3.262</v>
      </c>
      <c r="L20">
        <v>3.468</v>
      </c>
      <c r="M20">
        <v>3.879</v>
      </c>
      <c r="N20">
        <v>3.1989999999999998</v>
      </c>
      <c r="O20">
        <v>3.0369999999999999</v>
      </c>
      <c r="P20">
        <v>2.2090000000000001</v>
      </c>
      <c r="Q20">
        <v>2.625</v>
      </c>
      <c r="R20">
        <v>2.3079999999999998</v>
      </c>
      <c r="S20">
        <v>2.3319999999999999</v>
      </c>
      <c r="T20">
        <v>1.8180000000000001</v>
      </c>
      <c r="U20">
        <v>2.3479999999999999</v>
      </c>
      <c r="V20">
        <v>2.4940000000000002</v>
      </c>
      <c r="W20">
        <v>3.2029999999999998</v>
      </c>
    </row>
    <row r="21" spans="1:23" x14ac:dyDescent="0.2">
      <c r="A21" t="s">
        <v>60</v>
      </c>
      <c r="H21">
        <f t="shared" ref="H21:W21" si="6">SQRT(1+(H20^2))</f>
        <v>2.8099601420660756</v>
      </c>
      <c r="I21">
        <f t="shared" si="6"/>
        <v>2.7483813418083014</v>
      </c>
      <c r="J21">
        <f t="shared" si="6"/>
        <v>2.9911136721963607</v>
      </c>
      <c r="K21">
        <f t="shared" si="6"/>
        <v>3.4118388004124696</v>
      </c>
      <c r="L21">
        <f t="shared" si="6"/>
        <v>3.6092968844360809</v>
      </c>
      <c r="M21">
        <f t="shared" si="6"/>
        <v>4.0058258823868016</v>
      </c>
      <c r="N21">
        <f t="shared" si="6"/>
        <v>3.3516564561422459</v>
      </c>
      <c r="O21">
        <f t="shared" si="6"/>
        <v>3.1974003502845871</v>
      </c>
      <c r="P21">
        <f t="shared" si="6"/>
        <v>2.4248053530128972</v>
      </c>
      <c r="Q21">
        <f t="shared" si="6"/>
        <v>2.8090256317805289</v>
      </c>
      <c r="R21">
        <f t="shared" si="6"/>
        <v>2.515325823824818</v>
      </c>
      <c r="S21">
        <f t="shared" si="6"/>
        <v>2.5373655629412171</v>
      </c>
      <c r="T21">
        <f t="shared" si="6"/>
        <v>2.0748792735964181</v>
      </c>
      <c r="U21">
        <f t="shared" si="6"/>
        <v>2.552078368702654</v>
      </c>
      <c r="V21">
        <f t="shared" si="6"/>
        <v>2.6870124674068783</v>
      </c>
      <c r="W21">
        <f t="shared" si="6"/>
        <v>3.3554744820963842</v>
      </c>
    </row>
    <row r="22" spans="1:23" x14ac:dyDescent="0.2">
      <c r="A22" t="s">
        <v>59</v>
      </c>
      <c r="H22">
        <f t="shared" ref="H22:W22" si="7">H19/$G$2</f>
        <v>5.1201903358429632</v>
      </c>
      <c r="I22">
        <f t="shared" si="7"/>
        <v>5.3099284625139438</v>
      </c>
      <c r="J22">
        <f t="shared" si="7"/>
        <v>4.0406644523043029</v>
      </c>
      <c r="K22">
        <f t="shared" si="7"/>
        <v>5.3418802575026403</v>
      </c>
      <c r="L22">
        <f t="shared" si="7"/>
        <v>5.0154894677183837</v>
      </c>
      <c r="M22">
        <f t="shared" si="7"/>
        <v>4.3247376465235075</v>
      </c>
      <c r="N22">
        <f t="shared" si="7"/>
        <v>2.8970339450801035</v>
      </c>
      <c r="O22">
        <f t="shared" si="7"/>
        <v>2.701201984130901</v>
      </c>
      <c r="P22">
        <f t="shared" si="7"/>
        <v>2.0620278736826232</v>
      </c>
      <c r="Q22">
        <f t="shared" si="7"/>
        <v>4.488567554056976</v>
      </c>
      <c r="R22">
        <f t="shared" si="7"/>
        <v>4.9296103805191152</v>
      </c>
      <c r="S22">
        <f t="shared" si="7"/>
        <v>1.7013859658727331</v>
      </c>
      <c r="T22">
        <f t="shared" si="7"/>
        <v>3.0501713722614761</v>
      </c>
      <c r="U22">
        <f t="shared" si="7"/>
        <v>3.9604143089331663</v>
      </c>
      <c r="V22">
        <f t="shared" si="7"/>
        <v>3.6832013900044953</v>
      </c>
      <c r="W22">
        <f t="shared" si="7"/>
        <v>2.4961476018204314</v>
      </c>
    </row>
    <row r="24" spans="1:23" x14ac:dyDescent="0.2">
      <c r="A24" s="1" t="s">
        <v>218</v>
      </c>
      <c r="B24" s="1"/>
      <c r="C24" s="1">
        <v>1</v>
      </c>
      <c r="D24" s="1">
        <v>1</v>
      </c>
      <c r="E24" s="1">
        <v>1</v>
      </c>
      <c r="F24" s="1"/>
      <c r="G24" s="1"/>
      <c r="H24" s="1"/>
      <c r="I24" s="1"/>
    </row>
    <row r="25" spans="1:23" x14ac:dyDescent="0.2">
      <c r="A25" t="s">
        <v>215</v>
      </c>
      <c r="C25">
        <v>251.21100000000001</v>
      </c>
      <c r="D25">
        <v>239.39099999999999</v>
      </c>
      <c r="E25">
        <v>288.06200000000001</v>
      </c>
      <c r="F25">
        <v>424.738</v>
      </c>
      <c r="G25">
        <v>466.44900000000001</v>
      </c>
      <c r="H25">
        <v>380.28500000000003</v>
      </c>
      <c r="I25">
        <v>462.99599999999998</v>
      </c>
      <c r="J25">
        <v>481.66399999999999</v>
      </c>
      <c r="K25">
        <v>314.09800000000001</v>
      </c>
      <c r="L25">
        <v>382.19499999999999</v>
      </c>
      <c r="M25">
        <v>480.78899999999999</v>
      </c>
      <c r="N25">
        <v>375.68799999999999</v>
      </c>
    </row>
    <row r="26" spans="1:23" x14ac:dyDescent="0.2">
      <c r="A26" t="s">
        <v>62</v>
      </c>
      <c r="C26">
        <f t="shared" ref="C26:N26" si="8">C25-$B$5</f>
        <v>41.575000000000017</v>
      </c>
      <c r="D26">
        <f t="shared" si="8"/>
        <v>29.754999999999995</v>
      </c>
      <c r="E26">
        <f t="shared" si="8"/>
        <v>78.426000000000016</v>
      </c>
      <c r="F26">
        <f t="shared" si="8"/>
        <v>215.102</v>
      </c>
      <c r="G26">
        <f t="shared" si="8"/>
        <v>256.81299999999999</v>
      </c>
      <c r="H26">
        <f t="shared" si="8"/>
        <v>170.64900000000003</v>
      </c>
      <c r="I26">
        <f t="shared" si="8"/>
        <v>253.35999999999999</v>
      </c>
      <c r="J26">
        <f t="shared" si="8"/>
        <v>272.02800000000002</v>
      </c>
      <c r="K26">
        <f t="shared" si="8"/>
        <v>104.46200000000002</v>
      </c>
      <c r="L26">
        <f t="shared" si="8"/>
        <v>172.559</v>
      </c>
      <c r="M26">
        <f t="shared" si="8"/>
        <v>271.15300000000002</v>
      </c>
      <c r="N26">
        <f t="shared" si="8"/>
        <v>166.05199999999999</v>
      </c>
    </row>
    <row r="27" spans="1:23" x14ac:dyDescent="0.2">
      <c r="A27" t="s">
        <v>214</v>
      </c>
      <c r="C27">
        <v>4.9039999999999999</v>
      </c>
      <c r="D27">
        <v>1.29</v>
      </c>
      <c r="E27">
        <v>2.3740000000000001</v>
      </c>
      <c r="F27">
        <v>4.6520000000000001</v>
      </c>
      <c r="G27">
        <v>2.633</v>
      </c>
      <c r="H27">
        <v>2.6230000000000002</v>
      </c>
      <c r="I27">
        <v>3.3450000000000002</v>
      </c>
      <c r="J27">
        <v>3.5379999999999998</v>
      </c>
      <c r="K27">
        <v>2.2570000000000001</v>
      </c>
      <c r="L27">
        <v>2.0470000000000002</v>
      </c>
      <c r="M27">
        <v>2.5670000000000002</v>
      </c>
      <c r="N27">
        <v>3.298</v>
      </c>
    </row>
    <row r="28" spans="1:23" x14ac:dyDescent="0.2">
      <c r="A28" t="s">
        <v>60</v>
      </c>
      <c r="F28">
        <f t="shared" ref="F28:N28" si="9">SQRT(4+(F27^2))</f>
        <v>5.0637045727411865</v>
      </c>
      <c r="G28">
        <f t="shared" si="9"/>
        <v>3.30646170399719</v>
      </c>
      <c r="H28">
        <f t="shared" si="9"/>
        <v>3.2985040548709348</v>
      </c>
      <c r="I28">
        <f t="shared" si="9"/>
        <v>3.8973099697098768</v>
      </c>
      <c r="J28">
        <f t="shared" si="9"/>
        <v>4.0641658430728436</v>
      </c>
      <c r="K28">
        <f t="shared" si="9"/>
        <v>3.0156340958412051</v>
      </c>
      <c r="L28">
        <f t="shared" si="9"/>
        <v>2.861854119273028</v>
      </c>
      <c r="M28">
        <f t="shared" si="9"/>
        <v>3.2541495048629834</v>
      </c>
      <c r="N28">
        <f t="shared" si="9"/>
        <v>3.8570460199484269</v>
      </c>
    </row>
    <row r="29" spans="1:23" x14ac:dyDescent="0.2">
      <c r="A29" t="s">
        <v>59</v>
      </c>
      <c r="F29">
        <f t="shared" ref="F29:N29" si="10">F26/$G$2</f>
        <v>2.7026720431217299</v>
      </c>
      <c r="G29">
        <f t="shared" si="10"/>
        <v>3.2267543556555531</v>
      </c>
      <c r="H29">
        <f t="shared" si="10"/>
        <v>2.1441375788541257</v>
      </c>
      <c r="I29">
        <f t="shared" si="10"/>
        <v>3.1833687685159666</v>
      </c>
      <c r="J29">
        <f t="shared" si="10"/>
        <v>3.4179248474970851</v>
      </c>
      <c r="K29">
        <f t="shared" si="10"/>
        <v>1.3125239512816347</v>
      </c>
      <c r="L29">
        <f t="shared" si="10"/>
        <v>2.1681359777642353</v>
      </c>
      <c r="M29">
        <f t="shared" si="10"/>
        <v>3.4069308165827676</v>
      </c>
      <c r="N29">
        <f t="shared" si="10"/>
        <v>2.0863780815819912</v>
      </c>
    </row>
    <row r="31" spans="1:23" x14ac:dyDescent="0.2">
      <c r="A31" s="23" t="s">
        <v>217</v>
      </c>
      <c r="B31" s="23"/>
      <c r="C31" s="23">
        <v>1</v>
      </c>
      <c r="D31" s="23"/>
      <c r="E31" s="23"/>
      <c r="F31" s="23"/>
      <c r="G31" s="23"/>
      <c r="H31" s="23"/>
      <c r="I31" s="23"/>
    </row>
    <row r="32" spans="1:23" x14ac:dyDescent="0.2">
      <c r="A32" s="22" t="s">
        <v>215</v>
      </c>
      <c r="B32" s="22"/>
      <c r="C32" s="22">
        <v>259.21899999999999</v>
      </c>
      <c r="D32" s="22">
        <v>395.68400000000003</v>
      </c>
      <c r="E32" s="22">
        <v>403.95699999999999</v>
      </c>
      <c r="F32" s="22"/>
      <c r="G32" s="22"/>
      <c r="H32" s="22"/>
      <c r="I32" s="22"/>
    </row>
    <row r="33" spans="1:9" x14ac:dyDescent="0.2">
      <c r="A33" s="22" t="s">
        <v>62</v>
      </c>
      <c r="B33" s="22"/>
      <c r="C33" s="22">
        <f>C32-$B$5</f>
        <v>49.582999999999998</v>
      </c>
      <c r="D33" s="22">
        <f>D32-$B$5</f>
        <v>186.04800000000003</v>
      </c>
      <c r="E33" s="22">
        <f>E32-$B$5</f>
        <v>194.321</v>
      </c>
      <c r="F33" s="22"/>
      <c r="G33" s="22"/>
      <c r="H33" s="22"/>
      <c r="I33" s="22"/>
    </row>
    <row r="34" spans="1:9" x14ac:dyDescent="0.2">
      <c r="A34" s="22" t="s">
        <v>214</v>
      </c>
      <c r="B34" s="22"/>
      <c r="C34" s="22">
        <v>5.1580000000000004</v>
      </c>
      <c r="D34" s="22">
        <v>4.8810000000000002</v>
      </c>
      <c r="E34" s="22">
        <v>4.5410000000000004</v>
      </c>
      <c r="F34" s="22"/>
      <c r="G34" s="22"/>
      <c r="H34" s="22"/>
      <c r="I34" s="22"/>
    </row>
    <row r="35" spans="1:9" x14ac:dyDescent="0.2">
      <c r="A35" s="22" t="s">
        <v>60</v>
      </c>
      <c r="B35" s="22"/>
      <c r="C35" s="22"/>
      <c r="D35" s="22">
        <f>SQRT(9+(D34))</f>
        <v>3.725721406654019</v>
      </c>
      <c r="E35" s="22">
        <f>SQRT(9+(E34))</f>
        <v>3.67980977769232</v>
      </c>
      <c r="F35" s="22"/>
      <c r="G35" s="22"/>
      <c r="H35" s="22"/>
      <c r="I35" s="22"/>
    </row>
    <row r="36" spans="1:9" x14ac:dyDescent="0.2">
      <c r="A36" s="22" t="s">
        <v>59</v>
      </c>
      <c r="B36" s="22"/>
      <c r="C36" s="22"/>
      <c r="D36" s="22">
        <f>D33/$G$2</f>
        <v>2.3376199583393538</v>
      </c>
      <c r="E36" s="22">
        <f>E33/$G$2</f>
        <v>2.4415669500583799</v>
      </c>
      <c r="F36" s="22"/>
      <c r="G36" s="22"/>
      <c r="H36" s="22"/>
      <c r="I36" s="22"/>
    </row>
    <row r="38" spans="1:9" x14ac:dyDescent="0.2">
      <c r="A38" s="23" t="s">
        <v>216</v>
      </c>
      <c r="B38" s="23"/>
      <c r="C38" s="23"/>
      <c r="D38" s="23"/>
      <c r="E38" s="23"/>
      <c r="F38" s="23"/>
      <c r="G38" s="23"/>
      <c r="H38" s="23"/>
      <c r="I38" s="23"/>
    </row>
    <row r="39" spans="1:9" x14ac:dyDescent="0.2">
      <c r="A39" s="22" t="s">
        <v>215</v>
      </c>
      <c r="B39" s="22"/>
      <c r="C39" s="22">
        <v>241.07400000000001</v>
      </c>
      <c r="D39" s="22"/>
      <c r="E39" s="22"/>
      <c r="F39" s="22"/>
      <c r="G39" s="22"/>
      <c r="H39" s="22"/>
      <c r="I39" s="22"/>
    </row>
    <row r="40" spans="1:9" x14ac:dyDescent="0.2">
      <c r="A40" s="22" t="s">
        <v>62</v>
      </c>
      <c r="B40" s="22"/>
      <c r="C40" s="22">
        <f>C39-$B$5</f>
        <v>31.438000000000017</v>
      </c>
      <c r="D40" s="22"/>
      <c r="E40" s="22"/>
      <c r="F40" s="22"/>
      <c r="G40" s="22"/>
      <c r="H40" s="22"/>
      <c r="I40" s="22"/>
    </row>
    <row r="41" spans="1:9" x14ac:dyDescent="0.2">
      <c r="A41" s="22" t="s">
        <v>214</v>
      </c>
      <c r="B41" s="22"/>
      <c r="C41" s="22">
        <v>4.641</v>
      </c>
      <c r="D41" s="22"/>
      <c r="E41" s="22"/>
      <c r="F41" s="22"/>
      <c r="G41" s="22"/>
      <c r="H41" s="22"/>
      <c r="I41" s="22"/>
    </row>
    <row r="42" spans="1:9" x14ac:dyDescent="0.2">
      <c r="A42" s="22" t="s">
        <v>60</v>
      </c>
      <c r="B42" s="22"/>
      <c r="C42" s="22">
        <f>SQRT(16+(C41^2))</f>
        <v>6.1268981548578072</v>
      </c>
      <c r="D42" s="22"/>
      <c r="E42" s="22"/>
      <c r="F42" s="22"/>
      <c r="G42" s="22"/>
      <c r="H42" s="22"/>
      <c r="I42" s="22"/>
    </row>
    <row r="43" spans="1:9" x14ac:dyDescent="0.2">
      <c r="A43" s="22" t="s">
        <v>59</v>
      </c>
      <c r="B43" s="22"/>
      <c r="C43" s="22">
        <f>C40/G2</f>
        <v>0.39500610729635705</v>
      </c>
      <c r="D43" s="22"/>
      <c r="E43" s="22"/>
      <c r="F43" s="22"/>
      <c r="G43" s="22"/>
      <c r="H43" s="22"/>
      <c r="I43" s="2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F24A4-A6B4-6247-97D8-F3711B6C1A24}">
  <dimension ref="A1:V51"/>
  <sheetViews>
    <sheetView workbookViewId="0">
      <selection activeCell="E51" sqref="E51"/>
    </sheetView>
  </sheetViews>
  <sheetFormatPr baseColWidth="10" defaultRowHeight="15" x14ac:dyDescent="0.2"/>
  <cols>
    <col min="1" max="1" width="34" customWidth="1"/>
  </cols>
  <sheetData>
    <row r="1" spans="1:22" s="1" customFormat="1" x14ac:dyDescent="0.2">
      <c r="A1" s="1" t="s">
        <v>295</v>
      </c>
      <c r="B1" s="1" t="s">
        <v>70</v>
      </c>
      <c r="C1" s="1">
        <v>1</v>
      </c>
      <c r="D1" s="1">
        <v>1</v>
      </c>
      <c r="E1" s="1" t="s">
        <v>283</v>
      </c>
      <c r="F1" s="1" t="s">
        <v>283</v>
      </c>
      <c r="G1" s="1" t="s">
        <v>283</v>
      </c>
      <c r="H1" s="1" t="s">
        <v>283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</row>
    <row r="2" spans="1:22" x14ac:dyDescent="0.2">
      <c r="A2" t="s">
        <v>63</v>
      </c>
      <c r="B2">
        <v>220.881</v>
      </c>
      <c r="C2">
        <v>320.14499999999998</v>
      </c>
      <c r="D2">
        <v>454.71100000000001</v>
      </c>
      <c r="E2">
        <v>373.70299999999997</v>
      </c>
      <c r="F2">
        <v>408.61700000000002</v>
      </c>
      <c r="G2">
        <v>512.87099999999998</v>
      </c>
      <c r="H2">
        <v>404.613</v>
      </c>
      <c r="I2">
        <v>436.29700000000003</v>
      </c>
      <c r="J2">
        <v>385.20699999999999</v>
      </c>
      <c r="K2">
        <v>324.91000000000003</v>
      </c>
      <c r="L2">
        <v>447.09800000000001</v>
      </c>
      <c r="M2">
        <v>307.77300000000002</v>
      </c>
    </row>
    <row r="3" spans="1:22" x14ac:dyDescent="0.2">
      <c r="A3" t="s">
        <v>62</v>
      </c>
      <c r="C3">
        <v>99.263999999999982</v>
      </c>
      <c r="D3">
        <v>233.83</v>
      </c>
      <c r="E3">
        <v>152.82199999999997</v>
      </c>
      <c r="F3">
        <v>187.73600000000002</v>
      </c>
      <c r="G3">
        <v>291.99</v>
      </c>
      <c r="H3">
        <v>183.732</v>
      </c>
      <c r="I3">
        <v>215.41600000000003</v>
      </c>
      <c r="J3">
        <v>164.32599999999999</v>
      </c>
      <c r="K3">
        <v>104.02900000000002</v>
      </c>
      <c r="L3">
        <v>226.21700000000001</v>
      </c>
      <c r="M3">
        <v>86.892000000000024</v>
      </c>
    </row>
    <row r="4" spans="1:22" x14ac:dyDescent="0.2">
      <c r="A4" t="s">
        <v>61</v>
      </c>
      <c r="C4">
        <v>5.3319999999999999</v>
      </c>
      <c r="D4">
        <v>1.105</v>
      </c>
      <c r="E4">
        <v>2.5099999999999998</v>
      </c>
      <c r="F4">
        <v>1.792</v>
      </c>
      <c r="G4">
        <v>1.353</v>
      </c>
      <c r="H4">
        <v>1.385</v>
      </c>
      <c r="I4">
        <v>1.643</v>
      </c>
      <c r="J4">
        <v>2.496</v>
      </c>
      <c r="K4">
        <v>1.9870000000000001</v>
      </c>
      <c r="L4">
        <v>3.1960000000000002</v>
      </c>
      <c r="M4">
        <v>4.048</v>
      </c>
    </row>
    <row r="5" spans="1:22" x14ac:dyDescent="0.2">
      <c r="A5" t="s">
        <v>60</v>
      </c>
      <c r="C5">
        <v>5.3319999999999999</v>
      </c>
      <c r="D5">
        <v>1.105</v>
      </c>
      <c r="E5">
        <v>2.5099999999999998</v>
      </c>
      <c r="F5">
        <v>1.792</v>
      </c>
      <c r="G5">
        <v>1.353</v>
      </c>
      <c r="H5">
        <v>1.385</v>
      </c>
      <c r="I5">
        <v>1.643</v>
      </c>
      <c r="J5">
        <v>2.496</v>
      </c>
      <c r="K5">
        <v>1.9870000000000001</v>
      </c>
      <c r="L5">
        <v>3.1960000000000002</v>
      </c>
      <c r="M5">
        <v>4.048</v>
      </c>
    </row>
    <row r="6" spans="1:22" x14ac:dyDescent="0.2">
      <c r="A6" t="s">
        <v>59</v>
      </c>
      <c r="E6">
        <v>1.1594974817944128</v>
      </c>
      <c r="F6">
        <v>1.4243984455258794</v>
      </c>
      <c r="G6">
        <v>2.2153987626725904</v>
      </c>
      <c r="H6">
        <v>1.3940191289542807</v>
      </c>
      <c r="I6">
        <v>1.6344133013455215</v>
      </c>
      <c r="J6">
        <v>1.2467811126235011</v>
      </c>
      <c r="K6">
        <v>0.78929318771898682</v>
      </c>
      <c r="L6">
        <v>1.7163631011182077</v>
      </c>
      <c r="M6">
        <v>0.65927062326157326</v>
      </c>
    </row>
    <row r="8" spans="1:22" s="1" customFormat="1" x14ac:dyDescent="0.2">
      <c r="A8" s="1" t="s">
        <v>309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 t="s">
        <v>283</v>
      </c>
      <c r="I8" s="1" t="s">
        <v>283</v>
      </c>
      <c r="J8" s="1" t="s">
        <v>283</v>
      </c>
      <c r="K8" s="1" t="s">
        <v>283</v>
      </c>
      <c r="L8" s="1" t="s">
        <v>283</v>
      </c>
      <c r="M8" s="1" t="s">
        <v>283</v>
      </c>
      <c r="N8" s="1" t="s">
        <v>283</v>
      </c>
      <c r="O8" s="1" t="s">
        <v>283</v>
      </c>
      <c r="P8" s="1" t="s">
        <v>283</v>
      </c>
      <c r="Q8" s="1" t="s">
        <v>283</v>
      </c>
      <c r="R8" s="1" t="s">
        <v>283</v>
      </c>
      <c r="S8" s="1" t="s">
        <v>283</v>
      </c>
      <c r="T8" s="1" t="s">
        <v>283</v>
      </c>
      <c r="U8" s="1" t="s">
        <v>283</v>
      </c>
      <c r="V8" s="1" t="s">
        <v>283</v>
      </c>
    </row>
    <row r="9" spans="1:22" x14ac:dyDescent="0.2">
      <c r="A9" t="s">
        <v>63</v>
      </c>
      <c r="C9">
        <v>303.238</v>
      </c>
      <c r="D9">
        <v>325.06200000000001</v>
      </c>
      <c r="E9">
        <v>343.74200000000002</v>
      </c>
      <c r="F9">
        <v>317.89499999999998</v>
      </c>
      <c r="G9">
        <v>273.06200000000001</v>
      </c>
      <c r="H9">
        <v>431.89800000000002</v>
      </c>
      <c r="I9">
        <v>513.67600000000004</v>
      </c>
      <c r="J9">
        <v>482.77300000000002</v>
      </c>
      <c r="K9">
        <v>338.93799999999999</v>
      </c>
      <c r="L9">
        <v>310.84800000000001</v>
      </c>
      <c r="M9">
        <v>574.89099999999996</v>
      </c>
      <c r="N9">
        <v>417.17599999999999</v>
      </c>
      <c r="O9">
        <v>347.387</v>
      </c>
      <c r="P9">
        <v>412.81599999999997</v>
      </c>
      <c r="Q9">
        <v>396.45299999999997</v>
      </c>
      <c r="R9">
        <v>377.98399999999998</v>
      </c>
      <c r="S9">
        <v>554.54300000000001</v>
      </c>
      <c r="T9">
        <v>330.88299999999998</v>
      </c>
      <c r="U9">
        <v>476.27699999999999</v>
      </c>
      <c r="V9">
        <v>385.53500000000003</v>
      </c>
    </row>
    <row r="10" spans="1:22" x14ac:dyDescent="0.2">
      <c r="A10" t="s">
        <v>62</v>
      </c>
      <c r="C10">
        <v>82.356999999999999</v>
      </c>
      <c r="D10">
        <v>104.18100000000001</v>
      </c>
      <c r="E10">
        <v>122.86100000000002</v>
      </c>
      <c r="F10">
        <v>97.013999999999982</v>
      </c>
      <c r="G10">
        <v>52.181000000000012</v>
      </c>
      <c r="H10">
        <v>211.01700000000002</v>
      </c>
      <c r="I10">
        <v>292.79500000000007</v>
      </c>
      <c r="J10">
        <v>261.89200000000005</v>
      </c>
      <c r="K10">
        <v>118.05699999999999</v>
      </c>
      <c r="L10">
        <v>89.967000000000013</v>
      </c>
      <c r="M10">
        <v>354.01</v>
      </c>
      <c r="N10">
        <v>196.29499999999999</v>
      </c>
    </row>
    <row r="11" spans="1:22" x14ac:dyDescent="0.2">
      <c r="A11" t="s">
        <v>61</v>
      </c>
      <c r="C11">
        <v>7.0060000000000002</v>
      </c>
      <c r="D11">
        <v>4.9640000000000004</v>
      </c>
      <c r="E11">
        <v>4.8310000000000004</v>
      </c>
      <c r="F11">
        <v>7.859</v>
      </c>
      <c r="G11">
        <v>6.0609999999999999</v>
      </c>
      <c r="H11">
        <v>2.0339999999999998</v>
      </c>
      <c r="I11">
        <v>2.1269999999999998</v>
      </c>
      <c r="J11">
        <v>1.2470000000000001</v>
      </c>
      <c r="K11">
        <v>2.0059999999999998</v>
      </c>
      <c r="L11">
        <v>0.94299999999999995</v>
      </c>
      <c r="M11">
        <v>2.16</v>
      </c>
      <c r="N11">
        <v>2.67</v>
      </c>
      <c r="O11">
        <v>2.5920000000000001</v>
      </c>
      <c r="P11">
        <v>1.353</v>
      </c>
      <c r="Q11">
        <v>2.0270000000000001</v>
      </c>
      <c r="R11">
        <v>1.29</v>
      </c>
      <c r="S11">
        <v>1.952</v>
      </c>
      <c r="T11">
        <v>2.3660000000000001</v>
      </c>
      <c r="U11">
        <v>2.6120000000000001</v>
      </c>
      <c r="V11">
        <v>3.3340000000000001</v>
      </c>
    </row>
    <row r="12" spans="1:22" x14ac:dyDescent="0.2">
      <c r="A12" t="s">
        <v>60</v>
      </c>
      <c r="C12">
        <v>7.0770075596964004</v>
      </c>
      <c r="D12">
        <v>5.06372353115768</v>
      </c>
      <c r="E12">
        <v>4.9334127133253309</v>
      </c>
      <c r="F12">
        <v>7.9223658713795846</v>
      </c>
      <c r="G12">
        <v>6.1429407452782741</v>
      </c>
      <c r="H12">
        <v>2.2665295056539634</v>
      </c>
      <c r="I12">
        <v>2.350346570189171</v>
      </c>
      <c r="J12">
        <v>1.5984395515627108</v>
      </c>
      <c r="K12">
        <v>2.241436146759483</v>
      </c>
      <c r="L12">
        <v>1.3744995452891209</v>
      </c>
      <c r="M12">
        <v>2.3802520874898945</v>
      </c>
      <c r="N12">
        <v>2.85112258592997</v>
      </c>
      <c r="O12">
        <v>2.7782123748914516</v>
      </c>
      <c r="P12">
        <v>1.6824413808510537</v>
      </c>
      <c r="Q12">
        <v>2.260249764959616</v>
      </c>
      <c r="R12">
        <v>1.6322070947033653</v>
      </c>
      <c r="S12">
        <v>2.1932405248854949</v>
      </c>
      <c r="T12">
        <v>2.5686486719674222</v>
      </c>
      <c r="U12">
        <v>2.7968811201050361</v>
      </c>
      <c r="V12">
        <v>3.480740725765135</v>
      </c>
    </row>
    <row r="13" spans="1:22" x14ac:dyDescent="0.2">
      <c r="A13" t="s">
        <v>59</v>
      </c>
      <c r="H13">
        <v>1.6010370242230285</v>
      </c>
      <c r="I13">
        <v>2.2215064924028951</v>
      </c>
      <c r="J13">
        <v>1.987037955936334</v>
      </c>
      <c r="K13">
        <v>0.8957270171061954</v>
      </c>
      <c r="L13">
        <v>0.68260139210714399</v>
      </c>
      <c r="M13">
        <v>2.6859595053725256</v>
      </c>
      <c r="N13">
        <v>1.4893376489565264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</row>
    <row r="15" spans="1:22" s="1" customFormat="1" x14ac:dyDescent="0.2">
      <c r="A15" s="1" t="s">
        <v>310</v>
      </c>
      <c r="C15" s="1">
        <v>1</v>
      </c>
      <c r="D15" s="1" t="s">
        <v>283</v>
      </c>
      <c r="E15" s="1" t="s">
        <v>283</v>
      </c>
      <c r="F15" s="1" t="s">
        <v>283</v>
      </c>
      <c r="G15" s="1" t="s">
        <v>283</v>
      </c>
      <c r="H15" s="1" t="s">
        <v>283</v>
      </c>
      <c r="I15" s="1" t="s">
        <v>283</v>
      </c>
      <c r="J15" s="1" t="s">
        <v>283</v>
      </c>
      <c r="K15" s="1" t="s">
        <v>283</v>
      </c>
      <c r="L15" s="1" t="s">
        <v>283</v>
      </c>
      <c r="M15" s="1" t="s">
        <v>283</v>
      </c>
      <c r="N15" s="1" t="s">
        <v>283</v>
      </c>
      <c r="O15" s="1" t="s">
        <v>283</v>
      </c>
    </row>
    <row r="16" spans="1:22" x14ac:dyDescent="0.2">
      <c r="A16" t="s">
        <v>63</v>
      </c>
      <c r="C16">
        <v>343.47699999999998</v>
      </c>
      <c r="D16">
        <v>321.46100000000001</v>
      </c>
      <c r="E16">
        <v>384.875</v>
      </c>
      <c r="F16">
        <v>342.28899999999999</v>
      </c>
      <c r="G16">
        <v>393.38299999999998</v>
      </c>
      <c r="H16">
        <v>344.57799999999997</v>
      </c>
      <c r="I16">
        <v>398.66</v>
      </c>
      <c r="J16">
        <v>464.15199999999999</v>
      </c>
      <c r="K16">
        <v>371.94099999999997</v>
      </c>
      <c r="L16">
        <v>327.90600000000001</v>
      </c>
      <c r="M16">
        <v>407.56599999999997</v>
      </c>
      <c r="N16">
        <v>456.69499999999999</v>
      </c>
      <c r="O16">
        <v>457.88299999999998</v>
      </c>
    </row>
    <row r="17" spans="1:15" x14ac:dyDescent="0.2">
      <c r="A17" t="s">
        <v>62</v>
      </c>
      <c r="C17">
        <v>122.59599999999998</v>
      </c>
      <c r="D17">
        <v>100.58000000000001</v>
      </c>
      <c r="E17">
        <v>163.994</v>
      </c>
      <c r="F17">
        <v>121.40799999999999</v>
      </c>
      <c r="G17">
        <v>172.50199999999998</v>
      </c>
      <c r="H17">
        <v>123.69699999999997</v>
      </c>
      <c r="I17">
        <v>177.77900000000002</v>
      </c>
      <c r="J17">
        <v>243.27099999999999</v>
      </c>
      <c r="K17">
        <v>151.05999999999997</v>
      </c>
      <c r="L17">
        <v>107.02500000000001</v>
      </c>
      <c r="M17">
        <v>186.68499999999997</v>
      </c>
      <c r="N17">
        <v>235.81399999999999</v>
      </c>
      <c r="O17">
        <v>237.00199999999998</v>
      </c>
    </row>
    <row r="18" spans="1:15" x14ac:dyDescent="0.2">
      <c r="A18" t="s">
        <v>61</v>
      </c>
      <c r="C18">
        <v>2.6949999999999998</v>
      </c>
      <c r="D18">
        <v>3.8889999999999998</v>
      </c>
      <c r="E18">
        <v>4.4329999999999998</v>
      </c>
      <c r="F18">
        <v>2.9289999999999998</v>
      </c>
      <c r="G18">
        <v>2.0880000000000001</v>
      </c>
      <c r="H18">
        <v>1.2929999999999999</v>
      </c>
      <c r="I18">
        <v>2.1059999999999999</v>
      </c>
      <c r="J18">
        <v>1.012</v>
      </c>
      <c r="K18">
        <v>1.738</v>
      </c>
      <c r="L18">
        <v>2.2360000000000002</v>
      </c>
      <c r="M18">
        <v>2.149</v>
      </c>
      <c r="N18">
        <v>2.242</v>
      </c>
      <c r="O18">
        <v>2.8980000000000001</v>
      </c>
    </row>
    <row r="19" spans="1:15" x14ac:dyDescent="0.2">
      <c r="A19" t="s">
        <v>60</v>
      </c>
      <c r="C19">
        <v>3.3560430569347584</v>
      </c>
      <c r="D19">
        <v>4.3731362887520433</v>
      </c>
      <c r="E19">
        <v>4.8632796547186139</v>
      </c>
      <c r="F19">
        <v>3.5466943764581687</v>
      </c>
      <c r="G19">
        <v>2.8913221888955922</v>
      </c>
      <c r="H19">
        <v>2.3815644018165876</v>
      </c>
      <c r="I19">
        <v>2.9043477753189268</v>
      </c>
      <c r="J19">
        <v>2.2414602383267921</v>
      </c>
      <c r="K19">
        <v>2.6496497881795622</v>
      </c>
      <c r="L19">
        <v>2.9999493329054743</v>
      </c>
      <c r="M19">
        <v>2.9356772642782105</v>
      </c>
      <c r="N19">
        <v>3.0044240712655728</v>
      </c>
      <c r="O19">
        <v>3.5211367482675251</v>
      </c>
    </row>
    <row r="20" spans="1:15" x14ac:dyDescent="0.2">
      <c r="A20" t="s">
        <v>59</v>
      </c>
      <c r="D20">
        <v>0.76312479040244252</v>
      </c>
      <c r="E20">
        <v>1.2442621483123697</v>
      </c>
      <c r="F20">
        <v>0.92115186471644184</v>
      </c>
      <c r="G20">
        <v>1.3088144024060657</v>
      </c>
      <c r="H20">
        <v>0.93851906142782759</v>
      </c>
      <c r="I20">
        <v>1.348852277917636</v>
      </c>
      <c r="J20">
        <v>1.8457559244978381</v>
      </c>
      <c r="K20">
        <v>1.1461287615648532</v>
      </c>
      <c r="L20">
        <v>0.81202456445437865</v>
      </c>
      <c r="M20">
        <v>1.4164242542879293</v>
      </c>
      <c r="N20">
        <v>1.7891778616420912</v>
      </c>
      <c r="O20">
        <v>1.7981915050204775</v>
      </c>
    </row>
    <row r="22" spans="1:15" s="1" customFormat="1" x14ac:dyDescent="0.2">
      <c r="A22" s="1" t="s">
        <v>311</v>
      </c>
      <c r="C22" s="1" t="s">
        <v>283</v>
      </c>
      <c r="D22" s="1" t="s">
        <v>283</v>
      </c>
    </row>
    <row r="23" spans="1:15" x14ac:dyDescent="0.2">
      <c r="A23" t="s">
        <v>63</v>
      </c>
      <c r="C23">
        <v>359.90199999999999</v>
      </c>
      <c r="D23">
        <v>315.69499999999999</v>
      </c>
    </row>
    <row r="24" spans="1:15" x14ac:dyDescent="0.2">
      <c r="A24" t="s">
        <v>62</v>
      </c>
      <c r="C24">
        <v>139.02099999999999</v>
      </c>
      <c r="D24">
        <v>94.813999999999993</v>
      </c>
    </row>
    <row r="25" spans="1:15" x14ac:dyDescent="0.2">
      <c r="A25" t="s">
        <v>61</v>
      </c>
      <c r="C25">
        <v>0.90200000000000002</v>
      </c>
      <c r="D25">
        <v>1.7210000000000001</v>
      </c>
    </row>
    <row r="26" spans="1:15" x14ac:dyDescent="0.2">
      <c r="A26" t="s">
        <v>60</v>
      </c>
      <c r="C26">
        <v>3.1326672341632458</v>
      </c>
      <c r="D26">
        <v>3.4585894523634919</v>
      </c>
    </row>
    <row r="27" spans="1:15" x14ac:dyDescent="0.2">
      <c r="A27" t="s">
        <v>59</v>
      </c>
      <c r="C27">
        <v>1.0547859563187307</v>
      </c>
      <c r="D27">
        <v>0.71937675360128417</v>
      </c>
    </row>
    <row r="29" spans="1:15" s="1" customFormat="1" x14ac:dyDescent="0.2">
      <c r="A29" s="1" t="s">
        <v>312</v>
      </c>
      <c r="C29" s="1">
        <v>1</v>
      </c>
      <c r="D29" s="1">
        <v>1</v>
      </c>
      <c r="E29" s="1">
        <v>1</v>
      </c>
      <c r="F29" s="1">
        <v>1</v>
      </c>
      <c r="G29" s="1" t="s">
        <v>283</v>
      </c>
      <c r="H29" s="1" t="s">
        <v>283</v>
      </c>
      <c r="I29" s="1" t="s">
        <v>283</v>
      </c>
      <c r="J29" s="1" t="s">
        <v>283</v>
      </c>
      <c r="K29" s="1" t="s">
        <v>283</v>
      </c>
    </row>
    <row r="30" spans="1:15" x14ac:dyDescent="0.2">
      <c r="A30" t="s">
        <v>63</v>
      </c>
      <c r="C30">
        <v>386.55900000000003</v>
      </c>
      <c r="D30">
        <v>401.73</v>
      </c>
      <c r="E30">
        <v>421.37900000000002</v>
      </c>
      <c r="F30">
        <v>340.49599999999998</v>
      </c>
      <c r="G30">
        <v>290.91399999999999</v>
      </c>
      <c r="H30">
        <v>360.91</v>
      </c>
      <c r="I30">
        <v>313.44900000000001</v>
      </c>
      <c r="J30">
        <v>399.84399999999999</v>
      </c>
      <c r="K30">
        <v>303.66800000000001</v>
      </c>
    </row>
    <row r="31" spans="1:15" x14ac:dyDescent="0.2">
      <c r="A31" t="s">
        <v>62</v>
      </c>
      <c r="C31">
        <v>165.67800000000003</v>
      </c>
      <c r="D31">
        <v>180.84900000000002</v>
      </c>
      <c r="E31">
        <v>200.49800000000002</v>
      </c>
      <c r="F31">
        <v>119.61499999999998</v>
      </c>
      <c r="G31">
        <v>70.032999999999987</v>
      </c>
      <c r="H31">
        <v>140.02900000000002</v>
      </c>
      <c r="I31">
        <v>92.568000000000012</v>
      </c>
      <c r="J31">
        <v>178.96299999999999</v>
      </c>
      <c r="K31">
        <v>82.787000000000006</v>
      </c>
    </row>
    <row r="32" spans="1:15" x14ac:dyDescent="0.2">
      <c r="A32" t="s">
        <v>61</v>
      </c>
      <c r="C32">
        <v>1.0880000000000001</v>
      </c>
      <c r="D32">
        <v>0.628</v>
      </c>
      <c r="E32">
        <v>1.595</v>
      </c>
      <c r="F32">
        <v>3.3730000000000002</v>
      </c>
      <c r="G32">
        <v>1.321</v>
      </c>
      <c r="H32">
        <v>1.046</v>
      </c>
      <c r="I32">
        <v>1.155</v>
      </c>
      <c r="J32">
        <v>2.58</v>
      </c>
      <c r="K32">
        <v>1.88</v>
      </c>
    </row>
    <row r="33" spans="1:11" x14ac:dyDescent="0.2">
      <c r="A33" t="s">
        <v>60</v>
      </c>
      <c r="C33">
        <v>1.4777496405007176</v>
      </c>
      <c r="D33">
        <v>1.1808403787133974</v>
      </c>
      <c r="E33">
        <v>1.8825581000330376</v>
      </c>
      <c r="F33">
        <v>3.5181144097371253</v>
      </c>
      <c r="G33">
        <v>1.6568165257505127</v>
      </c>
      <c r="H33">
        <v>1.4471060776598239</v>
      </c>
      <c r="I33">
        <v>1.527751615937617</v>
      </c>
      <c r="J33">
        <v>2.7670200577516599</v>
      </c>
      <c r="K33">
        <v>2.1294130646729865</v>
      </c>
    </row>
    <row r="34" spans="1:11" x14ac:dyDescent="0.2">
      <c r="A34" t="s">
        <v>59</v>
      </c>
      <c r="G34">
        <v>0.53135731205263703</v>
      </c>
      <c r="H34">
        <v>1.0624338961549376</v>
      </c>
      <c r="I34">
        <v>0.70233580829164144</v>
      </c>
      <c r="J34">
        <v>1.3578355723284181</v>
      </c>
      <c r="K34">
        <v>0.62812499525797372</v>
      </c>
    </row>
    <row r="36" spans="1:11" s="1" customFormat="1" x14ac:dyDescent="0.2">
      <c r="A36" s="1" t="s">
        <v>313</v>
      </c>
      <c r="C36" s="1">
        <v>1</v>
      </c>
      <c r="D36" s="1">
        <v>1</v>
      </c>
      <c r="E36" s="1" t="s">
        <v>283</v>
      </c>
      <c r="F36" s="1" t="s">
        <v>283</v>
      </c>
      <c r="G36" s="1" t="s">
        <v>283</v>
      </c>
    </row>
    <row r="37" spans="1:11" x14ac:dyDescent="0.2">
      <c r="A37" t="s">
        <v>63</v>
      </c>
      <c r="C37">
        <v>365.24200000000002</v>
      </c>
      <c r="D37">
        <v>327.60500000000002</v>
      </c>
      <c r="E37">
        <v>485.75400000000002</v>
      </c>
      <c r="F37">
        <v>373.51600000000002</v>
      </c>
      <c r="G37">
        <v>267.72699999999998</v>
      </c>
    </row>
    <row r="38" spans="1:11" x14ac:dyDescent="0.2">
      <c r="A38" t="s">
        <v>62</v>
      </c>
      <c r="C38">
        <v>144.36100000000002</v>
      </c>
      <c r="D38">
        <v>106.72400000000002</v>
      </c>
      <c r="E38">
        <v>264.87300000000005</v>
      </c>
      <c r="F38">
        <v>152.63500000000002</v>
      </c>
      <c r="G38">
        <v>46.845999999999975</v>
      </c>
    </row>
    <row r="39" spans="1:11" x14ac:dyDescent="0.2">
      <c r="A39" t="s">
        <v>61</v>
      </c>
      <c r="C39">
        <v>3.0619999999999998</v>
      </c>
      <c r="D39">
        <v>2.5760000000000001</v>
      </c>
      <c r="E39">
        <v>0.7</v>
      </c>
      <c r="F39">
        <v>1.369</v>
      </c>
      <c r="G39">
        <v>3.1659999999999999</v>
      </c>
    </row>
    <row r="40" spans="1:11" x14ac:dyDescent="0.2">
      <c r="A40" t="s">
        <v>60</v>
      </c>
      <c r="C40">
        <v>3.6573000970661402</v>
      </c>
      <c r="D40">
        <v>3.2612537466440723</v>
      </c>
      <c r="E40">
        <v>2.118962010041709</v>
      </c>
      <c r="F40">
        <v>2.4236668500435452</v>
      </c>
      <c r="G40">
        <v>3.7448038666931542</v>
      </c>
    </row>
    <row r="41" spans="1:11" x14ac:dyDescent="0.2">
      <c r="A41" t="s">
        <v>59</v>
      </c>
      <c r="E41">
        <v>2.009655524043211</v>
      </c>
      <c r="F41">
        <v>1.1580786675589263</v>
      </c>
      <c r="G41">
        <v>0.35543193409418172</v>
      </c>
    </row>
    <row r="43" spans="1:11" s="1" customFormat="1" x14ac:dyDescent="0.2">
      <c r="A43" s="1" t="s">
        <v>314</v>
      </c>
      <c r="C43" s="1">
        <v>1</v>
      </c>
      <c r="D43" s="1" t="s">
        <v>283</v>
      </c>
      <c r="E43" s="1" t="s">
        <v>283</v>
      </c>
      <c r="F43" s="1" t="s">
        <v>283</v>
      </c>
    </row>
    <row r="44" spans="1:11" x14ac:dyDescent="0.2">
      <c r="A44" t="s">
        <v>63</v>
      </c>
      <c r="C44">
        <v>365.875</v>
      </c>
      <c r="D44">
        <v>367.81599999999997</v>
      </c>
      <c r="E44">
        <v>406.238</v>
      </c>
      <c r="F44">
        <v>292.36700000000002</v>
      </c>
    </row>
    <row r="45" spans="1:11" x14ac:dyDescent="0.2">
      <c r="A45" t="s">
        <v>62</v>
      </c>
      <c r="C45">
        <v>144.994</v>
      </c>
      <c r="D45">
        <v>146.93499999999997</v>
      </c>
      <c r="E45">
        <v>185.357</v>
      </c>
      <c r="F45">
        <v>71.486000000000018</v>
      </c>
    </row>
    <row r="46" spans="1:11" x14ac:dyDescent="0.2">
      <c r="A46" t="s">
        <v>61</v>
      </c>
      <c r="C46">
        <v>3.0710000000000002</v>
      </c>
      <c r="D46">
        <v>0.379</v>
      </c>
      <c r="E46">
        <v>1.1279999999999999</v>
      </c>
      <c r="F46">
        <v>1.8680000000000001</v>
      </c>
    </row>
    <row r="47" spans="1:11" x14ac:dyDescent="0.2">
      <c r="A47" t="s">
        <v>60</v>
      </c>
      <c r="C47">
        <v>4.2931388284098153</v>
      </c>
      <c r="D47">
        <v>3.0238453994872159</v>
      </c>
      <c r="E47">
        <v>3.2050560057509134</v>
      </c>
      <c r="F47">
        <v>3.5340379171706688</v>
      </c>
    </row>
    <row r="48" spans="1:11" x14ac:dyDescent="0.2">
      <c r="A48" t="s">
        <v>59</v>
      </c>
      <c r="D48">
        <v>1.1148313887232337</v>
      </c>
      <c r="E48">
        <v>1.4063483970434034</v>
      </c>
      <c r="F48">
        <v>0.5423815745347883</v>
      </c>
    </row>
    <row r="50" spans="3:3" x14ac:dyDescent="0.2">
      <c r="C50" t="s">
        <v>294</v>
      </c>
    </row>
    <row r="51" spans="3:3" x14ac:dyDescent="0.2">
      <c r="C51">
        <v>350.49568749999997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01D6-4752-DE4F-BF5C-727A48FAB410}">
  <dimension ref="A1:P59"/>
  <sheetViews>
    <sheetView workbookViewId="0">
      <selection activeCell="A2" sqref="A2"/>
    </sheetView>
  </sheetViews>
  <sheetFormatPr baseColWidth="10" defaultRowHeight="15" x14ac:dyDescent="0.2"/>
  <cols>
    <col min="1" max="1" width="32.33203125" bestFit="1" customWidth="1"/>
  </cols>
  <sheetData>
    <row r="1" spans="1:16" ht="32" x14ac:dyDescent="0.2">
      <c r="A1" t="s">
        <v>227</v>
      </c>
      <c r="C1" s="26" t="s">
        <v>226</v>
      </c>
      <c r="E1" t="s">
        <v>225</v>
      </c>
      <c r="G1" t="s">
        <v>224</v>
      </c>
    </row>
    <row r="2" spans="1:16" x14ac:dyDescent="0.2">
      <c r="A2" t="s">
        <v>223</v>
      </c>
      <c r="B2" s="25">
        <v>44862</v>
      </c>
      <c r="C2" t="s">
        <v>222</v>
      </c>
      <c r="E2">
        <v>48.143000000000001</v>
      </c>
      <c r="G2">
        <f>AVERAGE(C8:D8,C14:E14,C21,C42,C49:E49)</f>
        <v>81.369799999999984</v>
      </c>
    </row>
    <row r="4" spans="1:16" x14ac:dyDescent="0.2">
      <c r="A4" t="s">
        <v>237</v>
      </c>
    </row>
    <row r="6" spans="1:16" x14ac:dyDescent="0.2">
      <c r="A6" s="1" t="s">
        <v>236</v>
      </c>
      <c r="B6" t="s">
        <v>235</v>
      </c>
      <c r="C6">
        <v>1</v>
      </c>
      <c r="D6">
        <v>1</v>
      </c>
    </row>
    <row r="7" spans="1:16" x14ac:dyDescent="0.2">
      <c r="A7" t="s">
        <v>215</v>
      </c>
      <c r="B7">
        <v>236.97900000000001</v>
      </c>
      <c r="C7">
        <v>288.00799999999998</v>
      </c>
      <c r="D7">
        <v>354.66800000000001</v>
      </c>
      <c r="E7">
        <v>446.77</v>
      </c>
      <c r="F7">
        <v>437.137</v>
      </c>
      <c r="G7">
        <v>431.10199999999998</v>
      </c>
      <c r="H7">
        <v>489.35899999999998</v>
      </c>
      <c r="I7">
        <v>438.87900000000002</v>
      </c>
    </row>
    <row r="8" spans="1:16" x14ac:dyDescent="0.2">
      <c r="A8" t="s">
        <v>62</v>
      </c>
      <c r="C8">
        <f t="shared" ref="C8:I8" si="0">C7-$B$7</f>
        <v>51.028999999999968</v>
      </c>
      <c r="D8">
        <f t="shared" si="0"/>
        <v>117.68899999999999</v>
      </c>
      <c r="E8">
        <f t="shared" si="0"/>
        <v>209.79099999999997</v>
      </c>
      <c r="F8">
        <f t="shared" si="0"/>
        <v>200.15799999999999</v>
      </c>
      <c r="G8">
        <f t="shared" si="0"/>
        <v>194.12299999999996</v>
      </c>
      <c r="H8">
        <f t="shared" si="0"/>
        <v>252.37999999999997</v>
      </c>
      <c r="I8">
        <f t="shared" si="0"/>
        <v>201.9</v>
      </c>
    </row>
    <row r="9" spans="1:16" x14ac:dyDescent="0.2">
      <c r="A9" t="s">
        <v>214</v>
      </c>
      <c r="C9">
        <v>1.337</v>
      </c>
      <c r="D9">
        <v>2.4900000000000002</v>
      </c>
      <c r="E9">
        <v>2.5329999999999999</v>
      </c>
      <c r="F9">
        <v>2.31</v>
      </c>
      <c r="G9">
        <v>2.9220000000000002</v>
      </c>
      <c r="H9">
        <v>2.8119999999999998</v>
      </c>
      <c r="I9">
        <v>2.266</v>
      </c>
    </row>
    <row r="10" spans="1:16" x14ac:dyDescent="0.2">
      <c r="A10" t="s">
        <v>59</v>
      </c>
      <c r="E10">
        <f>E8/$G$2</f>
        <v>2.5782415589076049</v>
      </c>
      <c r="F10">
        <f>F8/$G$2</f>
        <v>2.459856113693287</v>
      </c>
      <c r="G10">
        <f>G8/$G$2</f>
        <v>2.3856885478396164</v>
      </c>
      <c r="H10">
        <f>H8/$G$2</f>
        <v>3.1016421325848169</v>
      </c>
      <c r="I10">
        <f>I8/$G$2</f>
        <v>2.481264547780627</v>
      </c>
    </row>
    <row r="12" spans="1:16" x14ac:dyDescent="0.2">
      <c r="A12" s="1" t="s">
        <v>234</v>
      </c>
      <c r="C12">
        <v>1</v>
      </c>
      <c r="D12">
        <v>1</v>
      </c>
      <c r="E12">
        <v>1</v>
      </c>
    </row>
    <row r="13" spans="1:16" x14ac:dyDescent="0.2">
      <c r="A13" t="s">
        <v>215</v>
      </c>
      <c r="C13">
        <v>334.94099999999997</v>
      </c>
      <c r="D13">
        <v>350.57</v>
      </c>
      <c r="E13">
        <v>315.96499999999997</v>
      </c>
      <c r="F13">
        <v>384.78500000000003</v>
      </c>
      <c r="G13">
        <v>323.68400000000003</v>
      </c>
      <c r="H13">
        <v>317.363</v>
      </c>
      <c r="I13">
        <v>339.43</v>
      </c>
      <c r="J13">
        <v>380.59399999999999</v>
      </c>
      <c r="K13">
        <v>372.33199999999999</v>
      </c>
      <c r="L13">
        <v>391.42599999999999</v>
      </c>
      <c r="M13">
        <v>452.55500000000001</v>
      </c>
      <c r="N13">
        <v>407.21499999999997</v>
      </c>
      <c r="O13">
        <v>323.87900000000002</v>
      </c>
      <c r="P13">
        <v>246.91800000000001</v>
      </c>
    </row>
    <row r="14" spans="1:16" x14ac:dyDescent="0.2">
      <c r="A14" t="s">
        <v>62</v>
      </c>
      <c r="C14">
        <f t="shared" ref="C14:P14" si="1">C13-$B$7</f>
        <v>97.961999999999961</v>
      </c>
      <c r="D14">
        <f t="shared" si="1"/>
        <v>113.59099999999998</v>
      </c>
      <c r="E14">
        <f t="shared" si="1"/>
        <v>78.985999999999962</v>
      </c>
      <c r="F14">
        <f t="shared" si="1"/>
        <v>147.80600000000001</v>
      </c>
      <c r="G14">
        <f t="shared" si="1"/>
        <v>86.705000000000013</v>
      </c>
      <c r="H14">
        <f t="shared" si="1"/>
        <v>80.383999999999986</v>
      </c>
      <c r="I14">
        <f t="shared" si="1"/>
        <v>102.45099999999999</v>
      </c>
      <c r="J14">
        <f t="shared" si="1"/>
        <v>143.61499999999998</v>
      </c>
      <c r="K14">
        <f t="shared" si="1"/>
        <v>135.35299999999998</v>
      </c>
      <c r="L14">
        <f t="shared" si="1"/>
        <v>154.44699999999997</v>
      </c>
      <c r="M14">
        <f t="shared" si="1"/>
        <v>215.57599999999999</v>
      </c>
      <c r="N14">
        <f t="shared" si="1"/>
        <v>170.23599999999996</v>
      </c>
      <c r="O14">
        <f t="shared" si="1"/>
        <v>86.9</v>
      </c>
      <c r="P14">
        <f t="shared" si="1"/>
        <v>9.938999999999993</v>
      </c>
    </row>
    <row r="15" spans="1:16" x14ac:dyDescent="0.2">
      <c r="A15" t="s">
        <v>214</v>
      </c>
      <c r="C15">
        <v>3.621</v>
      </c>
      <c r="D15">
        <v>0.96699999999999997</v>
      </c>
      <c r="E15">
        <v>3.4359999999999999</v>
      </c>
      <c r="F15">
        <v>1.3839999999999999</v>
      </c>
      <c r="G15">
        <v>2.77</v>
      </c>
      <c r="H15">
        <v>2.4009999999999998</v>
      </c>
      <c r="I15">
        <v>2.6320000000000001</v>
      </c>
      <c r="J15">
        <v>2.5310000000000001</v>
      </c>
      <c r="K15">
        <v>2.7450000000000001</v>
      </c>
      <c r="L15">
        <v>2.5049999999999999</v>
      </c>
      <c r="M15">
        <v>2.415</v>
      </c>
      <c r="N15">
        <v>2.7240000000000002</v>
      </c>
      <c r="O15">
        <v>2.6789999999999998</v>
      </c>
      <c r="P15">
        <v>6.3949999999999996</v>
      </c>
    </row>
    <row r="16" spans="1:16" x14ac:dyDescent="0.2">
      <c r="A16" t="s">
        <v>60</v>
      </c>
      <c r="C16">
        <f t="shared" ref="C16:P16" si="2">SQRT((1+(C15^2)))</f>
        <v>3.7565464192526625</v>
      </c>
      <c r="D16">
        <f t="shared" si="2"/>
        <v>1.3910747643458996</v>
      </c>
      <c r="E16">
        <f t="shared" si="2"/>
        <v>3.5785606044889056</v>
      </c>
      <c r="F16">
        <f t="shared" si="2"/>
        <v>1.7074706439643406</v>
      </c>
      <c r="G16">
        <f t="shared" si="2"/>
        <v>2.9449787775126666</v>
      </c>
      <c r="H16">
        <f t="shared" si="2"/>
        <v>2.6009231053608639</v>
      </c>
      <c r="I16">
        <f t="shared" si="2"/>
        <v>2.8155681487046271</v>
      </c>
      <c r="J16">
        <f t="shared" si="2"/>
        <v>2.7213895347781434</v>
      </c>
      <c r="K16">
        <f t="shared" si="2"/>
        <v>2.9214765102598381</v>
      </c>
      <c r="L16">
        <f t="shared" si="2"/>
        <v>2.6972254262482398</v>
      </c>
      <c r="M16">
        <f t="shared" si="2"/>
        <v>2.6138525207057879</v>
      </c>
      <c r="N16">
        <f t="shared" si="2"/>
        <v>2.9017539523536451</v>
      </c>
      <c r="O16">
        <f t="shared" si="2"/>
        <v>2.8595525873814593</v>
      </c>
      <c r="P16">
        <f t="shared" si="2"/>
        <v>6.4727138821363015</v>
      </c>
    </row>
    <row r="17" spans="1:16" x14ac:dyDescent="0.2">
      <c r="A17" t="s">
        <v>59</v>
      </c>
      <c r="F17">
        <f t="shared" ref="F17:P17" si="3">F14/$G$2</f>
        <v>1.8164724504668814</v>
      </c>
      <c r="G17">
        <f t="shared" si="3"/>
        <v>1.065567323503315</v>
      </c>
      <c r="H17">
        <f t="shared" si="3"/>
        <v>0.98788494011291661</v>
      </c>
      <c r="I17">
        <f t="shared" si="3"/>
        <v>1.2590789211722286</v>
      </c>
      <c r="J17">
        <f t="shared" si="3"/>
        <v>1.7649668550248374</v>
      </c>
      <c r="K17">
        <f t="shared" si="3"/>
        <v>1.6634304127575588</v>
      </c>
      <c r="L17">
        <f t="shared" si="3"/>
        <v>1.8980874968354353</v>
      </c>
      <c r="M17">
        <f t="shared" si="3"/>
        <v>2.6493367318095906</v>
      </c>
      <c r="N17">
        <f t="shared" si="3"/>
        <v>2.0921275460920392</v>
      </c>
      <c r="O17">
        <f t="shared" si="3"/>
        <v>1.0679637900056289</v>
      </c>
      <c r="P17">
        <f t="shared" si="3"/>
        <v>0.12214605418717994</v>
      </c>
    </row>
    <row r="19" spans="1:16" x14ac:dyDescent="0.2">
      <c r="A19" s="1" t="s">
        <v>233</v>
      </c>
      <c r="C19">
        <v>1</v>
      </c>
    </row>
    <row r="20" spans="1:16" x14ac:dyDescent="0.2">
      <c r="A20" t="s">
        <v>215</v>
      </c>
      <c r="C20">
        <v>265.46899999999999</v>
      </c>
      <c r="D20">
        <v>371.43799999999999</v>
      </c>
      <c r="E20">
        <v>314.07799999999997</v>
      </c>
      <c r="F20">
        <v>387.28899999999999</v>
      </c>
      <c r="G20">
        <v>384.02300000000002</v>
      </c>
      <c r="H20">
        <v>422.95299999999997</v>
      </c>
      <c r="I20">
        <v>399.15600000000001</v>
      </c>
      <c r="J20">
        <v>389.66399999999999</v>
      </c>
    </row>
    <row r="21" spans="1:16" x14ac:dyDescent="0.2">
      <c r="A21" t="s">
        <v>62</v>
      </c>
      <c r="C21">
        <f t="shared" ref="C21:J21" si="4">C20-$B$7</f>
        <v>28.489999999999981</v>
      </c>
      <c r="D21">
        <f t="shared" si="4"/>
        <v>134.45899999999997</v>
      </c>
      <c r="E21">
        <f t="shared" si="4"/>
        <v>77.098999999999961</v>
      </c>
      <c r="F21">
        <f t="shared" si="4"/>
        <v>150.30999999999997</v>
      </c>
      <c r="G21">
        <f t="shared" si="4"/>
        <v>147.04400000000001</v>
      </c>
      <c r="H21">
        <f t="shared" si="4"/>
        <v>185.97399999999996</v>
      </c>
      <c r="I21">
        <f t="shared" si="4"/>
        <v>162.17699999999999</v>
      </c>
      <c r="J21">
        <f t="shared" si="4"/>
        <v>152.68499999999997</v>
      </c>
    </row>
    <row r="22" spans="1:16" x14ac:dyDescent="0.2">
      <c r="A22" t="s">
        <v>214</v>
      </c>
      <c r="C22">
        <v>6.4059999999999997</v>
      </c>
      <c r="D22">
        <v>1.0089999999999999</v>
      </c>
      <c r="E22">
        <v>3.306</v>
      </c>
      <c r="F22">
        <v>2.617</v>
      </c>
      <c r="G22">
        <v>2.3940000000000001</v>
      </c>
      <c r="H22">
        <v>2.99</v>
      </c>
      <c r="I22">
        <v>2.617</v>
      </c>
      <c r="J22">
        <v>3.4569999999999999</v>
      </c>
    </row>
    <row r="23" spans="1:16" x14ac:dyDescent="0.2">
      <c r="A23" t="s">
        <v>60</v>
      </c>
      <c r="C23">
        <f t="shared" ref="C23:J23" si="5">SQRT((4+(C22^2)))</f>
        <v>6.7109489641927684</v>
      </c>
      <c r="D23">
        <f t="shared" si="5"/>
        <v>2.240107363498455</v>
      </c>
      <c r="E23">
        <f t="shared" si="5"/>
        <v>3.8638887147535708</v>
      </c>
      <c r="F23">
        <f t="shared" si="5"/>
        <v>3.2937348102116539</v>
      </c>
      <c r="G23">
        <f t="shared" si="5"/>
        <v>3.1194929075091675</v>
      </c>
      <c r="H23">
        <f t="shared" si="5"/>
        <v>3.5972350493121801</v>
      </c>
      <c r="I23">
        <f t="shared" si="5"/>
        <v>3.2937348102116539</v>
      </c>
      <c r="J23">
        <f t="shared" si="5"/>
        <v>3.9938513993387383</v>
      </c>
    </row>
    <row r="24" spans="1:16" x14ac:dyDescent="0.2">
      <c r="A24" t="s">
        <v>59</v>
      </c>
      <c r="D24">
        <f t="shared" ref="D24:J24" si="6">D21/$G$2</f>
        <v>1.6524435355623339</v>
      </c>
      <c r="E24">
        <f t="shared" si="6"/>
        <v>0.9475136967277783</v>
      </c>
      <c r="F24">
        <f t="shared" si="6"/>
        <v>1.8472455382709556</v>
      </c>
      <c r="G24">
        <f t="shared" si="6"/>
        <v>1.8071077967501461</v>
      </c>
      <c r="H24">
        <f t="shared" si="6"/>
        <v>2.285540827186499</v>
      </c>
      <c r="I24">
        <f t="shared" si="6"/>
        <v>1.9930858869015289</v>
      </c>
      <c r="J24">
        <f t="shared" si="6"/>
        <v>1.8764332713119609</v>
      </c>
    </row>
    <row r="26" spans="1:16" x14ac:dyDescent="0.2">
      <c r="A26" s="1" t="s">
        <v>232</v>
      </c>
    </row>
    <row r="27" spans="1:16" x14ac:dyDescent="0.2">
      <c r="A27" t="s">
        <v>215</v>
      </c>
      <c r="C27">
        <v>318.5</v>
      </c>
    </row>
    <row r="28" spans="1:16" x14ac:dyDescent="0.2">
      <c r="A28" t="s">
        <v>62</v>
      </c>
      <c r="C28">
        <f>C27-B7</f>
        <v>81.520999999999987</v>
      </c>
    </row>
    <row r="29" spans="1:16" x14ac:dyDescent="0.2">
      <c r="A29" t="s">
        <v>214</v>
      </c>
      <c r="C29">
        <v>3.4590000000000001</v>
      </c>
    </row>
    <row r="30" spans="1:16" x14ac:dyDescent="0.2">
      <c r="A30" t="s">
        <v>60</v>
      </c>
      <c r="C30">
        <f>SQRT((9+(C29^2)))</f>
        <v>4.5787204544501297</v>
      </c>
    </row>
    <row r="31" spans="1:16" x14ac:dyDescent="0.2">
      <c r="A31" t="s">
        <v>59</v>
      </c>
      <c r="C31">
        <f>C28/G2</f>
        <v>1.0018581832571789</v>
      </c>
    </row>
    <row r="33" spans="1:11" x14ac:dyDescent="0.2">
      <c r="A33" s="1" t="s">
        <v>231</v>
      </c>
    </row>
    <row r="34" spans="1:11" x14ac:dyDescent="0.2">
      <c r="A34" t="s">
        <v>215</v>
      </c>
      <c r="C34">
        <v>300.14800000000002</v>
      </c>
      <c r="D34">
        <v>298.34800000000001</v>
      </c>
    </row>
    <row r="35" spans="1:11" x14ac:dyDescent="0.2">
      <c r="A35" t="s">
        <v>62</v>
      </c>
      <c r="C35">
        <f>C34-$B$7</f>
        <v>63.169000000000011</v>
      </c>
      <c r="D35">
        <f>D34-$B$7</f>
        <v>61.369</v>
      </c>
    </row>
    <row r="36" spans="1:11" x14ac:dyDescent="0.2">
      <c r="A36" t="s">
        <v>214</v>
      </c>
      <c r="C36">
        <v>7.0880000000000001</v>
      </c>
      <c r="D36">
        <v>7.1310000000000002</v>
      </c>
    </row>
    <row r="37" spans="1:11" x14ac:dyDescent="0.2">
      <c r="A37" t="s">
        <v>60</v>
      </c>
      <c r="C37">
        <f>SQRT((16+(C36^2)))</f>
        <v>8.1387802525931363</v>
      </c>
      <c r="D37">
        <f>SQRT((16+(D36^2)))</f>
        <v>8.1762559279905123</v>
      </c>
    </row>
    <row r="38" spans="1:11" x14ac:dyDescent="0.2">
      <c r="A38" t="s">
        <v>59</v>
      </c>
      <c r="C38">
        <f>C35/$G$2</f>
        <v>0.77631996145990312</v>
      </c>
      <c r="D38">
        <f>D35/$G$2</f>
        <v>0.75419873220777256</v>
      </c>
    </row>
    <row r="40" spans="1:11" x14ac:dyDescent="0.2">
      <c r="A40" s="1" t="s">
        <v>230</v>
      </c>
      <c r="C40">
        <v>1</v>
      </c>
    </row>
    <row r="41" spans="1:11" x14ac:dyDescent="0.2">
      <c r="A41" t="s">
        <v>215</v>
      </c>
      <c r="C41">
        <v>336.94900000000001</v>
      </c>
      <c r="D41">
        <v>301.41800000000001</v>
      </c>
      <c r="E41">
        <v>509.39100000000002</v>
      </c>
      <c r="F41">
        <v>444.77699999999999</v>
      </c>
      <c r="G41">
        <v>444.98</v>
      </c>
      <c r="H41">
        <v>457.02699999999999</v>
      </c>
      <c r="I41">
        <v>457.64100000000002</v>
      </c>
      <c r="J41">
        <v>426.60899999999998</v>
      </c>
      <c r="K41">
        <v>331.137</v>
      </c>
    </row>
    <row r="42" spans="1:11" x14ac:dyDescent="0.2">
      <c r="A42" t="s">
        <v>62</v>
      </c>
      <c r="C42">
        <f t="shared" ref="C42:K42" si="7">C41-$B$7</f>
        <v>99.97</v>
      </c>
      <c r="D42">
        <f t="shared" si="7"/>
        <v>64.438999999999993</v>
      </c>
      <c r="E42">
        <f t="shared" si="7"/>
        <v>272.41200000000003</v>
      </c>
      <c r="F42">
        <f t="shared" si="7"/>
        <v>207.79799999999997</v>
      </c>
      <c r="G42">
        <f t="shared" si="7"/>
        <v>208.001</v>
      </c>
      <c r="H42">
        <f t="shared" si="7"/>
        <v>220.04799999999997</v>
      </c>
      <c r="I42">
        <f t="shared" si="7"/>
        <v>220.66200000000001</v>
      </c>
      <c r="J42">
        <f t="shared" si="7"/>
        <v>189.62999999999997</v>
      </c>
      <c r="K42">
        <f t="shared" si="7"/>
        <v>94.157999999999987</v>
      </c>
    </row>
    <row r="43" spans="1:11" x14ac:dyDescent="0.2">
      <c r="A43" t="s">
        <v>214</v>
      </c>
      <c r="C43">
        <v>0.82299999999999995</v>
      </c>
      <c r="D43">
        <v>2.3220000000000001</v>
      </c>
      <c r="E43">
        <v>2.82</v>
      </c>
      <c r="F43">
        <v>2.1339999999999999</v>
      </c>
      <c r="G43">
        <v>2.7669999999999999</v>
      </c>
      <c r="H43">
        <v>2.6539999999999999</v>
      </c>
      <c r="I43">
        <v>2.6349999999999998</v>
      </c>
      <c r="J43">
        <v>2.3919999999999999</v>
      </c>
      <c r="K43">
        <v>1.845</v>
      </c>
    </row>
    <row r="44" spans="1:11" x14ac:dyDescent="0.2">
      <c r="A44" t="s">
        <v>60</v>
      </c>
      <c r="C44">
        <f t="shared" ref="C44:K44" si="8">SQRT((1+(C43^2)))</f>
        <v>1.2951173691986375</v>
      </c>
      <c r="D44">
        <f t="shared" si="8"/>
        <v>2.5281780000624958</v>
      </c>
      <c r="E44">
        <f t="shared" si="8"/>
        <v>2.9920561492057596</v>
      </c>
      <c r="F44">
        <f t="shared" si="8"/>
        <v>2.3566832625535405</v>
      </c>
      <c r="G44">
        <f t="shared" si="8"/>
        <v>2.9421572017823929</v>
      </c>
      <c r="H44">
        <f t="shared" si="8"/>
        <v>2.8361445661319875</v>
      </c>
      <c r="I44">
        <f t="shared" si="8"/>
        <v>2.8183727574612978</v>
      </c>
      <c r="J44">
        <f t="shared" si="8"/>
        <v>2.5926172104651313</v>
      </c>
      <c r="K44">
        <f t="shared" si="8"/>
        <v>2.0985768987578224</v>
      </c>
    </row>
    <row r="45" spans="1:11" x14ac:dyDescent="0.2">
      <c r="A45" t="s">
        <v>59</v>
      </c>
      <c r="C45">
        <f t="shared" ref="C45:K45" si="9">C42/$G$2</f>
        <v>1.2285884935197091</v>
      </c>
      <c r="D45">
        <f t="shared" si="9"/>
        <v>0.79192771765446157</v>
      </c>
      <c r="E45">
        <f t="shared" si="9"/>
        <v>3.3478268350174156</v>
      </c>
      <c r="F45">
        <f t="shared" si="9"/>
        <v>2.5537484422967736</v>
      </c>
      <c r="G45">
        <f t="shared" si="9"/>
        <v>2.5562432253735423</v>
      </c>
      <c r="H45">
        <f t="shared" si="9"/>
        <v>2.7042956969293277</v>
      </c>
      <c r="I45">
        <f t="shared" si="9"/>
        <v>2.7118414940186661</v>
      </c>
      <c r="J45">
        <f t="shared" si="9"/>
        <v>2.3304715017119375</v>
      </c>
      <c r="K45">
        <f t="shared" si="9"/>
        <v>1.1571615021789412</v>
      </c>
    </row>
    <row r="47" spans="1:11" x14ac:dyDescent="0.2">
      <c r="A47" s="1" t="s">
        <v>229</v>
      </c>
      <c r="C47">
        <v>1</v>
      </c>
      <c r="D47">
        <v>1</v>
      </c>
      <c r="E47">
        <v>1</v>
      </c>
    </row>
    <row r="48" spans="1:11" x14ac:dyDescent="0.2">
      <c r="A48" t="s">
        <v>215</v>
      </c>
      <c r="C48">
        <v>297.37099999999998</v>
      </c>
      <c r="D48">
        <v>325.25</v>
      </c>
      <c r="E48">
        <v>314.29700000000003</v>
      </c>
      <c r="F48">
        <v>368.05099999999999</v>
      </c>
      <c r="G48">
        <v>334.21899999999999</v>
      </c>
      <c r="H48">
        <v>295.113</v>
      </c>
      <c r="I48">
        <v>292.34800000000001</v>
      </c>
      <c r="J48">
        <v>312.97699999999998</v>
      </c>
    </row>
    <row r="49" spans="1:10" x14ac:dyDescent="0.2">
      <c r="A49" t="s">
        <v>62</v>
      </c>
      <c r="C49">
        <f t="shared" ref="C49:J49" si="10">C48-$B$7</f>
        <v>60.391999999999967</v>
      </c>
      <c r="D49">
        <f t="shared" si="10"/>
        <v>88.270999999999987</v>
      </c>
      <c r="E49">
        <f t="shared" si="10"/>
        <v>77.318000000000012</v>
      </c>
      <c r="F49">
        <f t="shared" si="10"/>
        <v>131.07199999999997</v>
      </c>
      <c r="G49">
        <f t="shared" si="10"/>
        <v>97.239999999999981</v>
      </c>
      <c r="H49">
        <f t="shared" si="10"/>
        <v>58.133999999999986</v>
      </c>
      <c r="I49">
        <f t="shared" si="10"/>
        <v>55.369</v>
      </c>
      <c r="J49">
        <f t="shared" si="10"/>
        <v>75.997999999999962</v>
      </c>
    </row>
    <row r="50" spans="1:10" x14ac:dyDescent="0.2">
      <c r="A50" t="s">
        <v>214</v>
      </c>
      <c r="C50">
        <v>4.49</v>
      </c>
      <c r="D50">
        <v>4.5999999999999999E-2</v>
      </c>
      <c r="E50">
        <v>0.76100000000000001</v>
      </c>
      <c r="F50">
        <v>2.246</v>
      </c>
      <c r="G50">
        <v>2.4279999999999999</v>
      </c>
      <c r="H50">
        <v>2.6680000000000001</v>
      </c>
      <c r="I50">
        <v>2.5920000000000001</v>
      </c>
      <c r="J50">
        <v>2.302</v>
      </c>
    </row>
    <row r="51" spans="1:10" x14ac:dyDescent="0.2">
      <c r="A51" t="s">
        <v>60</v>
      </c>
      <c r="C51">
        <f t="shared" ref="C51:J51" si="11">SQRT((4+(C50^2)))</f>
        <v>4.915292463323012</v>
      </c>
      <c r="D51">
        <f t="shared" si="11"/>
        <v>2.0005289300582483</v>
      </c>
      <c r="E51">
        <f t="shared" si="11"/>
        <v>2.1398880811855556</v>
      </c>
      <c r="F51">
        <f t="shared" si="11"/>
        <v>3.0074101815349366</v>
      </c>
      <c r="G51">
        <f t="shared" si="11"/>
        <v>3.1456611387751225</v>
      </c>
      <c r="H51">
        <f t="shared" si="11"/>
        <v>3.3344000959692885</v>
      </c>
      <c r="I51">
        <f t="shared" si="11"/>
        <v>3.2739065350128738</v>
      </c>
      <c r="J51">
        <f t="shared" si="11"/>
        <v>3.0494596242613214</v>
      </c>
    </row>
    <row r="52" spans="1:10" x14ac:dyDescent="0.2">
      <c r="A52" t="s">
        <v>59</v>
      </c>
      <c r="F52">
        <f>F49/$G$2</f>
        <v>1.6108187558529086</v>
      </c>
      <c r="G52">
        <f>G49/$G$2</f>
        <v>1.1950379624873111</v>
      </c>
      <c r="H52">
        <f>H49/$G$2</f>
        <v>0.71444196741297139</v>
      </c>
      <c r="I52">
        <f>I49/$G$2</f>
        <v>0.68046130136733785</v>
      </c>
      <c r="J52">
        <f>J49/$G$2</f>
        <v>0.93398287816855852</v>
      </c>
    </row>
    <row r="54" spans="1:10" x14ac:dyDescent="0.2">
      <c r="A54" s="1" t="s">
        <v>228</v>
      </c>
    </row>
    <row r="55" spans="1:10" x14ac:dyDescent="0.2">
      <c r="A55" t="s">
        <v>215</v>
      </c>
      <c r="C55">
        <v>347.93</v>
      </c>
    </row>
    <row r="56" spans="1:10" x14ac:dyDescent="0.2">
      <c r="A56" t="s">
        <v>62</v>
      </c>
      <c r="C56">
        <f>C55-B7</f>
        <v>110.95099999999999</v>
      </c>
    </row>
    <row r="57" spans="1:10" x14ac:dyDescent="0.2">
      <c r="A57" t="s">
        <v>214</v>
      </c>
      <c r="C57">
        <v>0.14499999999999999</v>
      </c>
    </row>
    <row r="58" spans="1:10" x14ac:dyDescent="0.2">
      <c r="A58" t="s">
        <v>60</v>
      </c>
      <c r="C58">
        <f>SQRT((9+(C57^2)))</f>
        <v>3.0035021225229723</v>
      </c>
    </row>
    <row r="59" spans="1:10" x14ac:dyDescent="0.2">
      <c r="A59" t="s">
        <v>59</v>
      </c>
      <c r="C59">
        <f>C56/G2</f>
        <v>1.3635402815295112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1D5B-2730-6B4B-9F79-74B061AF0AE0}">
  <dimension ref="A4:T40"/>
  <sheetViews>
    <sheetView topLeftCell="A8" workbookViewId="0">
      <selection activeCell="J55" sqref="J55"/>
    </sheetView>
  </sheetViews>
  <sheetFormatPr baseColWidth="10" defaultColWidth="10.6640625" defaultRowHeight="16" x14ac:dyDescent="0.2"/>
  <cols>
    <col min="1" max="1" width="18.1640625" style="2" customWidth="1"/>
    <col min="2" max="2" width="19" style="2" customWidth="1"/>
    <col min="3" max="16384" width="10.6640625" style="2"/>
  </cols>
  <sheetData>
    <row r="4" spans="1:20" x14ac:dyDescent="0.2">
      <c r="A4" s="2" t="s">
        <v>265</v>
      </c>
    </row>
    <row r="5" spans="1:20" s="27" customFormat="1" x14ac:dyDescent="0.2">
      <c r="A5" s="27" t="s">
        <v>29</v>
      </c>
      <c r="B5" s="27" t="s">
        <v>262</v>
      </c>
      <c r="C5" s="27" t="s">
        <v>23</v>
      </c>
      <c r="D5" s="27" t="s">
        <v>254</v>
      </c>
    </row>
    <row r="6" spans="1:20" x14ac:dyDescent="0.2">
      <c r="A6" s="2" t="s">
        <v>253</v>
      </c>
      <c r="B6" s="2">
        <v>215.83799999999999</v>
      </c>
      <c r="C6" s="2">
        <v>224.922</v>
      </c>
      <c r="D6" s="2">
        <v>230.535</v>
      </c>
      <c r="E6" s="2">
        <v>234.48</v>
      </c>
      <c r="F6" s="2">
        <v>241.387</v>
      </c>
      <c r="G6" s="2">
        <v>236.547</v>
      </c>
      <c r="H6" s="2">
        <v>230.27</v>
      </c>
    </row>
    <row r="7" spans="1:20" x14ac:dyDescent="0.2">
      <c r="A7" s="2" t="s">
        <v>252</v>
      </c>
      <c r="C7" s="2">
        <f>C6-B6</f>
        <v>9.0840000000000032</v>
      </c>
      <c r="D7" s="2">
        <f>D6-B6</f>
        <v>14.697000000000003</v>
      </c>
      <c r="E7" s="2">
        <f>E6-B6</f>
        <v>18.641999999999996</v>
      </c>
      <c r="F7" s="2">
        <f>F6-B6</f>
        <v>25.549000000000007</v>
      </c>
      <c r="G7" s="2">
        <f>G6-B6</f>
        <v>20.709000000000003</v>
      </c>
      <c r="H7" s="2">
        <f>H6-B6</f>
        <v>14.432000000000016</v>
      </c>
    </row>
    <row r="8" spans="1:20" x14ac:dyDescent="0.2">
      <c r="A8" s="2" t="s">
        <v>31</v>
      </c>
      <c r="C8" s="2">
        <v>1.8220000000000001</v>
      </c>
      <c r="D8" s="2">
        <v>2.35</v>
      </c>
      <c r="E8" s="2">
        <v>1.921</v>
      </c>
      <c r="F8" s="2">
        <v>2.2309999999999999</v>
      </c>
      <c r="G8" s="2">
        <v>2.5259999999999998</v>
      </c>
      <c r="H8" s="2">
        <v>2.246</v>
      </c>
    </row>
    <row r="9" spans="1:20" x14ac:dyDescent="0.2">
      <c r="A9" s="2" t="s">
        <v>17</v>
      </c>
      <c r="C9" s="2">
        <f t="shared" ref="C9:H9" si="0">SQRT(1+C8^2)</f>
        <v>2.0783849499070186</v>
      </c>
      <c r="D9" s="2">
        <f t="shared" si="0"/>
        <v>2.553918557824427</v>
      </c>
      <c r="E9" s="2">
        <f t="shared" si="0"/>
        <v>2.1656964237861227</v>
      </c>
      <c r="F9" s="2">
        <f t="shared" si="0"/>
        <v>2.4448642089081347</v>
      </c>
      <c r="G9" s="2">
        <f t="shared" si="0"/>
        <v>2.7167399581115599</v>
      </c>
      <c r="H9" s="2">
        <f t="shared" si="0"/>
        <v>2.4585597409865803</v>
      </c>
    </row>
    <row r="10" spans="1:20" x14ac:dyDescent="0.2">
      <c r="A10" s="2" t="s">
        <v>251</v>
      </c>
      <c r="D10" s="2">
        <f>D7/15.105</f>
        <v>0.97298907646474697</v>
      </c>
      <c r="E10" s="2">
        <f>E7/15.105</f>
        <v>1.23416087388282</v>
      </c>
      <c r="F10" s="2">
        <f>F7/15.105</f>
        <v>1.6914266799073159</v>
      </c>
      <c r="G10" s="2">
        <f>G7/15.105</f>
        <v>1.3710029791459784</v>
      </c>
      <c r="H10" s="2">
        <f>H7/15.105</f>
        <v>0.955445216815625</v>
      </c>
    </row>
    <row r="11" spans="1:20" s="27" customFormat="1" x14ac:dyDescent="0.2">
      <c r="A11" s="27" t="s">
        <v>264</v>
      </c>
      <c r="B11" s="27" t="s">
        <v>262</v>
      </c>
      <c r="C11" s="27" t="s">
        <v>23</v>
      </c>
      <c r="F11" s="27" t="s">
        <v>254</v>
      </c>
    </row>
    <row r="12" spans="1:20" x14ac:dyDescent="0.2">
      <c r="A12" s="2" t="s">
        <v>253</v>
      </c>
      <c r="B12" s="2">
        <v>215.83799999999999</v>
      </c>
      <c r="C12" s="2">
        <v>219.90199999999999</v>
      </c>
      <c r="D12" s="2">
        <v>231.137</v>
      </c>
      <c r="E12" s="2">
        <v>231.71899999999999</v>
      </c>
      <c r="F12" s="2">
        <v>238.977</v>
      </c>
      <c r="G12" s="2">
        <v>268.68</v>
      </c>
      <c r="H12" s="2">
        <v>273.71499999999997</v>
      </c>
      <c r="I12" s="2">
        <v>271.488</v>
      </c>
      <c r="J12" s="2">
        <v>241.773</v>
      </c>
      <c r="K12" s="2">
        <v>252.316</v>
      </c>
      <c r="L12" s="2">
        <v>304.44499999999999</v>
      </c>
      <c r="M12" s="2">
        <v>287.85899999999998</v>
      </c>
      <c r="N12" s="2">
        <v>239.5</v>
      </c>
      <c r="O12" s="2">
        <v>243.066</v>
      </c>
      <c r="P12" s="2">
        <v>264</v>
      </c>
      <c r="Q12" s="2">
        <v>227.83199999999999</v>
      </c>
      <c r="R12" s="2">
        <v>233.01599999999999</v>
      </c>
      <c r="S12" s="2">
        <v>225.852</v>
      </c>
      <c r="T12" s="2">
        <v>221.625</v>
      </c>
    </row>
    <row r="13" spans="1:20" x14ac:dyDescent="0.2">
      <c r="A13" s="2" t="s">
        <v>252</v>
      </c>
      <c r="C13" s="2">
        <f>C12-B12</f>
        <v>4.063999999999993</v>
      </c>
      <c r="D13" s="2">
        <f>D12-B12</f>
        <v>15.299000000000007</v>
      </c>
      <c r="E13" s="2">
        <f>E12-B12</f>
        <v>15.881</v>
      </c>
      <c r="F13" s="2">
        <f>F12-B12</f>
        <v>23.13900000000001</v>
      </c>
      <c r="G13" s="2">
        <f>G12-B12</f>
        <v>52.842000000000013</v>
      </c>
      <c r="H13" s="2">
        <f>H12-B12</f>
        <v>57.876999999999981</v>
      </c>
      <c r="I13" s="2">
        <f>I12-B12</f>
        <v>55.650000000000006</v>
      </c>
      <c r="J13" s="2">
        <f>J12-B12</f>
        <v>25.935000000000002</v>
      </c>
      <c r="K13" s="2">
        <f>K12-B12</f>
        <v>36.478000000000009</v>
      </c>
      <c r="L13" s="2">
        <f>L12-B12</f>
        <v>88.606999999999999</v>
      </c>
      <c r="M13" s="2">
        <f>M12-B12</f>
        <v>72.020999999999987</v>
      </c>
      <c r="N13" s="2">
        <f>N12-B12</f>
        <v>23.662000000000006</v>
      </c>
      <c r="O13" s="2">
        <f>O12-B12</f>
        <v>27.228000000000009</v>
      </c>
      <c r="P13" s="2">
        <f>P12-B12</f>
        <v>48.162000000000006</v>
      </c>
      <c r="Q13" s="2">
        <f>Q12-B12</f>
        <v>11.994</v>
      </c>
      <c r="R13" s="2">
        <f>R12-B12</f>
        <v>17.177999999999997</v>
      </c>
      <c r="S13" s="2">
        <f>S12-B12</f>
        <v>10.01400000000001</v>
      </c>
      <c r="T13" s="2">
        <f>T12-B12</f>
        <v>5.7870000000000061</v>
      </c>
    </row>
    <row r="14" spans="1:20" x14ac:dyDescent="0.2">
      <c r="A14" s="2" t="s">
        <v>5</v>
      </c>
      <c r="C14" s="2">
        <v>6.6059999999999999</v>
      </c>
      <c r="D14" s="2">
        <v>3.161</v>
      </c>
      <c r="E14" s="2">
        <v>8.4960000000000004</v>
      </c>
      <c r="F14" s="2">
        <v>2.7549999999999999</v>
      </c>
      <c r="G14" s="2">
        <v>2.4009999999999998</v>
      </c>
      <c r="H14" s="2">
        <v>2.17</v>
      </c>
      <c r="I14" s="2">
        <v>1.9850000000000001</v>
      </c>
      <c r="J14" s="2">
        <v>1.8260000000000001</v>
      </c>
      <c r="K14" s="2">
        <v>1.84</v>
      </c>
      <c r="L14" s="2">
        <v>2.415</v>
      </c>
      <c r="M14" s="2">
        <v>2.4510000000000001</v>
      </c>
      <c r="N14" s="2">
        <v>2.3820000000000001</v>
      </c>
      <c r="O14" s="2">
        <v>2.3140000000000001</v>
      </c>
      <c r="P14" s="2">
        <v>2.4380000000000002</v>
      </c>
      <c r="Q14" s="2">
        <v>2.6030000000000002</v>
      </c>
      <c r="R14" s="2">
        <v>1.966</v>
      </c>
      <c r="S14" s="2">
        <v>2.504</v>
      </c>
      <c r="T14" s="2">
        <v>2.0089999999999999</v>
      </c>
    </row>
    <row r="15" spans="1:20" x14ac:dyDescent="0.2">
      <c r="A15" s="2" t="s">
        <v>251</v>
      </c>
      <c r="D15" s="2">
        <f t="shared" ref="D15:T15" si="1">D13/15.105</f>
        <v>1.0128434293280375</v>
      </c>
      <c r="E15" s="2">
        <f t="shared" si="1"/>
        <v>1.0513737173121482</v>
      </c>
      <c r="F15" s="2">
        <f t="shared" si="1"/>
        <v>1.5318768619662371</v>
      </c>
      <c r="G15" s="2">
        <f t="shared" si="1"/>
        <v>3.4983118172790473</v>
      </c>
      <c r="H15" s="2">
        <f t="shared" si="1"/>
        <v>3.8316451506123785</v>
      </c>
      <c r="I15" s="2">
        <f t="shared" si="1"/>
        <v>3.6842105263157898</v>
      </c>
      <c r="J15" s="2">
        <f t="shared" si="1"/>
        <v>1.7169811320754718</v>
      </c>
      <c r="K15" s="2">
        <f t="shared" si="1"/>
        <v>2.4149619331347241</v>
      </c>
      <c r="L15" s="2">
        <f t="shared" si="1"/>
        <v>5.8660708374710362</v>
      </c>
      <c r="M15" s="2">
        <f t="shared" si="1"/>
        <v>4.768023833167824</v>
      </c>
      <c r="N15" s="2">
        <f t="shared" si="1"/>
        <v>1.5665011585567696</v>
      </c>
      <c r="O15" s="2">
        <f t="shared" si="1"/>
        <v>1.8025819265143996</v>
      </c>
      <c r="P15" s="2">
        <f t="shared" si="1"/>
        <v>3.1884806355511421</v>
      </c>
      <c r="Q15" s="2">
        <f t="shared" si="1"/>
        <v>0.79404170804369412</v>
      </c>
      <c r="R15" s="2">
        <f t="shared" si="1"/>
        <v>1.1372393247269115</v>
      </c>
      <c r="S15" s="2">
        <f t="shared" si="1"/>
        <v>0.66295928500496593</v>
      </c>
      <c r="T15" s="2">
        <f t="shared" si="1"/>
        <v>0.38311817279046712</v>
      </c>
    </row>
    <row r="17" spans="1:14" s="27" customFormat="1" x14ac:dyDescent="0.2">
      <c r="A17" s="27" t="s">
        <v>14</v>
      </c>
      <c r="B17" s="27" t="s">
        <v>262</v>
      </c>
      <c r="C17" s="27" t="s">
        <v>263</v>
      </c>
      <c r="D17" s="27" t="s">
        <v>254</v>
      </c>
    </row>
    <row r="18" spans="1:14" x14ac:dyDescent="0.2">
      <c r="A18" s="2" t="s">
        <v>253</v>
      </c>
      <c r="B18" s="2">
        <v>215.83799999999999</v>
      </c>
      <c r="C18" s="2">
        <v>247.035</v>
      </c>
      <c r="D18" s="2">
        <v>235.73</v>
      </c>
      <c r="E18" s="2">
        <v>252.125</v>
      </c>
      <c r="F18" s="2">
        <v>244.047</v>
      </c>
      <c r="G18" s="2">
        <v>240.5</v>
      </c>
      <c r="H18" s="2">
        <v>273.61700000000002</v>
      </c>
      <c r="I18" s="2">
        <v>256.87099999999998</v>
      </c>
      <c r="J18" s="2">
        <v>251.49199999999999</v>
      </c>
      <c r="K18" s="2">
        <v>233.64099999999999</v>
      </c>
      <c r="L18" s="2">
        <v>236.809</v>
      </c>
      <c r="M18" s="2">
        <v>231.352</v>
      </c>
      <c r="N18" s="2">
        <v>236.512</v>
      </c>
    </row>
    <row r="19" spans="1:14" x14ac:dyDescent="0.2">
      <c r="A19" s="2" t="s">
        <v>252</v>
      </c>
      <c r="C19" s="2">
        <f>C18-B18</f>
        <v>31.197000000000003</v>
      </c>
      <c r="D19" s="2">
        <f>D18-B18</f>
        <v>19.891999999999996</v>
      </c>
      <c r="E19" s="2">
        <f>E18-B18</f>
        <v>36.287000000000006</v>
      </c>
      <c r="F19" s="2">
        <f>F18-B18</f>
        <v>28.209000000000003</v>
      </c>
      <c r="G19" s="2">
        <f>G18-B18</f>
        <v>24.662000000000006</v>
      </c>
      <c r="H19" s="2">
        <f>H18-B18</f>
        <v>57.779000000000025</v>
      </c>
      <c r="I19" s="2">
        <f>I18-B18</f>
        <v>41.032999999999987</v>
      </c>
      <c r="J19" s="2">
        <f>J18-B18</f>
        <v>35.653999999999996</v>
      </c>
      <c r="K19" s="2">
        <f>K18-B18</f>
        <v>17.802999999999997</v>
      </c>
      <c r="L19" s="2">
        <f>L18-B18</f>
        <v>20.971000000000004</v>
      </c>
      <c r="M19" s="2">
        <f>M18-B18</f>
        <v>15.51400000000001</v>
      </c>
      <c r="N19" s="2">
        <f>N18-B18</f>
        <v>20.674000000000007</v>
      </c>
    </row>
    <row r="20" spans="1:14" x14ac:dyDescent="0.2">
      <c r="A20" s="2" t="s">
        <v>31</v>
      </c>
      <c r="C20" s="2">
        <v>2.3149999999999999</v>
      </c>
      <c r="D20" s="2">
        <v>2.41</v>
      </c>
      <c r="E20" s="2">
        <v>2.1640000000000001</v>
      </c>
      <c r="F20" s="2">
        <v>1.9570000000000001</v>
      </c>
      <c r="G20" s="2">
        <v>3.3380000000000001</v>
      </c>
      <c r="H20" s="2">
        <v>2.4329999999999998</v>
      </c>
      <c r="I20" s="2">
        <v>2.1440000000000001</v>
      </c>
      <c r="J20" s="2">
        <v>2.5339999999999998</v>
      </c>
      <c r="K20" s="2">
        <v>2.3319999999999999</v>
      </c>
      <c r="L20" s="2">
        <v>1.873</v>
      </c>
      <c r="M20" s="2">
        <v>2.2629999999999999</v>
      </c>
      <c r="N20" s="2">
        <v>1.921</v>
      </c>
    </row>
    <row r="21" spans="1:14" x14ac:dyDescent="0.2">
      <c r="A21" s="2" t="s">
        <v>6</v>
      </c>
      <c r="C21" s="2">
        <f t="shared" ref="C21:N21" si="2">SQRT(1+ C20^2)</f>
        <v>2.5217503841577975</v>
      </c>
      <c r="D21" s="2">
        <f t="shared" si="2"/>
        <v>2.6092336039534674</v>
      </c>
      <c r="E21" s="2">
        <f t="shared" si="2"/>
        <v>2.3838825474423024</v>
      </c>
      <c r="F21" s="2">
        <f t="shared" si="2"/>
        <v>2.1976917436255703</v>
      </c>
      <c r="G21" s="2">
        <f t="shared" si="2"/>
        <v>3.4845722836526147</v>
      </c>
      <c r="H21" s="2">
        <f t="shared" si="2"/>
        <v>2.6304921592736217</v>
      </c>
      <c r="I21" s="2">
        <f t="shared" si="2"/>
        <v>2.3657421668474359</v>
      </c>
      <c r="J21" s="2">
        <f t="shared" si="2"/>
        <v>2.7241798765867129</v>
      </c>
      <c r="K21" s="2">
        <f t="shared" si="2"/>
        <v>2.5373655629412171</v>
      </c>
      <c r="L21" s="2">
        <f t="shared" si="2"/>
        <v>2.1232355027174918</v>
      </c>
      <c r="M21" s="2">
        <f t="shared" si="2"/>
        <v>2.4740996342103929</v>
      </c>
      <c r="N21" s="2">
        <f t="shared" si="2"/>
        <v>2.1656964237861227</v>
      </c>
    </row>
    <row r="22" spans="1:14" x14ac:dyDescent="0.2">
      <c r="A22" s="2" t="s">
        <v>251</v>
      </c>
      <c r="D22" s="2">
        <f t="shared" ref="D22:N22" si="3">D19/15.105</f>
        <v>1.3169149288315125</v>
      </c>
      <c r="E22" s="2">
        <f t="shared" si="3"/>
        <v>2.4023171135385639</v>
      </c>
      <c r="F22" s="2">
        <f t="shared" si="3"/>
        <v>1.8675273088381332</v>
      </c>
      <c r="G22" s="2">
        <f t="shared" si="3"/>
        <v>1.6327044025157236</v>
      </c>
      <c r="H22" s="2">
        <f t="shared" si="3"/>
        <v>3.8251572327044041</v>
      </c>
      <c r="I22" s="2">
        <f t="shared" si="3"/>
        <v>2.7165177093677579</v>
      </c>
      <c r="J22" s="2">
        <f t="shared" si="3"/>
        <v>2.3604104601125453</v>
      </c>
      <c r="K22" s="2">
        <f t="shared" si="3"/>
        <v>1.1786163522012576</v>
      </c>
      <c r="L22" s="2">
        <f t="shared" si="3"/>
        <v>1.3883482290632243</v>
      </c>
      <c r="M22" s="2">
        <f t="shared" si="3"/>
        <v>1.0270771267792129</v>
      </c>
      <c r="N22" s="2">
        <f t="shared" si="3"/>
        <v>1.3686858656074152</v>
      </c>
    </row>
    <row r="24" spans="1:14" s="27" customFormat="1" x14ac:dyDescent="0.2">
      <c r="A24" s="27" t="s">
        <v>15</v>
      </c>
      <c r="B24" s="27" t="s">
        <v>262</v>
      </c>
      <c r="C24" s="27" t="s">
        <v>254</v>
      </c>
    </row>
    <row r="25" spans="1:14" x14ac:dyDescent="0.2">
      <c r="A25" s="2" t="s">
        <v>261</v>
      </c>
      <c r="B25" s="2">
        <v>215.83799999999999</v>
      </c>
      <c r="C25" s="2">
        <v>228.62899999999999</v>
      </c>
      <c r="D25" s="2">
        <v>241.434</v>
      </c>
      <c r="E25" s="2">
        <v>242.82400000000001</v>
      </c>
      <c r="F25" s="2">
        <v>248.23400000000001</v>
      </c>
      <c r="G25" s="2">
        <v>258.57799999999997</v>
      </c>
      <c r="H25" s="2">
        <v>243.24199999999999</v>
      </c>
      <c r="I25" s="2">
        <v>226.51599999999999</v>
      </c>
    </row>
    <row r="26" spans="1:14" x14ac:dyDescent="0.2">
      <c r="A26" s="2" t="s">
        <v>252</v>
      </c>
      <c r="C26" s="2">
        <f>C25-B25</f>
        <v>12.790999999999997</v>
      </c>
      <c r="D26" s="2">
        <f>D25-B25</f>
        <v>25.596000000000004</v>
      </c>
      <c r="E26" s="2">
        <f>E25-B25</f>
        <v>26.986000000000018</v>
      </c>
      <c r="F26" s="2">
        <f>F25-B25</f>
        <v>32.396000000000015</v>
      </c>
      <c r="G26" s="2">
        <f>G25-B25</f>
        <v>42.739999999999981</v>
      </c>
      <c r="H26" s="2">
        <f>H25-B25</f>
        <v>27.403999999999996</v>
      </c>
      <c r="I26" s="2">
        <f>I25-B25</f>
        <v>10.677999999999997</v>
      </c>
    </row>
    <row r="27" spans="1:14" x14ac:dyDescent="0.2">
      <c r="A27" s="2" t="s">
        <v>31</v>
      </c>
      <c r="C27" s="2">
        <v>3.1179999999999999</v>
      </c>
      <c r="D27" s="2">
        <v>2.7850000000000001</v>
      </c>
      <c r="E27" s="2">
        <v>0.749</v>
      </c>
      <c r="F27" s="2">
        <v>0.99299999999999999</v>
      </c>
      <c r="G27" s="2">
        <v>2.08</v>
      </c>
      <c r="H27" s="2">
        <v>2.1709999999999998</v>
      </c>
      <c r="I27" s="2">
        <v>1.6619999999999999</v>
      </c>
    </row>
    <row r="28" spans="1:14" x14ac:dyDescent="0.2">
      <c r="A28" s="2" t="s">
        <v>17</v>
      </c>
      <c r="C28" s="2">
        <f t="shared" ref="C28:I28" si="4">SQRT(4 + C27^2)</f>
        <v>3.704311541973758</v>
      </c>
      <c r="D28" s="2">
        <f t="shared" si="4"/>
        <v>3.4287351895414728</v>
      </c>
      <c r="E28" s="2">
        <f t="shared" si="4"/>
        <v>2.135650018144359</v>
      </c>
      <c r="F28" s="2">
        <f t="shared" si="4"/>
        <v>2.2329462599892547</v>
      </c>
      <c r="G28" s="2">
        <f t="shared" si="4"/>
        <v>2.8855502074994295</v>
      </c>
      <c r="H28" s="2">
        <f t="shared" si="4"/>
        <v>2.9518199470834938</v>
      </c>
      <c r="I28" s="2">
        <f t="shared" si="4"/>
        <v>2.6004315026548959</v>
      </c>
    </row>
    <row r="29" spans="1:14" x14ac:dyDescent="0.2">
      <c r="A29" s="2" t="s">
        <v>251</v>
      </c>
      <c r="C29" s="2">
        <f t="shared" ref="C29:I29" si="5">C26/15.105</f>
        <v>0.84680569347898027</v>
      </c>
      <c r="D29" s="2">
        <f t="shared" si="5"/>
        <v>1.6945382323733864</v>
      </c>
      <c r="E29" s="2">
        <f t="shared" si="5"/>
        <v>1.7865607414763336</v>
      </c>
      <c r="F29" s="2">
        <f t="shared" si="5"/>
        <v>2.1447202912942744</v>
      </c>
      <c r="G29" s="2">
        <f t="shared" si="5"/>
        <v>2.8295266468056921</v>
      </c>
      <c r="H29" s="2">
        <f t="shared" si="5"/>
        <v>1.8142336974511748</v>
      </c>
      <c r="I29" s="2">
        <f t="shared" si="5"/>
        <v>0.70691823899371053</v>
      </c>
    </row>
    <row r="31" spans="1:14" s="27" customFormat="1" x14ac:dyDescent="0.2">
      <c r="A31" s="27" t="s">
        <v>16</v>
      </c>
      <c r="B31" s="27" t="s">
        <v>256</v>
      </c>
      <c r="C31" s="27" t="s">
        <v>254</v>
      </c>
    </row>
    <row r="32" spans="1:14" x14ac:dyDescent="0.2">
      <c r="A32" s="2" t="s">
        <v>253</v>
      </c>
      <c r="B32" s="2">
        <v>215.83799999999999</v>
      </c>
      <c r="C32" s="2">
        <v>224.898</v>
      </c>
      <c r="D32" s="2">
        <v>225.74199999999999</v>
      </c>
    </row>
    <row r="33" spans="1:4" x14ac:dyDescent="0.2">
      <c r="A33" s="2" t="s">
        <v>252</v>
      </c>
      <c r="C33" s="2">
        <f>C32-B32</f>
        <v>9.0600000000000023</v>
      </c>
      <c r="D33" s="2">
        <f>D32-B32</f>
        <v>9.9039999999999964</v>
      </c>
    </row>
    <row r="34" spans="1:4" x14ac:dyDescent="0.2">
      <c r="A34" s="2" t="s">
        <v>31</v>
      </c>
      <c r="C34" s="2">
        <v>1.8540000000000001</v>
      </c>
      <c r="D34" s="2">
        <v>1.2390000000000001</v>
      </c>
    </row>
    <row r="35" spans="1:4" x14ac:dyDescent="0.2">
      <c r="A35" s="2" t="s">
        <v>17</v>
      </c>
      <c r="C35" s="2">
        <f>SQRT(9+C34^2)</f>
        <v>3.5266579079916442</v>
      </c>
      <c r="D35" s="2">
        <f>SQRT(9+D34^2)</f>
        <v>3.2457851130350575</v>
      </c>
    </row>
    <row r="36" spans="1:4" x14ac:dyDescent="0.2">
      <c r="A36" s="2" t="s">
        <v>251</v>
      </c>
      <c r="C36" s="2">
        <f>C33/15.105</f>
        <v>0.59980139026812329</v>
      </c>
      <c r="D36" s="2">
        <f>D33/15.105</f>
        <v>0.65567692816948009</v>
      </c>
    </row>
    <row r="39" spans="1:4" x14ac:dyDescent="0.2">
      <c r="A39" s="2" t="s">
        <v>260</v>
      </c>
      <c r="B39" s="2">
        <f>AVERAGE(C19,C13:E13,C7)</f>
        <v>15.105</v>
      </c>
    </row>
    <row r="40" spans="1:4" x14ac:dyDescent="0.2">
      <c r="A40" s="2" t="s">
        <v>259</v>
      </c>
      <c r="B40" s="2">
        <v>46.037999999999997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A7ED-E9B9-F14E-8CDC-6E5E740F0495}">
  <dimension ref="A1:O60"/>
  <sheetViews>
    <sheetView workbookViewId="0">
      <selection activeCell="O46" sqref="O46"/>
    </sheetView>
  </sheetViews>
  <sheetFormatPr baseColWidth="10" defaultColWidth="8.83203125" defaultRowHeight="15" x14ac:dyDescent="0.2"/>
  <cols>
    <col min="1" max="1" width="17.83203125" customWidth="1"/>
    <col min="2" max="2" width="18.6640625" customWidth="1"/>
    <col min="3" max="4" width="10.83203125" customWidth="1"/>
    <col min="5" max="6" width="10.6640625" customWidth="1"/>
  </cols>
  <sheetData>
    <row r="1" spans="1:7" x14ac:dyDescent="0.2">
      <c r="A1" t="s">
        <v>271</v>
      </c>
    </row>
    <row r="2" spans="1:7" s="1" customFormat="1" x14ac:dyDescent="0.2">
      <c r="A2" s="1" t="s">
        <v>11</v>
      </c>
      <c r="B2" s="1" t="s">
        <v>256</v>
      </c>
      <c r="C2" s="1" t="s">
        <v>254</v>
      </c>
    </row>
    <row r="3" spans="1:7" x14ac:dyDescent="0.2">
      <c r="A3" t="s">
        <v>253</v>
      </c>
      <c r="B3">
        <v>211.334</v>
      </c>
      <c r="C3">
        <v>263.72699999999998</v>
      </c>
      <c r="D3">
        <v>228.172</v>
      </c>
      <c r="E3">
        <v>235.86699999999999</v>
      </c>
    </row>
    <row r="4" spans="1:7" x14ac:dyDescent="0.2">
      <c r="A4" t="s">
        <v>252</v>
      </c>
      <c r="C4">
        <f>C3-B3</f>
        <v>52.392999999999972</v>
      </c>
      <c r="D4">
        <f>D3-B3</f>
        <v>16.837999999999994</v>
      </c>
      <c r="E4">
        <f>E3-B3</f>
        <v>24.532999999999987</v>
      </c>
    </row>
    <row r="5" spans="1:7" x14ac:dyDescent="0.2">
      <c r="A5" t="s">
        <v>31</v>
      </c>
      <c r="C5">
        <v>2.9209999999999998</v>
      </c>
      <c r="D5">
        <v>1.9410000000000001</v>
      </c>
      <c r="E5">
        <v>2.3460000000000001</v>
      </c>
    </row>
    <row r="6" spans="1:7" x14ac:dyDescent="0.2">
      <c r="A6" t="s">
        <v>17</v>
      </c>
      <c r="C6">
        <f>SQRT(9+C5^2)</f>
        <v>4.1871518959789364</v>
      </c>
      <c r="D6">
        <f>SQRT(9+D5^2)</f>
        <v>3.5731612054314033</v>
      </c>
      <c r="E6">
        <f>SQRT(9+E5^2)</f>
        <v>3.8083744563789943</v>
      </c>
    </row>
    <row r="7" spans="1:7" x14ac:dyDescent="0.2">
      <c r="A7" t="s">
        <v>10</v>
      </c>
      <c r="C7">
        <f>C4/25.5905</f>
        <v>2.047361325491881</v>
      </c>
      <c r="D7">
        <f>D4/25.5905</f>
        <v>0.65797854672632405</v>
      </c>
      <c r="E7">
        <f>E4/25.5905</f>
        <v>0.95867607119829579</v>
      </c>
    </row>
    <row r="9" spans="1:7" s="1" customFormat="1" x14ac:dyDescent="0.2">
      <c r="A9" s="1" t="s">
        <v>29</v>
      </c>
      <c r="B9" s="1" t="s">
        <v>2</v>
      </c>
      <c r="C9" s="1" t="s">
        <v>23</v>
      </c>
      <c r="D9" s="1" t="s">
        <v>254</v>
      </c>
    </row>
    <row r="10" spans="1:7" x14ac:dyDescent="0.2">
      <c r="A10" t="s">
        <v>253</v>
      </c>
      <c r="B10">
        <v>211.334</v>
      </c>
      <c r="C10">
        <v>231.477</v>
      </c>
      <c r="D10">
        <v>254.465</v>
      </c>
      <c r="E10">
        <v>306.37900000000002</v>
      </c>
      <c r="F10">
        <v>257.11700000000002</v>
      </c>
      <c r="G10">
        <v>264.56200000000001</v>
      </c>
    </row>
    <row r="11" spans="1:7" x14ac:dyDescent="0.2">
      <c r="A11" t="s">
        <v>252</v>
      </c>
      <c r="C11">
        <f>C10-B10</f>
        <v>20.143000000000001</v>
      </c>
      <c r="D11">
        <f>D10-B10</f>
        <v>43.131</v>
      </c>
      <c r="E11">
        <f>E10-B10</f>
        <v>95.045000000000016</v>
      </c>
      <c r="F11">
        <f>F10-B10</f>
        <v>45.783000000000015</v>
      </c>
      <c r="G11">
        <f>G10-B10</f>
        <v>53.228000000000009</v>
      </c>
    </row>
    <row r="12" spans="1:7" x14ac:dyDescent="0.2">
      <c r="A12" t="s">
        <v>31</v>
      </c>
      <c r="C12">
        <v>0.42399999999999999</v>
      </c>
      <c r="D12">
        <v>1.748</v>
      </c>
      <c r="E12">
        <v>2.5099999999999998</v>
      </c>
      <c r="F12">
        <v>2.6320000000000001</v>
      </c>
      <c r="G12">
        <v>2.9670000000000001</v>
      </c>
    </row>
    <row r="13" spans="1:7" x14ac:dyDescent="0.2">
      <c r="A13" t="s">
        <v>17</v>
      </c>
      <c r="C13">
        <f>SQRT(4+C12^2)</f>
        <v>2.0444500483014987</v>
      </c>
      <c r="D13">
        <f>SQRT(4+D12^2)</f>
        <v>2.656219870417357</v>
      </c>
      <c r="E13">
        <f>SQRT(4+E12^2)</f>
        <v>3.2093768865622496</v>
      </c>
      <c r="F13">
        <f>SQRT(4+F12^2)</f>
        <v>3.3056654398169214</v>
      </c>
      <c r="G13">
        <f>SQRT(4+G12^2)</f>
        <v>3.5781404388313214</v>
      </c>
    </row>
    <row r="14" spans="1:7" x14ac:dyDescent="0.2">
      <c r="A14" t="s">
        <v>10</v>
      </c>
      <c r="D14">
        <f>D11/25.5905</f>
        <v>1.6854301400910494</v>
      </c>
      <c r="E14">
        <f>E11/25.5905</f>
        <v>3.7140735819933188</v>
      </c>
      <c r="F14">
        <f>F11/25.5905</f>
        <v>1.7890623473554645</v>
      </c>
      <c r="G14">
        <f>G11/25.5905</f>
        <v>2.079990621519705</v>
      </c>
    </row>
    <row r="16" spans="1:7" s="1" customFormat="1" x14ac:dyDescent="0.2">
      <c r="A16" s="1" t="s">
        <v>13</v>
      </c>
      <c r="B16" s="1" t="s">
        <v>2</v>
      </c>
      <c r="C16" s="1" t="s">
        <v>23</v>
      </c>
      <c r="F16" s="1" t="s">
        <v>254</v>
      </c>
    </row>
    <row r="17" spans="1:14" x14ac:dyDescent="0.2">
      <c r="A17" t="s">
        <v>253</v>
      </c>
      <c r="B17">
        <v>211.334</v>
      </c>
      <c r="C17">
        <v>229.53100000000001</v>
      </c>
      <c r="D17">
        <v>251.34</v>
      </c>
      <c r="E17">
        <v>284.08699999999999</v>
      </c>
      <c r="F17">
        <v>269.90600000000001</v>
      </c>
      <c r="G17">
        <v>310.12900000000002</v>
      </c>
      <c r="H17">
        <v>321.90600000000001</v>
      </c>
      <c r="I17">
        <v>280.43</v>
      </c>
      <c r="J17">
        <v>343.27</v>
      </c>
    </row>
    <row r="18" spans="1:14" x14ac:dyDescent="0.2">
      <c r="A18" t="s">
        <v>252</v>
      </c>
      <c r="C18">
        <f>C17-B17</f>
        <v>18.197000000000003</v>
      </c>
      <c r="D18">
        <f>D17-B17</f>
        <v>40.006</v>
      </c>
      <c r="E18">
        <f>E17-B17</f>
        <v>72.752999999999986</v>
      </c>
      <c r="F18">
        <f>F17-B17</f>
        <v>58.572000000000003</v>
      </c>
      <c r="G18">
        <f>G17-B17</f>
        <v>98.795000000000016</v>
      </c>
      <c r="H18">
        <f>H17-B17</f>
        <v>110.572</v>
      </c>
      <c r="I18">
        <f>I17-B17</f>
        <v>69.096000000000004</v>
      </c>
      <c r="J18">
        <f>J17-B17</f>
        <v>131.93599999999998</v>
      </c>
    </row>
    <row r="19" spans="1:14" x14ac:dyDescent="0.2">
      <c r="A19" t="s">
        <v>31</v>
      </c>
      <c r="C19">
        <v>2.3919999999999999</v>
      </c>
      <c r="D19">
        <v>0.59799999999999998</v>
      </c>
      <c r="E19">
        <v>0.57599999999999996</v>
      </c>
      <c r="F19">
        <v>1.847</v>
      </c>
      <c r="G19">
        <v>1.7529999999999999</v>
      </c>
      <c r="H19">
        <v>2.3660000000000001</v>
      </c>
      <c r="I19">
        <v>2.7240000000000002</v>
      </c>
      <c r="J19">
        <v>2.8220000000000001</v>
      </c>
    </row>
    <row r="20" spans="1:14" x14ac:dyDescent="0.2">
      <c r="A20" t="s">
        <v>17</v>
      </c>
      <c r="C20">
        <f t="shared" ref="C20:J20" si="0">SQRT(1+C19^2)</f>
        <v>2.5926172104651313</v>
      </c>
      <c r="D20">
        <f t="shared" si="0"/>
        <v>1.1651626495901763</v>
      </c>
      <c r="E20">
        <f t="shared" si="0"/>
        <v>1.154025996240986</v>
      </c>
      <c r="F20">
        <f t="shared" si="0"/>
        <v>2.1003354493985</v>
      </c>
      <c r="G20">
        <f t="shared" si="0"/>
        <v>2.0181697153609255</v>
      </c>
      <c r="H20">
        <f t="shared" si="0"/>
        <v>2.5686486719674222</v>
      </c>
      <c r="I20">
        <f t="shared" si="0"/>
        <v>2.9017539523536451</v>
      </c>
      <c r="J20">
        <f t="shared" si="0"/>
        <v>2.9939412151877667</v>
      </c>
    </row>
    <row r="21" spans="1:14" x14ac:dyDescent="0.2">
      <c r="A21" t="s">
        <v>10</v>
      </c>
      <c r="D21">
        <f t="shared" ref="D21:J21" si="1">D18/25.5905</f>
        <v>1.5633145112444071</v>
      </c>
      <c r="E21">
        <f t="shared" si="1"/>
        <v>2.8429690705535253</v>
      </c>
      <c r="F21">
        <f t="shared" si="1"/>
        <v>2.288818116097771</v>
      </c>
      <c r="G21">
        <f t="shared" si="1"/>
        <v>3.8606123366092895</v>
      </c>
      <c r="H21">
        <f t="shared" si="1"/>
        <v>4.3208221801058988</v>
      </c>
      <c r="I21">
        <f t="shared" si="1"/>
        <v>2.7000644770520315</v>
      </c>
      <c r="J21">
        <f t="shared" si="1"/>
        <v>5.1556632344033915</v>
      </c>
    </row>
    <row r="23" spans="1:14" s="1" customFormat="1" x14ac:dyDescent="0.2">
      <c r="A23" s="1" t="s">
        <v>270</v>
      </c>
      <c r="B23" s="1" t="s">
        <v>2</v>
      </c>
      <c r="C23" s="1" t="s">
        <v>23</v>
      </c>
      <c r="F23" s="1" t="s">
        <v>254</v>
      </c>
    </row>
    <row r="24" spans="1:14" x14ac:dyDescent="0.2">
      <c r="A24" t="s">
        <v>253</v>
      </c>
      <c r="B24">
        <v>211.334</v>
      </c>
      <c r="C24">
        <v>232.40199999999999</v>
      </c>
      <c r="D24">
        <v>238.02699999999999</v>
      </c>
      <c r="E24">
        <v>230.80500000000001</v>
      </c>
      <c r="F24">
        <v>267.82</v>
      </c>
      <c r="G24">
        <v>253.94900000000001</v>
      </c>
      <c r="H24">
        <v>242.523</v>
      </c>
      <c r="I24">
        <v>277.38299999999998</v>
      </c>
      <c r="J24">
        <v>278.60199999999998</v>
      </c>
      <c r="K24">
        <v>279.99599999999998</v>
      </c>
      <c r="L24">
        <v>273.64499999999998</v>
      </c>
      <c r="M24">
        <v>282.67200000000003</v>
      </c>
      <c r="N24">
        <v>254.02</v>
      </c>
    </row>
    <row r="25" spans="1:14" x14ac:dyDescent="0.2">
      <c r="A25" t="s">
        <v>252</v>
      </c>
      <c r="C25">
        <f>C24-B24</f>
        <v>21.067999999999984</v>
      </c>
      <c r="D25">
        <f>D24-B24</f>
        <v>26.692999999999984</v>
      </c>
      <c r="E25">
        <f>E24-B24</f>
        <v>19.471000000000004</v>
      </c>
      <c r="F25">
        <f>F24-B24</f>
        <v>56.48599999999999</v>
      </c>
      <c r="G25">
        <f>G24-B24</f>
        <v>42.615000000000009</v>
      </c>
      <c r="H25">
        <f>H24-B24</f>
        <v>31.188999999999993</v>
      </c>
      <c r="I25">
        <f>I24-B24</f>
        <v>66.048999999999978</v>
      </c>
      <c r="J25">
        <f>J24-B24</f>
        <v>67.267999999999972</v>
      </c>
      <c r="K25">
        <f>K24-B24</f>
        <v>68.661999999999978</v>
      </c>
      <c r="L25">
        <f>L24-B24</f>
        <v>62.310999999999979</v>
      </c>
      <c r="M25">
        <f>M24-B24</f>
        <v>71.338000000000022</v>
      </c>
      <c r="N25">
        <f>N24-B24</f>
        <v>42.686000000000007</v>
      </c>
    </row>
    <row r="26" spans="1:14" x14ac:dyDescent="0.2">
      <c r="A26" t="s">
        <v>5</v>
      </c>
      <c r="C26">
        <v>1.7110000000000001</v>
      </c>
      <c r="D26">
        <v>4.0060000000000002</v>
      </c>
      <c r="E26">
        <v>1.204</v>
      </c>
      <c r="F26">
        <v>0.67900000000000005</v>
      </c>
      <c r="G26">
        <v>0.59799999999999998</v>
      </c>
      <c r="H26">
        <v>2.57</v>
      </c>
      <c r="I26">
        <v>3.3210000000000002</v>
      </c>
      <c r="J26">
        <v>2.3039999999999998</v>
      </c>
      <c r="K26">
        <v>2.774</v>
      </c>
      <c r="L26">
        <v>2.2200000000000002</v>
      </c>
      <c r="M26">
        <v>1.921</v>
      </c>
      <c r="N26">
        <v>2.2400000000000002</v>
      </c>
    </row>
    <row r="28" spans="1:14" x14ac:dyDescent="0.2">
      <c r="A28" t="s">
        <v>10</v>
      </c>
      <c r="D28">
        <f t="shared" ref="D28:N28" si="2">D25/25.5905</f>
        <v>1.0430823938570948</v>
      </c>
      <c r="E28">
        <f t="shared" si="2"/>
        <v>0.76086829096735131</v>
      </c>
      <c r="F28">
        <f t="shared" si="2"/>
        <v>2.2073034915300598</v>
      </c>
      <c r="G28">
        <f t="shared" si="2"/>
        <v>1.6652664074558923</v>
      </c>
      <c r="H28">
        <f t="shared" si="2"/>
        <v>1.2187725913913363</v>
      </c>
      <c r="I28">
        <f t="shared" si="2"/>
        <v>2.5809968543014001</v>
      </c>
      <c r="J28">
        <f t="shared" si="2"/>
        <v>2.6286317188018984</v>
      </c>
      <c r="K28">
        <f t="shared" si="2"/>
        <v>2.6831050585178087</v>
      </c>
      <c r="L28">
        <f t="shared" si="2"/>
        <v>2.4349270237002005</v>
      </c>
      <c r="M28">
        <f t="shared" si="2"/>
        <v>2.7876751138117672</v>
      </c>
      <c r="N28">
        <f t="shared" si="2"/>
        <v>1.668040874543288</v>
      </c>
    </row>
    <row r="30" spans="1:14" s="1" customFormat="1" x14ac:dyDescent="0.2">
      <c r="A30" s="1" t="s">
        <v>15</v>
      </c>
      <c r="B30" s="1" t="s">
        <v>2</v>
      </c>
      <c r="C30" s="1" t="s">
        <v>254</v>
      </c>
    </row>
    <row r="31" spans="1:14" x14ac:dyDescent="0.2">
      <c r="A31" t="s">
        <v>9</v>
      </c>
      <c r="B31">
        <v>211.334</v>
      </c>
      <c r="C31">
        <v>264.96499999999997</v>
      </c>
      <c r="D31">
        <v>295.27699999999999</v>
      </c>
      <c r="E31">
        <v>303.17200000000003</v>
      </c>
      <c r="F31">
        <v>282.91800000000001</v>
      </c>
      <c r="G31">
        <v>262.69499999999999</v>
      </c>
      <c r="H31">
        <v>263.72699999999998</v>
      </c>
      <c r="I31">
        <v>232.523</v>
      </c>
      <c r="J31">
        <v>236.05099999999999</v>
      </c>
      <c r="K31">
        <v>240.99600000000001</v>
      </c>
      <c r="L31">
        <v>256.27300000000002</v>
      </c>
      <c r="M31">
        <v>238.86699999999999</v>
      </c>
      <c r="N31">
        <v>248.12100000000001</v>
      </c>
    </row>
    <row r="32" spans="1:14" x14ac:dyDescent="0.2">
      <c r="A32" t="s">
        <v>4</v>
      </c>
      <c r="C32">
        <f>C31-B31</f>
        <v>53.630999999999972</v>
      </c>
      <c r="D32">
        <f>D31-B31</f>
        <v>83.942999999999984</v>
      </c>
      <c r="E32">
        <f>E31-B31</f>
        <v>91.838000000000022</v>
      </c>
      <c r="F32">
        <f>F31-B31</f>
        <v>71.584000000000003</v>
      </c>
      <c r="G32">
        <f>G31-B31</f>
        <v>51.36099999999999</v>
      </c>
      <c r="H32">
        <f>H31-B31</f>
        <v>52.392999999999972</v>
      </c>
      <c r="I32">
        <f>I31-B31</f>
        <v>21.188999999999993</v>
      </c>
      <c r="J32">
        <f>J31-B31</f>
        <v>24.716999999999985</v>
      </c>
      <c r="K32">
        <f>K31-B31</f>
        <v>29.662000000000006</v>
      </c>
      <c r="L32">
        <f>L31-B31</f>
        <v>44.939000000000021</v>
      </c>
      <c r="M32">
        <f>M31-B31</f>
        <v>27.532999999999987</v>
      </c>
      <c r="N32">
        <f>N31-B31</f>
        <v>36.787000000000006</v>
      </c>
    </row>
    <row r="33" spans="1:15" x14ac:dyDescent="0.2">
      <c r="A33" t="s">
        <v>5</v>
      </c>
      <c r="C33">
        <v>4.1029999999999998</v>
      </c>
      <c r="D33">
        <v>3.3140000000000001</v>
      </c>
      <c r="E33">
        <v>2.5550000000000002</v>
      </c>
      <c r="F33">
        <v>2.6680000000000001</v>
      </c>
      <c r="G33">
        <v>1.7490000000000001</v>
      </c>
      <c r="H33">
        <v>1.218</v>
      </c>
      <c r="I33">
        <v>1.4810000000000001</v>
      </c>
      <c r="J33">
        <v>1.0740000000000001</v>
      </c>
      <c r="K33">
        <v>2.1989999999999998</v>
      </c>
      <c r="L33">
        <v>1.8680000000000001</v>
      </c>
      <c r="M33">
        <v>2.1309999999999998</v>
      </c>
      <c r="N33">
        <v>2.2999999999999998</v>
      </c>
    </row>
    <row r="34" spans="1:15" x14ac:dyDescent="0.2">
      <c r="A34" t="s">
        <v>17</v>
      </c>
      <c r="C34">
        <f t="shared" ref="C34:N34" si="3">SQRT(1+ C33^2)</f>
        <v>4.2231041900478843</v>
      </c>
      <c r="D34">
        <f t="shared" si="3"/>
        <v>3.4615886526275768</v>
      </c>
      <c r="E34">
        <f t="shared" si="3"/>
        <v>2.74372465819732</v>
      </c>
      <c r="F34">
        <f t="shared" si="3"/>
        <v>2.8492497258050236</v>
      </c>
      <c r="G34">
        <f t="shared" si="3"/>
        <v>2.0146962550220815</v>
      </c>
      <c r="H34">
        <f t="shared" si="3"/>
        <v>1.5759200487334375</v>
      </c>
      <c r="I34">
        <f t="shared" si="3"/>
        <v>1.7869977616102377</v>
      </c>
      <c r="J34">
        <f t="shared" si="3"/>
        <v>1.4674726573261938</v>
      </c>
      <c r="K34">
        <f t="shared" si="3"/>
        <v>2.4156988636831369</v>
      </c>
      <c r="L34">
        <f t="shared" si="3"/>
        <v>2.1188260900791271</v>
      </c>
      <c r="M34">
        <f t="shared" si="3"/>
        <v>2.3539670770849788</v>
      </c>
      <c r="N34">
        <f t="shared" si="3"/>
        <v>2.5079872407968904</v>
      </c>
    </row>
    <row r="35" spans="1:15" x14ac:dyDescent="0.2">
      <c r="A35" t="s">
        <v>10</v>
      </c>
      <c r="C35">
        <f t="shared" ref="C35:N35" si="4">C32/25.5905</f>
        <v>2.0957386530157667</v>
      </c>
      <c r="D35">
        <f t="shared" si="4"/>
        <v>3.280240714327582</v>
      </c>
      <c r="E35">
        <f t="shared" si="4"/>
        <v>3.5887536390457409</v>
      </c>
      <c r="F35">
        <f t="shared" si="4"/>
        <v>2.7972880561145739</v>
      </c>
      <c r="G35">
        <f t="shared" si="4"/>
        <v>2.0070338602215663</v>
      </c>
      <c r="H35">
        <f t="shared" si="4"/>
        <v>2.047361325491881</v>
      </c>
      <c r="I35">
        <f t="shared" si="4"/>
        <v>0.82800257908208097</v>
      </c>
      <c r="J35">
        <f t="shared" si="4"/>
        <v>0.965866239424786</v>
      </c>
      <c r="K35">
        <f t="shared" si="4"/>
        <v>1.1591020105117136</v>
      </c>
      <c r="L35">
        <f t="shared" si="4"/>
        <v>1.7560813583165638</v>
      </c>
      <c r="M35">
        <f t="shared" si="4"/>
        <v>1.0759070748910724</v>
      </c>
      <c r="N35">
        <f t="shared" si="4"/>
        <v>1.4375256442820581</v>
      </c>
    </row>
    <row r="37" spans="1:15" s="1" customFormat="1" x14ac:dyDescent="0.2">
      <c r="A37" s="1" t="s">
        <v>16</v>
      </c>
      <c r="B37" s="1" t="s">
        <v>2</v>
      </c>
      <c r="C37" s="1" t="s">
        <v>254</v>
      </c>
    </row>
    <row r="38" spans="1:15" x14ac:dyDescent="0.2">
      <c r="A38" t="s">
        <v>9</v>
      </c>
      <c r="B38">
        <v>211.334</v>
      </c>
      <c r="C38">
        <v>236.08199999999999</v>
      </c>
      <c r="D38">
        <v>233.46899999999999</v>
      </c>
      <c r="E38">
        <v>241.691</v>
      </c>
      <c r="F38">
        <v>239.25800000000001</v>
      </c>
      <c r="G38">
        <v>237.48</v>
      </c>
      <c r="H38">
        <v>244.30500000000001</v>
      </c>
      <c r="I38">
        <v>250.828</v>
      </c>
      <c r="J38">
        <v>290.24599999999998</v>
      </c>
      <c r="K38">
        <v>291.96899999999999</v>
      </c>
      <c r="L38">
        <v>304.64800000000002</v>
      </c>
      <c r="M38">
        <v>264.44099999999997</v>
      </c>
      <c r="N38">
        <v>261.17599999999999</v>
      </c>
      <c r="O38">
        <v>255.23400000000001</v>
      </c>
    </row>
    <row r="39" spans="1:15" x14ac:dyDescent="0.2">
      <c r="A39" t="s">
        <v>4</v>
      </c>
      <c r="C39">
        <f>C38-B38</f>
        <v>24.74799999999999</v>
      </c>
      <c r="D39">
        <f>D38-B38</f>
        <v>22.134999999999991</v>
      </c>
      <c r="E39">
        <f>E38-B38</f>
        <v>30.356999999999999</v>
      </c>
      <c r="F39">
        <f>F38-B38</f>
        <v>27.924000000000007</v>
      </c>
      <c r="G39">
        <f>G38-B38</f>
        <v>26.145999999999987</v>
      </c>
      <c r="H39">
        <f>H38-B38</f>
        <v>32.971000000000004</v>
      </c>
      <c r="I39">
        <f>I38-B38</f>
        <v>39.494</v>
      </c>
      <c r="J39">
        <f>J38-B38</f>
        <v>78.911999999999978</v>
      </c>
      <c r="K39">
        <f>K38-B38</f>
        <v>80.634999999999991</v>
      </c>
      <c r="L39">
        <f>L38-B38</f>
        <v>93.314000000000021</v>
      </c>
      <c r="M39">
        <f>M38-B38</f>
        <v>53.106999999999971</v>
      </c>
      <c r="N39">
        <f>N38-B38</f>
        <v>49.841999999999985</v>
      </c>
      <c r="O39">
        <f>O38-B38</f>
        <v>43.900000000000006</v>
      </c>
    </row>
    <row r="40" spans="1:15" x14ac:dyDescent="0.2">
      <c r="A40" t="s">
        <v>31</v>
      </c>
      <c r="C40">
        <v>5.7130000000000001</v>
      </c>
      <c r="D40">
        <v>5.4969999999999999</v>
      </c>
      <c r="E40">
        <v>4.6879999999999997</v>
      </c>
      <c r="F40">
        <v>4.7290000000000001</v>
      </c>
      <c r="G40">
        <v>2.246</v>
      </c>
      <c r="H40">
        <v>2.1240000000000001</v>
      </c>
      <c r="I40">
        <v>3.3580000000000001</v>
      </c>
      <c r="J40">
        <v>2.742</v>
      </c>
      <c r="K40">
        <v>2.1909999999999998</v>
      </c>
      <c r="L40">
        <v>1.8240000000000001</v>
      </c>
      <c r="M40">
        <v>0.83899999999999997</v>
      </c>
      <c r="N40">
        <v>0.50800000000000001</v>
      </c>
      <c r="O40">
        <v>0.879</v>
      </c>
    </row>
    <row r="41" spans="1:15" x14ac:dyDescent="0.2">
      <c r="A41" t="s">
        <v>6</v>
      </c>
      <c r="C41">
        <f t="shared" ref="C41:O41" si="5">SQRT(4+C40^2)</f>
        <v>6.0529636542771348</v>
      </c>
      <c r="D41">
        <f t="shared" si="5"/>
        <v>5.8495306649337255</v>
      </c>
      <c r="E41">
        <f t="shared" si="5"/>
        <v>5.0967974258351685</v>
      </c>
      <c r="F41">
        <f t="shared" si="5"/>
        <v>5.1345341560846594</v>
      </c>
      <c r="G41">
        <f t="shared" si="5"/>
        <v>3.0074101815349366</v>
      </c>
      <c r="H41">
        <f t="shared" si="5"/>
        <v>2.9174262629927772</v>
      </c>
      <c r="I41">
        <f t="shared" si="5"/>
        <v>3.9084733592542245</v>
      </c>
      <c r="J41">
        <f t="shared" si="5"/>
        <v>3.3939010003239636</v>
      </c>
      <c r="K41">
        <f t="shared" si="5"/>
        <v>2.9665604662639189</v>
      </c>
      <c r="L41">
        <f t="shared" si="5"/>
        <v>2.7068387465824411</v>
      </c>
      <c r="M41">
        <f t="shared" si="5"/>
        <v>2.1688524615565719</v>
      </c>
      <c r="N41">
        <f t="shared" si="5"/>
        <v>2.0635076932253003</v>
      </c>
      <c r="O41">
        <f t="shared" si="5"/>
        <v>2.1846374985337955</v>
      </c>
    </row>
    <row r="42" spans="1:15" x14ac:dyDescent="0.2">
      <c r="A42" t="s">
        <v>10</v>
      </c>
      <c r="C42">
        <f t="shared" ref="C42:O42" si="6">C39/25.5905</f>
        <v>0.96707762646294493</v>
      </c>
      <c r="D42">
        <f t="shared" si="6"/>
        <v>0.8649694222465365</v>
      </c>
      <c r="E42">
        <f t="shared" si="6"/>
        <v>1.1862605263672066</v>
      </c>
      <c r="F42">
        <f t="shared" si="6"/>
        <v>1.091186182372365</v>
      </c>
      <c r="G42">
        <f t="shared" si="6"/>
        <v>1.0217072741837787</v>
      </c>
      <c r="H42">
        <f t="shared" si="6"/>
        <v>1.2884078075848462</v>
      </c>
      <c r="I42">
        <f t="shared" si="6"/>
        <v>1.5433070866141734</v>
      </c>
      <c r="J42">
        <f t="shared" si="6"/>
        <v>3.0836443211347953</v>
      </c>
      <c r="K42">
        <f t="shared" si="6"/>
        <v>3.1509739942556805</v>
      </c>
      <c r="L42">
        <f t="shared" si="6"/>
        <v>3.6464312928625868</v>
      </c>
      <c r="M42">
        <f t="shared" si="6"/>
        <v>2.0752623043707614</v>
      </c>
      <c r="N42">
        <f t="shared" si="6"/>
        <v>1.9476758953517903</v>
      </c>
      <c r="O42">
        <f t="shared" si="6"/>
        <v>1.7154803540376315</v>
      </c>
    </row>
    <row r="44" spans="1:15" s="1" customFormat="1" x14ac:dyDescent="0.2">
      <c r="A44" s="1" t="s">
        <v>18</v>
      </c>
      <c r="B44" s="1" t="s">
        <v>30</v>
      </c>
      <c r="C44" s="1" t="s">
        <v>23</v>
      </c>
      <c r="E44" s="1" t="s">
        <v>254</v>
      </c>
    </row>
    <row r="45" spans="1:15" x14ac:dyDescent="0.2">
      <c r="A45" t="s">
        <v>3</v>
      </c>
      <c r="B45">
        <v>211.334</v>
      </c>
      <c r="C45">
        <v>239.191</v>
      </c>
      <c r="D45">
        <v>222.87100000000001</v>
      </c>
      <c r="E45">
        <v>254.238</v>
      </c>
      <c r="F45">
        <v>258.81599999999997</v>
      </c>
      <c r="G45">
        <v>271.19099999999997</v>
      </c>
      <c r="H45">
        <v>232.70699999999999</v>
      </c>
      <c r="I45">
        <v>233.422</v>
      </c>
      <c r="J45">
        <v>250.23</v>
      </c>
      <c r="K45">
        <v>236.24600000000001</v>
      </c>
    </row>
    <row r="46" spans="1:15" x14ac:dyDescent="0.2">
      <c r="A46" t="s">
        <v>4</v>
      </c>
      <c r="C46">
        <f>C45-B45</f>
        <v>27.856999999999999</v>
      </c>
      <c r="D46">
        <f>D45-B45</f>
        <v>11.537000000000006</v>
      </c>
      <c r="E46">
        <f>E45-B45</f>
        <v>42.903999999999996</v>
      </c>
      <c r="F46">
        <f>F45-B45</f>
        <v>47.481999999999971</v>
      </c>
      <c r="G46">
        <f>G45-B45</f>
        <v>59.856999999999971</v>
      </c>
      <c r="H46">
        <f>H45-B45</f>
        <v>21.37299999999999</v>
      </c>
      <c r="I46">
        <f>I45-B45</f>
        <v>22.087999999999994</v>
      </c>
      <c r="J46">
        <f>J45-B45</f>
        <v>38.895999999999987</v>
      </c>
      <c r="K46">
        <f>K45-B45</f>
        <v>24.912000000000006</v>
      </c>
    </row>
    <row r="47" spans="1:15" x14ac:dyDescent="0.2">
      <c r="A47" t="s">
        <v>5</v>
      </c>
      <c r="C47">
        <v>8.1270000000000007</v>
      </c>
      <c r="D47">
        <v>5.0259999999999998</v>
      </c>
      <c r="E47">
        <v>5.7619999999999996</v>
      </c>
      <c r="F47">
        <v>4.6120000000000001</v>
      </c>
      <c r="G47">
        <v>4.6909999999999998</v>
      </c>
      <c r="H47">
        <v>0.67900000000000005</v>
      </c>
      <c r="I47">
        <v>0.92</v>
      </c>
      <c r="J47">
        <v>1.8879999999999999</v>
      </c>
      <c r="K47">
        <v>2.7810000000000001</v>
      </c>
    </row>
    <row r="48" spans="1:15" x14ac:dyDescent="0.2">
      <c r="A48" t="s">
        <v>17</v>
      </c>
      <c r="C48">
        <f t="shared" ref="C48:K48" si="7">SQRT(9+C47^2)</f>
        <v>8.6630323213064386</v>
      </c>
      <c r="D48">
        <f t="shared" si="7"/>
        <v>5.8532619965280892</v>
      </c>
      <c r="E48">
        <f t="shared" si="7"/>
        <v>6.4962022751758584</v>
      </c>
      <c r="F48">
        <f t="shared" si="7"/>
        <v>5.5018673193743961</v>
      </c>
      <c r="G48">
        <f t="shared" si="7"/>
        <v>5.5682565494057474</v>
      </c>
      <c r="H48">
        <f t="shared" si="7"/>
        <v>3.0758805243377059</v>
      </c>
      <c r="I48">
        <f t="shared" si="7"/>
        <v>3.1378973851928298</v>
      </c>
      <c r="J48">
        <f t="shared" si="7"/>
        <v>3.5446500532492626</v>
      </c>
      <c r="K48">
        <f t="shared" si="7"/>
        <v>4.0907164409183876</v>
      </c>
    </row>
    <row r="49" spans="1:11" x14ac:dyDescent="0.2">
      <c r="A49" t="s">
        <v>10</v>
      </c>
      <c r="D49">
        <f t="shared" ref="D49:K49" si="8">D46/25.5905</f>
        <v>0.45083136320118822</v>
      </c>
      <c r="E49">
        <f t="shared" si="8"/>
        <v>1.6765596608116293</v>
      </c>
      <c r="F49">
        <f t="shared" si="8"/>
        <v>1.8554541724468054</v>
      </c>
      <c r="G49">
        <f t="shared" si="8"/>
        <v>2.3390320626795091</v>
      </c>
      <c r="H49">
        <f t="shared" si="8"/>
        <v>0.83519274730857118</v>
      </c>
      <c r="I49">
        <f t="shared" si="8"/>
        <v>0.86313280318868313</v>
      </c>
      <c r="J49">
        <f t="shared" si="8"/>
        <v>1.5199390398780792</v>
      </c>
      <c r="K49">
        <f t="shared" si="8"/>
        <v>0.97348625466481731</v>
      </c>
    </row>
    <row r="51" spans="1:11" s="1" customFormat="1" x14ac:dyDescent="0.2">
      <c r="A51" s="1" t="s">
        <v>19</v>
      </c>
      <c r="B51" s="1" t="s">
        <v>2</v>
      </c>
      <c r="C51" s="1" t="s">
        <v>23</v>
      </c>
      <c r="E51" s="1" t="s">
        <v>254</v>
      </c>
    </row>
    <row r="52" spans="1:11" x14ac:dyDescent="0.2">
      <c r="A52" t="s">
        <v>9</v>
      </c>
      <c r="B52">
        <v>211.334</v>
      </c>
      <c r="C52">
        <v>235.10499999999999</v>
      </c>
      <c r="D52">
        <v>226.89500000000001</v>
      </c>
      <c r="E52">
        <v>231.102</v>
      </c>
      <c r="F52">
        <v>241.15199999999999</v>
      </c>
    </row>
    <row r="53" spans="1:11" x14ac:dyDescent="0.2">
      <c r="A53" t="s">
        <v>21</v>
      </c>
      <c r="C53">
        <f>C52-B52</f>
        <v>23.770999999999987</v>
      </c>
      <c r="D53">
        <f>D52-B52</f>
        <v>15.561000000000007</v>
      </c>
      <c r="E53">
        <f>E52-B52</f>
        <v>19.768000000000001</v>
      </c>
      <c r="F53">
        <f>F52-B52</f>
        <v>29.817999999999984</v>
      </c>
    </row>
    <row r="54" spans="1:11" x14ac:dyDescent="0.2">
      <c r="A54" t="s">
        <v>31</v>
      </c>
      <c r="C54">
        <v>7.4909999999999997</v>
      </c>
      <c r="D54">
        <v>5.0919999999999996</v>
      </c>
      <c r="E54">
        <v>5.7839999999999998</v>
      </c>
      <c r="F54">
        <v>4.6859999999999999</v>
      </c>
    </row>
    <row r="55" spans="1:11" x14ac:dyDescent="0.2">
      <c r="A55" t="s">
        <v>17</v>
      </c>
      <c r="C55">
        <f>SQRT(16+C54^2)</f>
        <v>8.4920598796758373</v>
      </c>
      <c r="D55">
        <f>SQRT(16+D54^2)</f>
        <v>6.4752192240880921</v>
      </c>
      <c r="E55">
        <f>SQRT(16+E54^2)</f>
        <v>7.0324004436607561</v>
      </c>
      <c r="F55">
        <f>SQRT(16+F54^2)</f>
        <v>6.1610547798246369</v>
      </c>
    </row>
    <row r="56" spans="1:11" x14ac:dyDescent="0.2">
      <c r="A56" t="s">
        <v>10</v>
      </c>
      <c r="D56">
        <f>D53/B59</f>
        <v>0.60807613607298183</v>
      </c>
      <c r="E56">
        <f>E53/25.5905</f>
        <v>0.77247416033293614</v>
      </c>
      <c r="F56">
        <f>F53/25.5905</f>
        <v>1.1651980227037371</v>
      </c>
    </row>
    <row r="59" spans="1:11" x14ac:dyDescent="0.2">
      <c r="A59" t="s">
        <v>33</v>
      </c>
      <c r="B59">
        <f>AVERAGE(C53,C46:D46,C25:E25,C18:E18,C11,)</f>
        <v>25.590545454545452</v>
      </c>
    </row>
    <row r="60" spans="1:11" x14ac:dyDescent="0.2">
      <c r="A60" t="s">
        <v>259</v>
      </c>
      <c r="B60">
        <v>42.975000000000001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5FD04-433D-BC41-8985-7B302F8CBAA0}">
  <dimension ref="A1:R79"/>
  <sheetViews>
    <sheetView workbookViewId="0">
      <selection activeCell="O104" sqref="O104"/>
    </sheetView>
  </sheetViews>
  <sheetFormatPr baseColWidth="10" defaultColWidth="8.83203125" defaultRowHeight="15" x14ac:dyDescent="0.2"/>
  <cols>
    <col min="1" max="1" width="18.5" customWidth="1"/>
    <col min="2" max="2" width="18.33203125" customWidth="1"/>
    <col min="3" max="3" width="11.33203125" customWidth="1"/>
    <col min="4" max="4" width="11.1640625" customWidth="1"/>
    <col min="5" max="5" width="11.6640625" customWidth="1"/>
  </cols>
  <sheetData>
    <row r="1" spans="1:3" x14ac:dyDescent="0.2">
      <c r="A1" t="s">
        <v>282</v>
      </c>
    </row>
    <row r="2" spans="1:3" s="1" customFormat="1" x14ac:dyDescent="0.2">
      <c r="A2" s="1" t="s">
        <v>29</v>
      </c>
      <c r="B2" s="1" t="s">
        <v>256</v>
      </c>
      <c r="C2" s="1" t="s">
        <v>23</v>
      </c>
    </row>
    <row r="3" spans="1:3" x14ac:dyDescent="0.2">
      <c r="A3" t="s">
        <v>253</v>
      </c>
      <c r="B3">
        <v>224.10400000000001</v>
      </c>
      <c r="C3">
        <v>260.80900000000003</v>
      </c>
    </row>
    <row r="4" spans="1:3" x14ac:dyDescent="0.2">
      <c r="A4" t="s">
        <v>252</v>
      </c>
      <c r="C4">
        <f>C3-B3</f>
        <v>36.705000000000013</v>
      </c>
    </row>
    <row r="5" spans="1:3" x14ac:dyDescent="0.2">
      <c r="A5" t="s">
        <v>31</v>
      </c>
      <c r="C5">
        <v>4.165</v>
      </c>
    </row>
    <row r="6" spans="1:3" x14ac:dyDescent="0.2">
      <c r="A6" t="s">
        <v>17</v>
      </c>
      <c r="C6">
        <f>SQRT(49+C5^2)</f>
        <v>8.1453805927040648</v>
      </c>
    </row>
    <row r="7" spans="1:3" x14ac:dyDescent="0.2">
      <c r="A7" t="s">
        <v>251</v>
      </c>
    </row>
    <row r="9" spans="1:3" s="1" customFormat="1" x14ac:dyDescent="0.2">
      <c r="A9" s="1" t="s">
        <v>13</v>
      </c>
      <c r="B9" s="1" t="s">
        <v>256</v>
      </c>
      <c r="C9" s="1" t="s">
        <v>254</v>
      </c>
    </row>
    <row r="10" spans="1:3" x14ac:dyDescent="0.2">
      <c r="A10" t="s">
        <v>253</v>
      </c>
      <c r="B10">
        <v>224.10400000000001</v>
      </c>
      <c r="C10">
        <v>255.77</v>
      </c>
    </row>
    <row r="11" spans="1:3" x14ac:dyDescent="0.2">
      <c r="A11" t="s">
        <v>252</v>
      </c>
      <c r="C11">
        <f>C10-B10</f>
        <v>31.665999999999997</v>
      </c>
    </row>
    <row r="12" spans="1:3" x14ac:dyDescent="0.2">
      <c r="A12" t="s">
        <v>31</v>
      </c>
      <c r="C12">
        <v>5.9779999999999998</v>
      </c>
    </row>
    <row r="13" spans="1:3" x14ac:dyDescent="0.2">
      <c r="A13" t="s">
        <v>17</v>
      </c>
      <c r="C13">
        <f>SQRT(36+C12^2)</f>
        <v>8.4697393112184969</v>
      </c>
    </row>
    <row r="14" spans="1:3" x14ac:dyDescent="0.2">
      <c r="A14" t="s">
        <v>251</v>
      </c>
      <c r="C14">
        <f>C11/6196</f>
        <v>5.1107165913492573E-3</v>
      </c>
    </row>
    <row r="16" spans="1:3" s="1" customFormat="1" x14ac:dyDescent="0.2">
      <c r="A16" s="1" t="s">
        <v>14</v>
      </c>
      <c r="B16" s="1" t="s">
        <v>256</v>
      </c>
      <c r="C16" s="1" t="s">
        <v>23</v>
      </c>
    </row>
    <row r="17" spans="1:8" x14ac:dyDescent="0.2">
      <c r="A17" t="s">
        <v>253</v>
      </c>
      <c r="B17">
        <v>224.10400000000001</v>
      </c>
      <c r="C17">
        <v>260.43</v>
      </c>
    </row>
    <row r="18" spans="1:8" x14ac:dyDescent="0.2">
      <c r="A18" t="s">
        <v>252</v>
      </c>
      <c r="C18">
        <f>C17-B17</f>
        <v>36.325999999999993</v>
      </c>
    </row>
    <row r="19" spans="1:8" x14ac:dyDescent="0.2">
      <c r="A19" t="s">
        <v>31</v>
      </c>
      <c r="C19">
        <v>4.1500000000000004</v>
      </c>
    </row>
    <row r="20" spans="1:8" x14ac:dyDescent="0.2">
      <c r="A20" t="s">
        <v>17</v>
      </c>
      <c r="C20">
        <f>SQRT(25+C19^2)</f>
        <v>6.4978842710531559</v>
      </c>
    </row>
    <row r="21" spans="1:8" x14ac:dyDescent="0.2">
      <c r="A21" t="s">
        <v>251</v>
      </c>
    </row>
    <row r="23" spans="1:8" s="1" customFormat="1" x14ac:dyDescent="0.2">
      <c r="A23" s="1" t="s">
        <v>15</v>
      </c>
      <c r="B23" s="1" t="s">
        <v>2</v>
      </c>
      <c r="C23" s="1" t="s">
        <v>23</v>
      </c>
    </row>
    <row r="24" spans="1:8" x14ac:dyDescent="0.2">
      <c r="A24" t="s">
        <v>253</v>
      </c>
      <c r="B24">
        <v>224.10400000000001</v>
      </c>
      <c r="C24">
        <v>256.81599999999997</v>
      </c>
    </row>
    <row r="25" spans="1:8" x14ac:dyDescent="0.2">
      <c r="A25" t="s">
        <v>252</v>
      </c>
      <c r="C25">
        <f>C24-B24</f>
        <v>32.711999999999961</v>
      </c>
    </row>
    <row r="26" spans="1:8" x14ac:dyDescent="0.2">
      <c r="A26" t="s">
        <v>31</v>
      </c>
      <c r="C26">
        <v>6.1790000000000003</v>
      </c>
    </row>
    <row r="27" spans="1:8" x14ac:dyDescent="0.2">
      <c r="A27" t="s">
        <v>17</v>
      </c>
      <c r="C27">
        <f>SQRT(9+C26^2)</f>
        <v>6.8687728889518542</v>
      </c>
    </row>
    <row r="28" spans="1:8" x14ac:dyDescent="0.2">
      <c r="A28" t="s">
        <v>251</v>
      </c>
    </row>
    <row r="30" spans="1:8" s="1" customFormat="1" x14ac:dyDescent="0.2">
      <c r="A30" s="1" t="s">
        <v>16</v>
      </c>
      <c r="B30" s="1" t="s">
        <v>2</v>
      </c>
      <c r="C30" s="1" t="s">
        <v>254</v>
      </c>
    </row>
    <row r="31" spans="1:8" x14ac:dyDescent="0.2">
      <c r="A31" t="s">
        <v>253</v>
      </c>
      <c r="B31">
        <v>224.10400000000001</v>
      </c>
      <c r="C31">
        <v>253.73400000000001</v>
      </c>
      <c r="D31">
        <v>256.63299999999998</v>
      </c>
      <c r="E31">
        <v>247.79300000000001</v>
      </c>
      <c r="F31">
        <v>270.98</v>
      </c>
      <c r="G31">
        <v>250.46100000000001</v>
      </c>
      <c r="H31">
        <v>252.215</v>
      </c>
    </row>
    <row r="32" spans="1:8" x14ac:dyDescent="0.2">
      <c r="A32" t="s">
        <v>252</v>
      </c>
      <c r="C32">
        <f>C31-B31</f>
        <v>29.629999999999995</v>
      </c>
      <c r="D32">
        <f>D31-B31</f>
        <v>32.528999999999968</v>
      </c>
      <c r="E32">
        <f>E31-B31</f>
        <v>23.688999999999993</v>
      </c>
      <c r="F32">
        <f>F31-B31</f>
        <v>46.876000000000005</v>
      </c>
      <c r="G32">
        <f>G31-B31</f>
        <v>26.356999999999999</v>
      </c>
      <c r="H32">
        <f>H31-B31</f>
        <v>28.11099999999999</v>
      </c>
    </row>
    <row r="33" spans="1:18" x14ac:dyDescent="0.2">
      <c r="A33" t="s">
        <v>31</v>
      </c>
      <c r="C33">
        <v>2.488</v>
      </c>
      <c r="D33">
        <v>1.6020000000000001</v>
      </c>
      <c r="E33">
        <v>2.653</v>
      </c>
      <c r="F33">
        <v>1.9259999999999999</v>
      </c>
      <c r="G33">
        <v>1.2270000000000001</v>
      </c>
      <c r="H33">
        <v>2.3650000000000002</v>
      </c>
    </row>
    <row r="34" spans="1:18" x14ac:dyDescent="0.2">
      <c r="A34" t="s">
        <v>17</v>
      </c>
      <c r="C34">
        <f t="shared" ref="C34:H34" si="0">SQRT(4+C33^2)</f>
        <v>3.1922004949564182</v>
      </c>
      <c r="D34">
        <f t="shared" si="0"/>
        <v>2.5624995609755721</v>
      </c>
      <c r="E34">
        <f t="shared" si="0"/>
        <v>3.3224101191755362</v>
      </c>
      <c r="F34">
        <f t="shared" si="0"/>
        <v>2.7765943167845029</v>
      </c>
      <c r="G34">
        <f t="shared" si="0"/>
        <v>2.3463863705707122</v>
      </c>
      <c r="H34">
        <f t="shared" si="0"/>
        <v>3.0972931730787128</v>
      </c>
    </row>
    <row r="35" spans="1:18" x14ac:dyDescent="0.2">
      <c r="A35" t="s">
        <v>251</v>
      </c>
      <c r="C35">
        <f t="shared" ref="C35:H35" si="1">C32/30.6196</f>
        <v>0.96768083188545884</v>
      </c>
      <c r="D35">
        <f t="shared" si="1"/>
        <v>1.0623587506041872</v>
      </c>
      <c r="E35">
        <f t="shared" si="1"/>
        <v>0.77365478321075376</v>
      </c>
      <c r="F35">
        <f t="shared" si="1"/>
        <v>1.5309148388613831</v>
      </c>
      <c r="G35">
        <f t="shared" si="1"/>
        <v>0.86078851454623839</v>
      </c>
      <c r="H35">
        <f t="shared" si="1"/>
        <v>0.9180720845471525</v>
      </c>
    </row>
    <row r="37" spans="1:18" s="1" customFormat="1" x14ac:dyDescent="0.2">
      <c r="A37" s="1" t="s">
        <v>18</v>
      </c>
      <c r="B37" s="1" t="s">
        <v>2</v>
      </c>
      <c r="C37" s="1" t="s">
        <v>23</v>
      </c>
      <c r="E37" s="1" t="s">
        <v>254</v>
      </c>
    </row>
    <row r="38" spans="1:18" x14ac:dyDescent="0.2">
      <c r="A38" t="s">
        <v>253</v>
      </c>
      <c r="B38">
        <v>224.10400000000001</v>
      </c>
      <c r="C38">
        <v>239.73</v>
      </c>
      <c r="D38">
        <v>244.422</v>
      </c>
      <c r="E38">
        <v>287.488</v>
      </c>
      <c r="F38">
        <v>281.58199999999999</v>
      </c>
      <c r="G38">
        <v>405.90199999999999</v>
      </c>
      <c r="H38">
        <v>304.23</v>
      </c>
      <c r="I38">
        <v>302.45299999999997</v>
      </c>
      <c r="J38">
        <v>322.60500000000002</v>
      </c>
      <c r="K38">
        <v>355.78100000000001</v>
      </c>
      <c r="L38">
        <v>264.77</v>
      </c>
      <c r="M38">
        <v>269.00799999999998</v>
      </c>
      <c r="N38">
        <v>323.18</v>
      </c>
    </row>
    <row r="39" spans="1:18" x14ac:dyDescent="0.2">
      <c r="A39" t="s">
        <v>252</v>
      </c>
      <c r="C39">
        <f>C38-B38</f>
        <v>15.625999999999976</v>
      </c>
      <c r="D39">
        <f>D38-B38</f>
        <v>20.317999999999984</v>
      </c>
      <c r="E39">
        <f>E38-B38</f>
        <v>63.383999999999986</v>
      </c>
      <c r="F39">
        <f>F38-B38</f>
        <v>57.47799999999998</v>
      </c>
      <c r="G39">
        <f>G38-B38</f>
        <v>181.79799999999997</v>
      </c>
      <c r="H39">
        <f>H38-B38</f>
        <v>80.126000000000005</v>
      </c>
      <c r="I39">
        <f>I38-B38</f>
        <v>78.348999999999961</v>
      </c>
      <c r="J39">
        <f>J38-B38</f>
        <v>98.501000000000005</v>
      </c>
      <c r="K39">
        <f>K38-B38</f>
        <v>131.67699999999999</v>
      </c>
      <c r="L39">
        <f>L38-B38</f>
        <v>40.665999999999968</v>
      </c>
      <c r="M39">
        <f>M38-B38</f>
        <v>44.903999999999968</v>
      </c>
      <c r="N39">
        <f>N38-B38</f>
        <v>99.075999999999993</v>
      </c>
    </row>
    <row r="40" spans="1:18" x14ac:dyDescent="0.2">
      <c r="A40" t="s">
        <v>31</v>
      </c>
      <c r="C40">
        <v>3.1789999999999998</v>
      </c>
      <c r="D40">
        <v>2.0430000000000001</v>
      </c>
      <c r="E40">
        <v>2.6920000000000002</v>
      </c>
      <c r="F40">
        <v>2.7170000000000001</v>
      </c>
      <c r="G40">
        <v>1.919</v>
      </c>
      <c r="H40">
        <v>1.2889999999999999</v>
      </c>
      <c r="I40">
        <v>2.2250000000000001</v>
      </c>
      <c r="J40">
        <v>3.0369999999999999</v>
      </c>
      <c r="K40">
        <v>2.5670000000000002</v>
      </c>
      <c r="L40">
        <v>1.7270000000000001</v>
      </c>
      <c r="M40">
        <v>1.6910000000000001</v>
      </c>
      <c r="N40">
        <v>1.61</v>
      </c>
    </row>
    <row r="41" spans="1:18" x14ac:dyDescent="0.2">
      <c r="A41" t="s">
        <v>17</v>
      </c>
      <c r="C41">
        <f t="shared" ref="C41:N41" si="2">SQRT(1+C40^2)</f>
        <v>3.3325727298890269</v>
      </c>
      <c r="D41">
        <f t="shared" si="2"/>
        <v>2.274609636838814</v>
      </c>
      <c r="E41">
        <f t="shared" si="2"/>
        <v>2.8717353638523173</v>
      </c>
      <c r="F41">
        <f t="shared" si="2"/>
        <v>2.8951837592802292</v>
      </c>
      <c r="G41">
        <f t="shared" si="2"/>
        <v>2.163922595658172</v>
      </c>
      <c r="H41">
        <f t="shared" si="2"/>
        <v>1.6314168688597037</v>
      </c>
      <c r="I41">
        <f t="shared" si="2"/>
        <v>2.4393902926756104</v>
      </c>
      <c r="J41">
        <f t="shared" si="2"/>
        <v>3.1974003502845871</v>
      </c>
      <c r="K41">
        <f t="shared" si="2"/>
        <v>2.7549027206055756</v>
      </c>
      <c r="L41">
        <f t="shared" si="2"/>
        <v>1.9956274702458874</v>
      </c>
      <c r="M41">
        <f t="shared" si="2"/>
        <v>1.9645561839764216</v>
      </c>
      <c r="N41">
        <f t="shared" si="2"/>
        <v>1.8952836199366048</v>
      </c>
    </row>
    <row r="42" spans="1:18" x14ac:dyDescent="0.2">
      <c r="A42" t="s">
        <v>251</v>
      </c>
      <c r="D42">
        <f t="shared" ref="D42:N42" si="3">D39/30.6196</f>
        <v>0.66356190152712591</v>
      </c>
      <c r="E42">
        <f t="shared" si="3"/>
        <v>2.0700466367947326</v>
      </c>
      <c r="F42">
        <f t="shared" si="3"/>
        <v>1.8771636468144581</v>
      </c>
      <c r="G42">
        <f t="shared" si="3"/>
        <v>5.9373081294334344</v>
      </c>
      <c r="H42">
        <f t="shared" si="3"/>
        <v>2.6168205985708504</v>
      </c>
      <c r="I42">
        <f t="shared" si="3"/>
        <v>2.5587858757135939</v>
      </c>
      <c r="J42">
        <f t="shared" si="3"/>
        <v>3.2169264131471347</v>
      </c>
      <c r="K42">
        <f t="shared" si="3"/>
        <v>4.3004154201883757</v>
      </c>
      <c r="L42">
        <f t="shared" si="3"/>
        <v>1.3281035676494786</v>
      </c>
      <c r="M42">
        <f t="shared" si="3"/>
        <v>1.4665116461351544</v>
      </c>
      <c r="N42">
        <f t="shared" si="3"/>
        <v>3.2357052345556441</v>
      </c>
    </row>
    <row r="44" spans="1:18" s="1" customFormat="1" x14ac:dyDescent="0.2">
      <c r="A44" s="1" t="s">
        <v>57</v>
      </c>
      <c r="B44" s="1" t="s">
        <v>2</v>
      </c>
      <c r="C44" s="1" t="s">
        <v>23</v>
      </c>
      <c r="D44" s="1" t="s">
        <v>254</v>
      </c>
    </row>
    <row r="45" spans="1:18" x14ac:dyDescent="0.2">
      <c r="A45" t="s">
        <v>253</v>
      </c>
      <c r="B45">
        <v>224.10400000000001</v>
      </c>
      <c r="C45">
        <v>264.78100000000001</v>
      </c>
      <c r="D45">
        <v>359.23399999999998</v>
      </c>
      <c r="E45">
        <v>508.99200000000002</v>
      </c>
      <c r="F45">
        <v>391.09399999999999</v>
      </c>
      <c r="G45">
        <v>405.887</v>
      </c>
      <c r="H45">
        <v>368.22300000000001</v>
      </c>
      <c r="I45">
        <v>399.07400000000001</v>
      </c>
      <c r="J45">
        <v>329.34399999999999</v>
      </c>
      <c r="K45">
        <v>515.25400000000002</v>
      </c>
      <c r="L45">
        <v>270.86500000000001</v>
      </c>
      <c r="M45">
        <v>370.23</v>
      </c>
      <c r="N45">
        <v>335.58199999999999</v>
      </c>
      <c r="O45">
        <v>364.68400000000003</v>
      </c>
      <c r="P45">
        <v>289.22300000000001</v>
      </c>
      <c r="Q45">
        <v>263.363</v>
      </c>
      <c r="R45">
        <v>247.40600000000001</v>
      </c>
    </row>
    <row r="46" spans="1:18" x14ac:dyDescent="0.2">
      <c r="A46" t="s">
        <v>252</v>
      </c>
      <c r="C46">
        <f>C45-B45</f>
        <v>40.676999999999992</v>
      </c>
      <c r="D46">
        <f>D45-B45</f>
        <v>135.12999999999997</v>
      </c>
      <c r="E46">
        <f>E45-B45</f>
        <v>284.88800000000003</v>
      </c>
      <c r="F46">
        <f>F45-B45</f>
        <v>166.98999999999998</v>
      </c>
      <c r="G46">
        <f>G45-B45</f>
        <v>181.78299999999999</v>
      </c>
      <c r="H46">
        <f>H45-B45</f>
        <v>144.119</v>
      </c>
      <c r="I46">
        <f>I45-B45</f>
        <v>174.97</v>
      </c>
      <c r="J46">
        <f>J45-B45</f>
        <v>105.23999999999998</v>
      </c>
      <c r="K46">
        <f>K45-B45</f>
        <v>291.14999999999998</v>
      </c>
      <c r="L46">
        <f>L45-B45</f>
        <v>46.760999999999996</v>
      </c>
      <c r="M46">
        <f>M45-B45</f>
        <v>146.126</v>
      </c>
      <c r="N46">
        <f>N45-B45</f>
        <v>111.47799999999998</v>
      </c>
      <c r="O46">
        <f>O45-B45</f>
        <v>140.58000000000001</v>
      </c>
      <c r="P46">
        <f>P45-B45</f>
        <v>65.119</v>
      </c>
      <c r="Q46">
        <f>Q45-B45</f>
        <v>39.258999999999986</v>
      </c>
      <c r="R46">
        <f>R45-B45</f>
        <v>23.301999999999992</v>
      </c>
    </row>
    <row r="47" spans="1:18" x14ac:dyDescent="0.2">
      <c r="A47" t="s">
        <v>31</v>
      </c>
      <c r="C47">
        <v>3.0369999999999999</v>
      </c>
      <c r="D47">
        <v>2.88</v>
      </c>
      <c r="E47">
        <v>2.1800000000000002</v>
      </c>
      <c r="F47">
        <v>3.0390000000000001</v>
      </c>
      <c r="G47">
        <v>2.4769999999999999</v>
      </c>
      <c r="H47">
        <v>1.4830000000000001</v>
      </c>
      <c r="I47">
        <v>1.288</v>
      </c>
      <c r="J47">
        <v>1.913</v>
      </c>
      <c r="K47">
        <v>2.552</v>
      </c>
      <c r="L47">
        <v>1.861</v>
      </c>
      <c r="M47">
        <v>2.6309999999999998</v>
      </c>
      <c r="N47">
        <v>1.84</v>
      </c>
      <c r="O47">
        <v>1.4810000000000001</v>
      </c>
      <c r="P47">
        <v>1.2949999999999999</v>
      </c>
      <c r="Q47">
        <v>1.6619999999999999</v>
      </c>
      <c r="R47">
        <v>1.77</v>
      </c>
    </row>
    <row r="48" spans="1:18" x14ac:dyDescent="0.2">
      <c r="A48" t="s">
        <v>251</v>
      </c>
      <c r="D48">
        <f t="shared" ref="D48:R48" si="4">D46/30.6196</f>
        <v>4.4131863250989554</v>
      </c>
      <c r="E48">
        <f t="shared" si="4"/>
        <v>9.3041058668303975</v>
      </c>
      <c r="F48">
        <f t="shared" si="4"/>
        <v>5.4536963252295916</v>
      </c>
      <c r="G48">
        <f t="shared" si="4"/>
        <v>5.9368182471358217</v>
      </c>
      <c r="H48">
        <f t="shared" si="4"/>
        <v>4.7067564566486828</v>
      </c>
      <c r="I48">
        <f t="shared" si="4"/>
        <v>5.7143137075598638</v>
      </c>
      <c r="J48">
        <f t="shared" si="4"/>
        <v>3.4370142000548665</v>
      </c>
      <c r="K48">
        <f t="shared" si="4"/>
        <v>9.5086153966740259</v>
      </c>
      <c r="L48">
        <f t="shared" si="4"/>
        <v>1.527159074579681</v>
      </c>
      <c r="M48">
        <f t="shared" si="4"/>
        <v>4.7723027080693416</v>
      </c>
      <c r="N48">
        <f t="shared" si="4"/>
        <v>3.6407399182223146</v>
      </c>
      <c r="O48">
        <f t="shared" si="4"/>
        <v>4.5911768932317871</v>
      </c>
      <c r="P48">
        <f t="shared" si="4"/>
        <v>2.1267096892186705</v>
      </c>
      <c r="Q48">
        <f t="shared" si="4"/>
        <v>1.2821526081333521</v>
      </c>
      <c r="R48">
        <f t="shared" si="4"/>
        <v>0.76101581993233069</v>
      </c>
    </row>
    <row r="50" spans="1:17" s="1" customFormat="1" x14ac:dyDescent="0.2">
      <c r="A50" s="1" t="s">
        <v>37</v>
      </c>
      <c r="B50" s="1" t="s">
        <v>2</v>
      </c>
      <c r="C50" s="1" t="s">
        <v>23</v>
      </c>
      <c r="D50" s="1" t="s">
        <v>254</v>
      </c>
    </row>
    <row r="51" spans="1:17" x14ac:dyDescent="0.2">
      <c r="A51" t="s">
        <v>253</v>
      </c>
      <c r="B51">
        <v>224.10400000000001</v>
      </c>
      <c r="C51">
        <v>248.172</v>
      </c>
      <c r="D51">
        <v>277.47300000000001</v>
      </c>
      <c r="E51">
        <v>289.44099999999997</v>
      </c>
      <c r="F51">
        <v>371.83600000000001</v>
      </c>
      <c r="G51">
        <v>386.012</v>
      </c>
      <c r="H51">
        <v>331.85899999999998</v>
      </c>
      <c r="I51">
        <v>329.613</v>
      </c>
      <c r="J51">
        <v>357.52</v>
      </c>
      <c r="K51">
        <v>337.25400000000002</v>
      </c>
      <c r="L51">
        <v>333.16</v>
      </c>
      <c r="M51">
        <v>556.91399999999999</v>
      </c>
      <c r="N51">
        <v>475.69099999999997</v>
      </c>
      <c r="O51">
        <v>260.44900000000001</v>
      </c>
      <c r="P51">
        <v>328.44900000000001</v>
      </c>
    </row>
    <row r="52" spans="1:17" x14ac:dyDescent="0.2">
      <c r="A52" t="s">
        <v>252</v>
      </c>
      <c r="C52">
        <f>C51-B51</f>
        <v>24.067999999999984</v>
      </c>
      <c r="D52">
        <f>D51-B51</f>
        <v>53.369</v>
      </c>
      <c r="E52">
        <f>E51-B51</f>
        <v>65.336999999999961</v>
      </c>
      <c r="F52">
        <f>F51-B51</f>
        <v>147.732</v>
      </c>
      <c r="G52">
        <f>G51-B51</f>
        <v>161.90799999999999</v>
      </c>
      <c r="H52">
        <f>H51-B51</f>
        <v>107.75499999999997</v>
      </c>
      <c r="I52">
        <f>I51-B51</f>
        <v>105.50899999999999</v>
      </c>
      <c r="J52">
        <f>J51-B51</f>
        <v>133.41599999999997</v>
      </c>
      <c r="K52">
        <f>K51-B51</f>
        <v>113.15</v>
      </c>
      <c r="L52">
        <f>L51-B51</f>
        <v>109.05600000000001</v>
      </c>
      <c r="M52">
        <f>M51-B51</f>
        <v>332.80999999999995</v>
      </c>
      <c r="N52">
        <f>N51-B51</f>
        <v>251.58699999999996</v>
      </c>
      <c r="O52">
        <f>O51-B51</f>
        <v>36.344999999999999</v>
      </c>
      <c r="P52">
        <f>P51-B51</f>
        <v>104.345</v>
      </c>
    </row>
    <row r="53" spans="1:17" x14ac:dyDescent="0.2">
      <c r="A53" t="s">
        <v>31</v>
      </c>
      <c r="C53">
        <v>5.391</v>
      </c>
      <c r="D53">
        <v>2.0819999999999999</v>
      </c>
      <c r="E53">
        <v>1.3779999999999999</v>
      </c>
      <c r="F53">
        <v>1.8029999999999999</v>
      </c>
      <c r="G53">
        <v>1.0669999999999999</v>
      </c>
      <c r="H53">
        <v>0.749</v>
      </c>
      <c r="I53">
        <v>1.758</v>
      </c>
      <c r="J53">
        <v>2.3679999999999999</v>
      </c>
      <c r="K53">
        <v>1.9590000000000001</v>
      </c>
      <c r="L53">
        <v>1.093</v>
      </c>
      <c r="M53">
        <v>2.2850000000000001</v>
      </c>
      <c r="N53">
        <v>3.22</v>
      </c>
      <c r="O53">
        <v>2.7509999999999999</v>
      </c>
      <c r="P53">
        <v>2.222</v>
      </c>
    </row>
    <row r="54" spans="1:17" x14ac:dyDescent="0.2">
      <c r="A54" t="s">
        <v>17</v>
      </c>
      <c r="C54">
        <f t="shared" ref="C54:P54" si="5">SQRT(1+C53^2)</f>
        <v>5.4829627939645915</v>
      </c>
      <c r="D54">
        <f t="shared" si="5"/>
        <v>2.309702145299259</v>
      </c>
      <c r="E54">
        <f t="shared" si="5"/>
        <v>1.7026109361800774</v>
      </c>
      <c r="F54">
        <f t="shared" si="5"/>
        <v>2.0617490147930226</v>
      </c>
      <c r="G54">
        <f t="shared" si="5"/>
        <v>1.4623573434697827</v>
      </c>
      <c r="H54">
        <f t="shared" si="5"/>
        <v>1.2494002561229127</v>
      </c>
      <c r="I54">
        <f t="shared" si="5"/>
        <v>2.0225142768346531</v>
      </c>
      <c r="J54">
        <f t="shared" si="5"/>
        <v>2.5704910036800359</v>
      </c>
      <c r="K54">
        <f t="shared" si="5"/>
        <v>2.1994728913992097</v>
      </c>
      <c r="L54">
        <f t="shared" si="5"/>
        <v>1.4814347775045651</v>
      </c>
      <c r="M54">
        <f t="shared" si="5"/>
        <v>2.4942383607025214</v>
      </c>
      <c r="N54">
        <f t="shared" si="5"/>
        <v>3.371705799739948</v>
      </c>
      <c r="O54">
        <f t="shared" si="5"/>
        <v>2.9271147910527868</v>
      </c>
      <c r="P54">
        <f t="shared" si="5"/>
        <v>2.436654263534324</v>
      </c>
    </row>
    <row r="55" spans="1:17" x14ac:dyDescent="0.2">
      <c r="A55" t="s">
        <v>251</v>
      </c>
      <c r="D55">
        <f t="shared" ref="D55:P55" si="6">D52/30.6196</f>
        <v>1.7429685560882573</v>
      </c>
      <c r="E55">
        <f t="shared" si="6"/>
        <v>2.1338293119439826</v>
      </c>
      <c r="F55">
        <f t="shared" si="6"/>
        <v>4.8247527727338051</v>
      </c>
      <c r="G55">
        <f t="shared" si="6"/>
        <v>5.2877242027982074</v>
      </c>
      <c r="H55">
        <f t="shared" si="6"/>
        <v>3.5191511319546946</v>
      </c>
      <c r="I55">
        <f t="shared" si="6"/>
        <v>3.445799422592065</v>
      </c>
      <c r="J55">
        <f t="shared" si="6"/>
        <v>4.3572091078916761</v>
      </c>
      <c r="K55">
        <f t="shared" si="6"/>
        <v>3.6953454649962771</v>
      </c>
      <c r="L55">
        <f t="shared" si="6"/>
        <v>3.5616402565676895</v>
      </c>
      <c r="M55">
        <f t="shared" si="6"/>
        <v>10.869181831245346</v>
      </c>
      <c r="N55">
        <f t="shared" si="6"/>
        <v>8.2165345073090439</v>
      </c>
      <c r="O55">
        <f t="shared" si="6"/>
        <v>1.1869848071170102</v>
      </c>
      <c r="P55">
        <f t="shared" si="6"/>
        <v>3.4077845562972739</v>
      </c>
    </row>
    <row r="57" spans="1:17" s="1" customFormat="1" x14ac:dyDescent="0.2">
      <c r="A57" s="1" t="s">
        <v>22</v>
      </c>
      <c r="B57" s="1" t="s">
        <v>2</v>
      </c>
      <c r="C57" s="1" t="s">
        <v>23</v>
      </c>
      <c r="D57" s="1" t="s">
        <v>254</v>
      </c>
    </row>
    <row r="58" spans="1:17" x14ac:dyDescent="0.2">
      <c r="A58" t="s">
        <v>253</v>
      </c>
      <c r="B58">
        <v>224.10400000000001</v>
      </c>
      <c r="C58">
        <v>262.62900000000002</v>
      </c>
      <c r="D58">
        <v>429.96899999999999</v>
      </c>
      <c r="E58">
        <v>459.70299999999997</v>
      </c>
      <c r="F58">
        <v>467.42200000000003</v>
      </c>
      <c r="G58">
        <v>514.28899999999999</v>
      </c>
      <c r="H58">
        <v>446.92599999999999</v>
      </c>
      <c r="I58">
        <v>441.87900000000002</v>
      </c>
      <c r="J58">
        <v>387.55099999999999</v>
      </c>
      <c r="K58">
        <v>398.14100000000002</v>
      </c>
      <c r="L58">
        <v>323.90199999999999</v>
      </c>
      <c r="M58">
        <v>412.42599999999999</v>
      </c>
      <c r="N58">
        <v>334.012</v>
      </c>
      <c r="O58">
        <v>351.85500000000002</v>
      </c>
      <c r="P58">
        <v>428.68</v>
      </c>
      <c r="Q58">
        <v>427.637</v>
      </c>
    </row>
    <row r="59" spans="1:17" x14ac:dyDescent="0.2">
      <c r="A59" t="s">
        <v>252</v>
      </c>
      <c r="C59">
        <f>C58-B58</f>
        <v>38.525000000000006</v>
      </c>
      <c r="D59">
        <f>D58-B58</f>
        <v>205.86499999999998</v>
      </c>
      <c r="E59">
        <f>E58-B58</f>
        <v>235.59899999999996</v>
      </c>
      <c r="F59">
        <f>F58-B58</f>
        <v>243.31800000000001</v>
      </c>
      <c r="G59">
        <f>G58-B58</f>
        <v>290.18499999999995</v>
      </c>
      <c r="H59">
        <f>H58-B58</f>
        <v>222.82199999999997</v>
      </c>
      <c r="I59">
        <f>I58-B58</f>
        <v>217.77500000000001</v>
      </c>
      <c r="J59">
        <f>J58-B58</f>
        <v>163.44699999999997</v>
      </c>
      <c r="K59">
        <f>K58-B58</f>
        <v>174.03700000000001</v>
      </c>
      <c r="L59">
        <f>L58-B58</f>
        <v>99.797999999999973</v>
      </c>
      <c r="M59">
        <f>M58-B58</f>
        <v>188.32199999999997</v>
      </c>
      <c r="N59">
        <f>N58-B58</f>
        <v>109.90799999999999</v>
      </c>
      <c r="O59">
        <f>O58-B58</f>
        <v>127.751</v>
      </c>
      <c r="P59">
        <f>P58-B58</f>
        <v>204.57599999999999</v>
      </c>
      <c r="Q59">
        <f>Q58-B58</f>
        <v>203.53299999999999</v>
      </c>
    </row>
    <row r="60" spans="1:17" x14ac:dyDescent="0.2">
      <c r="A60" t="s">
        <v>31</v>
      </c>
      <c r="C60">
        <v>5.3849999999999998</v>
      </c>
      <c r="D60">
        <v>1.9370000000000001</v>
      </c>
      <c r="E60">
        <v>1.0209999999999999</v>
      </c>
      <c r="F60">
        <v>0.65400000000000003</v>
      </c>
      <c r="G60">
        <v>1.093</v>
      </c>
      <c r="H60">
        <v>1.8420000000000001</v>
      </c>
      <c r="I60">
        <v>0.53600000000000003</v>
      </c>
      <c r="J60">
        <v>1.171</v>
      </c>
      <c r="K60">
        <v>1.21</v>
      </c>
      <c r="L60">
        <v>2.2429999999999999</v>
      </c>
      <c r="M60">
        <v>2.0859999999999999</v>
      </c>
      <c r="N60">
        <v>3.2040000000000002</v>
      </c>
      <c r="O60">
        <v>2.0430000000000001</v>
      </c>
      <c r="P60">
        <v>1.196</v>
      </c>
      <c r="Q60">
        <v>1.0289999999999999</v>
      </c>
    </row>
    <row r="61" spans="1:17" x14ac:dyDescent="0.2">
      <c r="A61" t="s">
        <v>17</v>
      </c>
      <c r="C61">
        <f t="shared" ref="C61:Q61" si="7">SQRT(4+C60^2)</f>
        <v>5.7444081505408366</v>
      </c>
      <c r="D61">
        <f t="shared" si="7"/>
        <v>2.7842358017955307</v>
      </c>
      <c r="E61">
        <f t="shared" si="7"/>
        <v>2.2455380201635422</v>
      </c>
      <c r="F61">
        <f t="shared" si="7"/>
        <v>2.1042138674573931</v>
      </c>
      <c r="G61">
        <f t="shared" si="7"/>
        <v>2.2791772638388617</v>
      </c>
      <c r="H61">
        <f t="shared" si="7"/>
        <v>2.7190005516733535</v>
      </c>
      <c r="I61">
        <f t="shared" si="7"/>
        <v>2.0705786630794787</v>
      </c>
      <c r="J61">
        <f t="shared" si="7"/>
        <v>2.3175937952971828</v>
      </c>
      <c r="K61">
        <f t="shared" si="7"/>
        <v>2.3375414434828743</v>
      </c>
      <c r="L61">
        <f t="shared" si="7"/>
        <v>3.0051703778654546</v>
      </c>
      <c r="M61">
        <f t="shared" si="7"/>
        <v>2.8898781981253121</v>
      </c>
      <c r="N61">
        <f t="shared" si="7"/>
        <v>3.776985041008238</v>
      </c>
      <c r="O61">
        <f t="shared" si="7"/>
        <v>2.8589944036321584</v>
      </c>
      <c r="P61">
        <f t="shared" si="7"/>
        <v>2.3303252991803527</v>
      </c>
      <c r="Q61">
        <f t="shared" si="7"/>
        <v>2.2491867419136189</v>
      </c>
    </row>
    <row r="62" spans="1:17" x14ac:dyDescent="0.2">
      <c r="A62" t="s">
        <v>251</v>
      </c>
      <c r="D62">
        <f t="shared" ref="D62:Q62" si="8">D59/30.6196</f>
        <v>6.7233079465440433</v>
      </c>
      <c r="E62">
        <f t="shared" si="8"/>
        <v>7.6943852956929542</v>
      </c>
      <c r="F62">
        <f t="shared" si="8"/>
        <v>7.9464787260447567</v>
      </c>
      <c r="G62">
        <f t="shared" si="8"/>
        <v>9.4770996355275692</v>
      </c>
      <c r="H62">
        <f t="shared" si="8"/>
        <v>7.2771035545859508</v>
      </c>
      <c r="I62">
        <f t="shared" si="8"/>
        <v>7.112274490848999</v>
      </c>
      <c r="J62">
        <f t="shared" si="8"/>
        <v>5.3379861265333313</v>
      </c>
      <c r="K62">
        <f t="shared" si="8"/>
        <v>5.683843028648317</v>
      </c>
      <c r="L62">
        <f t="shared" si="8"/>
        <v>3.2592849024807631</v>
      </c>
      <c r="M62">
        <f t="shared" si="8"/>
        <v>6.1503742700753756</v>
      </c>
      <c r="N62">
        <f t="shared" si="8"/>
        <v>3.5894655710721235</v>
      </c>
      <c r="O62">
        <f t="shared" si="8"/>
        <v>4.1721968934930569</v>
      </c>
      <c r="P62">
        <f t="shared" si="8"/>
        <v>6.681210727769141</v>
      </c>
      <c r="Q62">
        <f t="shared" si="8"/>
        <v>6.6471475786750966</v>
      </c>
    </row>
    <row r="64" spans="1:17" s="1" customFormat="1" x14ac:dyDescent="0.2">
      <c r="A64" s="1" t="s">
        <v>45</v>
      </c>
      <c r="B64" s="1" t="s">
        <v>2</v>
      </c>
      <c r="C64" s="1" t="s">
        <v>254</v>
      </c>
    </row>
    <row r="65" spans="1:13" x14ac:dyDescent="0.2">
      <c r="A65" t="s">
        <v>253</v>
      </c>
      <c r="B65">
        <v>224.10400000000001</v>
      </c>
      <c r="C65">
        <v>253.28200000000001</v>
      </c>
      <c r="D65">
        <v>295.22300000000001</v>
      </c>
      <c r="E65">
        <v>290.89499999999998</v>
      </c>
      <c r="F65">
        <v>350.59</v>
      </c>
      <c r="G65">
        <v>375.03500000000003</v>
      </c>
      <c r="H65">
        <v>318.46100000000001</v>
      </c>
      <c r="I65">
        <v>344.21100000000001</v>
      </c>
      <c r="J65">
        <v>326.81200000000001</v>
      </c>
      <c r="K65">
        <v>334.18799999999999</v>
      </c>
      <c r="L65">
        <v>290.738</v>
      </c>
      <c r="M65">
        <v>264.08199999999999</v>
      </c>
    </row>
    <row r="66" spans="1:13" x14ac:dyDescent="0.2">
      <c r="A66" t="s">
        <v>252</v>
      </c>
      <c r="C66">
        <f>C65-B65</f>
        <v>29.177999999999997</v>
      </c>
      <c r="D66">
        <f>D65-B65</f>
        <v>71.119</v>
      </c>
      <c r="E66">
        <f>E65-B65</f>
        <v>66.790999999999968</v>
      </c>
      <c r="F66">
        <f>F65-B65</f>
        <v>126.48599999999996</v>
      </c>
      <c r="G66">
        <f>G65-B65</f>
        <v>150.93100000000001</v>
      </c>
      <c r="H66">
        <f>H65-B65</f>
        <v>94.356999999999999</v>
      </c>
      <c r="I66">
        <f>I65-B65</f>
        <v>120.107</v>
      </c>
      <c r="J66">
        <f>J65-B65</f>
        <v>102.708</v>
      </c>
      <c r="K66">
        <f>K65-B65</f>
        <v>110.08399999999997</v>
      </c>
      <c r="L66">
        <f>L65-B65</f>
        <v>66.633999999999986</v>
      </c>
      <c r="M66">
        <f>M65-B65</f>
        <v>39.97799999999998</v>
      </c>
    </row>
    <row r="67" spans="1:13" x14ac:dyDescent="0.2">
      <c r="A67" t="s">
        <v>31</v>
      </c>
      <c r="C67">
        <v>2.6349999999999998</v>
      </c>
      <c r="D67">
        <v>1.161</v>
      </c>
      <c r="E67">
        <v>0.93</v>
      </c>
      <c r="F67">
        <v>0.56200000000000006</v>
      </c>
      <c r="G67">
        <v>1.083</v>
      </c>
      <c r="H67">
        <v>1.7629999999999999</v>
      </c>
      <c r="I67">
        <v>0.61899999999999999</v>
      </c>
      <c r="J67">
        <v>0.92500000000000004</v>
      </c>
      <c r="K67">
        <v>0.66300000000000003</v>
      </c>
      <c r="L67">
        <v>1.3089999999999999</v>
      </c>
      <c r="M67">
        <v>1.6659999999999999</v>
      </c>
    </row>
    <row r="68" spans="1:13" x14ac:dyDescent="0.2">
      <c r="A68" t="s">
        <v>17</v>
      </c>
      <c r="C68">
        <f t="shared" ref="C68:M68" si="9">SQRT(9+C67^2)</f>
        <v>3.9928968181008631</v>
      </c>
      <c r="D68">
        <f t="shared" si="9"/>
        <v>3.2168184592855096</v>
      </c>
      <c r="E68">
        <f t="shared" si="9"/>
        <v>3.1408438356594552</v>
      </c>
      <c r="F68">
        <f t="shared" si="9"/>
        <v>3.0521867570645149</v>
      </c>
      <c r="G68">
        <f t="shared" si="9"/>
        <v>3.1894966687551189</v>
      </c>
      <c r="H68">
        <f t="shared" si="9"/>
        <v>3.4796794392587374</v>
      </c>
      <c r="I68">
        <f t="shared" si="9"/>
        <v>3.0631945742965789</v>
      </c>
      <c r="J68">
        <f t="shared" si="9"/>
        <v>3.1393669744074204</v>
      </c>
      <c r="K68">
        <f t="shared" si="9"/>
        <v>3.0723881590710507</v>
      </c>
      <c r="L68">
        <f t="shared" si="9"/>
        <v>3.2731454290941611</v>
      </c>
      <c r="M68">
        <f t="shared" si="9"/>
        <v>3.4315530011934827</v>
      </c>
    </row>
    <row r="69" spans="1:13" x14ac:dyDescent="0.2">
      <c r="A69" t="s">
        <v>251</v>
      </c>
      <c r="C69">
        <f t="shared" ref="C69:M69" si="10">C66/30.6196</f>
        <v>0.95291904531737837</v>
      </c>
      <c r="D69">
        <f t="shared" si="10"/>
        <v>2.3226626082639878</v>
      </c>
      <c r="E69">
        <f t="shared" si="10"/>
        <v>2.1813152359926313</v>
      </c>
      <c r="F69">
        <f t="shared" si="10"/>
        <v>4.1308834863943344</v>
      </c>
      <c r="G69">
        <f t="shared" si="10"/>
        <v>4.9292283374048003</v>
      </c>
      <c r="H69">
        <f t="shared" si="10"/>
        <v>3.081588263726502</v>
      </c>
      <c r="I69">
        <f t="shared" si="10"/>
        <v>3.9225528746293228</v>
      </c>
      <c r="J69">
        <f t="shared" si="10"/>
        <v>3.3543220682177428</v>
      </c>
      <c r="K69">
        <f t="shared" si="10"/>
        <v>3.5952135233641189</v>
      </c>
      <c r="L69">
        <f t="shared" si="10"/>
        <v>2.1761878012776128</v>
      </c>
      <c r="M69">
        <f t="shared" si="10"/>
        <v>1.3056342995989492</v>
      </c>
    </row>
    <row r="71" spans="1:13" s="1" customFormat="1" x14ac:dyDescent="0.2">
      <c r="A71" s="1" t="s">
        <v>58</v>
      </c>
      <c r="B71" s="1" t="s">
        <v>2</v>
      </c>
      <c r="C71" s="1" t="s">
        <v>254</v>
      </c>
    </row>
    <row r="72" spans="1:13" x14ac:dyDescent="0.2">
      <c r="A72" t="s">
        <v>261</v>
      </c>
      <c r="B72">
        <v>224.10400000000001</v>
      </c>
      <c r="C72">
        <v>252.73400000000001</v>
      </c>
      <c r="D72">
        <v>251.40600000000001</v>
      </c>
    </row>
    <row r="73" spans="1:13" x14ac:dyDescent="0.2">
      <c r="A73" t="s">
        <v>252</v>
      </c>
      <c r="C73">
        <f>C72-B72</f>
        <v>28.629999999999995</v>
      </c>
      <c r="D73">
        <f>D72-B72</f>
        <v>27.301999999999992</v>
      </c>
    </row>
    <row r="74" spans="1:13" x14ac:dyDescent="0.2">
      <c r="A74" t="s">
        <v>31</v>
      </c>
      <c r="C74">
        <v>0.79400000000000004</v>
      </c>
      <c r="D74">
        <v>0.57599999999999996</v>
      </c>
    </row>
    <row r="75" spans="1:13" x14ac:dyDescent="0.2">
      <c r="A75" t="s">
        <v>17</v>
      </c>
      <c r="C75">
        <f>SQRT(16+C74^2)</f>
        <v>4.0780431581826102</v>
      </c>
      <c r="D75">
        <f>SQRT(16+D74^2)</f>
        <v>4.0412592097018472</v>
      </c>
    </row>
    <row r="76" spans="1:13" x14ac:dyDescent="0.2">
      <c r="A76" t="s">
        <v>251</v>
      </c>
      <c r="C76">
        <f>C73/30.6196</f>
        <v>0.93502201204457269</v>
      </c>
      <c r="D76">
        <f>D73/30.6196</f>
        <v>0.8916510992958756</v>
      </c>
    </row>
    <row r="78" spans="1:13" x14ac:dyDescent="0.2">
      <c r="A78" t="s">
        <v>27</v>
      </c>
      <c r="B78">
        <v>40.747</v>
      </c>
    </row>
    <row r="79" spans="1:13" x14ac:dyDescent="0.2">
      <c r="A79" t="s">
        <v>33</v>
      </c>
      <c r="B79">
        <f>AVERAGE(C59,C52,C46,C39:D39,C25,C18,C4)</f>
        <v>30.619624999999989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06D6-92F7-404D-94AD-8E009B6A6653}">
  <dimension ref="A1:U52"/>
  <sheetViews>
    <sheetView topLeftCell="A5" workbookViewId="0">
      <selection activeCell="D51" sqref="D51"/>
    </sheetView>
  </sheetViews>
  <sheetFormatPr baseColWidth="10" defaultRowHeight="15" x14ac:dyDescent="0.2"/>
  <cols>
    <col min="1" max="1" width="32.33203125" bestFit="1" customWidth="1"/>
  </cols>
  <sheetData>
    <row r="1" spans="1:21" ht="32" x14ac:dyDescent="0.2">
      <c r="A1" t="s">
        <v>227</v>
      </c>
      <c r="C1" s="26" t="s">
        <v>226</v>
      </c>
      <c r="E1" t="s">
        <v>225</v>
      </c>
      <c r="G1" t="s">
        <v>224</v>
      </c>
    </row>
    <row r="2" spans="1:21" x14ac:dyDescent="0.2">
      <c r="A2" t="s">
        <v>223</v>
      </c>
      <c r="B2" s="25">
        <v>45279</v>
      </c>
      <c r="C2" t="s">
        <v>222</v>
      </c>
      <c r="E2">
        <v>53.866999999999997</v>
      </c>
      <c r="G2">
        <f>AVERAGE(C8:H8,C14,C28,C42:H42)</f>
        <v>371.17321428571421</v>
      </c>
    </row>
    <row r="4" spans="1:21" x14ac:dyDescent="0.2">
      <c r="A4" t="s">
        <v>245</v>
      </c>
    </row>
    <row r="6" spans="1:21" x14ac:dyDescent="0.2">
      <c r="A6" s="1" t="s">
        <v>244</v>
      </c>
      <c r="B6" t="s">
        <v>235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</row>
    <row r="7" spans="1:21" x14ac:dyDescent="0.2">
      <c r="A7" t="s">
        <v>215</v>
      </c>
      <c r="B7">
        <v>219.65700000000001</v>
      </c>
      <c r="C7">
        <v>456.49200000000002</v>
      </c>
      <c r="D7">
        <v>669.64800000000002</v>
      </c>
      <c r="E7">
        <v>670.98</v>
      </c>
      <c r="F7">
        <v>759.94500000000005</v>
      </c>
      <c r="G7">
        <v>523.65599999999995</v>
      </c>
      <c r="H7">
        <v>564.52300000000002</v>
      </c>
      <c r="I7">
        <v>744.24199999999996</v>
      </c>
      <c r="J7">
        <v>773.89800000000002</v>
      </c>
      <c r="K7">
        <v>760.53499999999997</v>
      </c>
      <c r="L7">
        <v>480.25400000000002</v>
      </c>
      <c r="M7">
        <v>749.01599999999996</v>
      </c>
      <c r="N7">
        <v>556.24199999999996</v>
      </c>
      <c r="O7">
        <v>863.03499999999997</v>
      </c>
      <c r="P7">
        <v>1063.8009999999999</v>
      </c>
      <c r="Q7">
        <v>1008.812</v>
      </c>
      <c r="R7">
        <v>1449.1559999999999</v>
      </c>
      <c r="S7">
        <v>1005.453</v>
      </c>
      <c r="T7">
        <v>820.97699999999998</v>
      </c>
      <c r="U7">
        <v>846.30899999999997</v>
      </c>
    </row>
    <row r="8" spans="1:21" x14ac:dyDescent="0.2">
      <c r="A8" t="s">
        <v>62</v>
      </c>
      <c r="C8">
        <f t="shared" ref="C8:U8" si="0">C7-$B$7</f>
        <v>236.83500000000001</v>
      </c>
      <c r="D8">
        <f t="shared" si="0"/>
        <v>449.99099999999999</v>
      </c>
      <c r="E8">
        <f t="shared" si="0"/>
        <v>451.32299999999998</v>
      </c>
      <c r="F8">
        <f t="shared" si="0"/>
        <v>540.28800000000001</v>
      </c>
      <c r="G8">
        <f t="shared" si="0"/>
        <v>303.99899999999991</v>
      </c>
      <c r="H8">
        <f t="shared" si="0"/>
        <v>344.86599999999999</v>
      </c>
      <c r="I8">
        <f t="shared" si="0"/>
        <v>524.58499999999992</v>
      </c>
      <c r="J8">
        <f t="shared" si="0"/>
        <v>554.24099999999999</v>
      </c>
      <c r="K8">
        <f t="shared" si="0"/>
        <v>540.87799999999993</v>
      </c>
      <c r="L8">
        <f t="shared" si="0"/>
        <v>260.59699999999998</v>
      </c>
      <c r="M8">
        <f t="shared" si="0"/>
        <v>529.35899999999992</v>
      </c>
      <c r="N8">
        <f t="shared" si="0"/>
        <v>336.58499999999992</v>
      </c>
      <c r="O8">
        <f t="shared" si="0"/>
        <v>643.37799999999993</v>
      </c>
      <c r="P8">
        <f t="shared" si="0"/>
        <v>844.14399999999989</v>
      </c>
      <c r="Q8">
        <f t="shared" si="0"/>
        <v>789.15499999999997</v>
      </c>
      <c r="R8">
        <f t="shared" si="0"/>
        <v>1229.499</v>
      </c>
      <c r="S8">
        <f t="shared" si="0"/>
        <v>785.79599999999994</v>
      </c>
      <c r="T8">
        <f t="shared" si="0"/>
        <v>601.31999999999994</v>
      </c>
      <c r="U8">
        <f t="shared" si="0"/>
        <v>626.65199999999993</v>
      </c>
    </row>
    <row r="9" spans="1:21" x14ac:dyDescent="0.2">
      <c r="A9" t="s">
        <v>214</v>
      </c>
      <c r="C9">
        <v>5.4320000000000004</v>
      </c>
      <c r="D9">
        <v>3.4049999999999998</v>
      </c>
      <c r="E9">
        <v>2.3780000000000001</v>
      </c>
      <c r="F9">
        <v>1.534</v>
      </c>
      <c r="G9">
        <v>5.125</v>
      </c>
      <c r="H9">
        <v>6.2450000000000001</v>
      </c>
      <c r="I9">
        <v>1.8029999999999999</v>
      </c>
      <c r="J9">
        <v>2.0579999999999998</v>
      </c>
      <c r="K9">
        <v>1.722</v>
      </c>
      <c r="L9">
        <v>1.2190000000000001</v>
      </c>
      <c r="M9">
        <v>4.0629999999999997</v>
      </c>
      <c r="N9">
        <v>4.32</v>
      </c>
      <c r="O9">
        <v>2.4729999999999999</v>
      </c>
      <c r="P9">
        <v>2.2679999999999998</v>
      </c>
      <c r="Q9">
        <v>2.0169999999999999</v>
      </c>
      <c r="R9">
        <v>2.6539999999999999</v>
      </c>
      <c r="S9">
        <v>5.431</v>
      </c>
      <c r="T9">
        <v>4.915</v>
      </c>
      <c r="U9">
        <v>5.6459999999999999</v>
      </c>
    </row>
    <row r="10" spans="1:21" x14ac:dyDescent="0.2">
      <c r="A10" t="s">
        <v>59</v>
      </c>
      <c r="I10">
        <f t="shared" ref="I10:U10" si="1">I8/$G$2</f>
        <v>1.4133158854404713</v>
      </c>
      <c r="J10">
        <f t="shared" si="1"/>
        <v>1.4932138922432252</v>
      </c>
      <c r="K10">
        <f t="shared" si="1"/>
        <v>1.4572118331352806</v>
      </c>
      <c r="L10">
        <f t="shared" si="1"/>
        <v>0.70208999456357024</v>
      </c>
      <c r="M10">
        <f t="shared" si="1"/>
        <v>1.4261778049331995</v>
      </c>
      <c r="N10">
        <f t="shared" si="1"/>
        <v>0.90681381911602688</v>
      </c>
      <c r="O10">
        <f t="shared" si="1"/>
        <v>1.7333632256791931</v>
      </c>
      <c r="P10">
        <f t="shared" si="1"/>
        <v>2.2742589376350089</v>
      </c>
      <c r="Q10">
        <f t="shared" si="1"/>
        <v>2.1261097773950364</v>
      </c>
      <c r="R10">
        <f t="shared" si="1"/>
        <v>3.3124669364033936</v>
      </c>
      <c r="S10">
        <f t="shared" si="1"/>
        <v>2.1170600941993776</v>
      </c>
      <c r="T10">
        <f t="shared" si="1"/>
        <v>1.6200522474585894</v>
      </c>
      <c r="U10">
        <f t="shared" si="1"/>
        <v>1.6883007067358811</v>
      </c>
    </row>
    <row r="12" spans="1:21" x14ac:dyDescent="0.2">
      <c r="A12" s="1" t="s">
        <v>243</v>
      </c>
      <c r="C12">
        <v>1</v>
      </c>
    </row>
    <row r="13" spans="1:21" x14ac:dyDescent="0.2">
      <c r="A13" t="s">
        <v>215</v>
      </c>
      <c r="C13">
        <v>434.84800000000001</v>
      </c>
      <c r="D13">
        <v>1704.0619999999999</v>
      </c>
      <c r="E13">
        <v>1939.52</v>
      </c>
      <c r="F13">
        <v>1850.367</v>
      </c>
      <c r="G13">
        <v>704.72699999999998</v>
      </c>
      <c r="H13">
        <v>1096.336</v>
      </c>
      <c r="I13">
        <v>1545.8589999999999</v>
      </c>
      <c r="J13">
        <v>1552.125</v>
      </c>
      <c r="K13">
        <v>1454.59</v>
      </c>
      <c r="L13">
        <v>1272.7809999999999</v>
      </c>
    </row>
    <row r="14" spans="1:21" x14ac:dyDescent="0.2">
      <c r="A14" t="s">
        <v>62</v>
      </c>
      <c r="C14">
        <f t="shared" ref="C14:L14" si="2">C13-$B$7</f>
        <v>215.191</v>
      </c>
      <c r="D14">
        <f t="shared" si="2"/>
        <v>1484.405</v>
      </c>
      <c r="E14">
        <f t="shared" si="2"/>
        <v>1719.8630000000001</v>
      </c>
      <c r="F14">
        <f t="shared" si="2"/>
        <v>1630.71</v>
      </c>
      <c r="G14">
        <f t="shared" si="2"/>
        <v>485.06999999999994</v>
      </c>
      <c r="H14">
        <f t="shared" si="2"/>
        <v>876.67899999999997</v>
      </c>
      <c r="I14">
        <f t="shared" si="2"/>
        <v>1326.202</v>
      </c>
      <c r="J14">
        <f t="shared" si="2"/>
        <v>1332.4680000000001</v>
      </c>
      <c r="K14">
        <f t="shared" si="2"/>
        <v>1234.933</v>
      </c>
      <c r="L14">
        <f t="shared" si="2"/>
        <v>1053.124</v>
      </c>
    </row>
    <row r="15" spans="1:21" x14ac:dyDescent="0.2">
      <c r="A15" t="s">
        <v>214</v>
      </c>
      <c r="C15">
        <v>1.6679999999999999</v>
      </c>
      <c r="D15">
        <v>1.5129999999999999</v>
      </c>
      <c r="E15">
        <v>2.4009999999999998</v>
      </c>
      <c r="F15">
        <v>1.9039999999999999</v>
      </c>
      <c r="G15">
        <v>2.5649999999999999</v>
      </c>
      <c r="H15">
        <v>4.9029999999999996</v>
      </c>
      <c r="I15">
        <v>4.99</v>
      </c>
      <c r="J15">
        <v>5.4489999999999998</v>
      </c>
      <c r="K15">
        <v>5.0430000000000001</v>
      </c>
      <c r="L15">
        <v>5.532</v>
      </c>
    </row>
    <row r="16" spans="1:21" x14ac:dyDescent="0.2">
      <c r="A16" t="s">
        <v>60</v>
      </c>
      <c r="C16">
        <f t="shared" ref="C16:L16" si="3">SQRT((1+(C15^2)))</f>
        <v>1.9447940765027025</v>
      </c>
      <c r="D16">
        <f t="shared" si="3"/>
        <v>1.8136066276896983</v>
      </c>
      <c r="E16">
        <f t="shared" si="3"/>
        <v>2.6009231053608639</v>
      </c>
      <c r="F16">
        <f t="shared" si="3"/>
        <v>2.1506315351542673</v>
      </c>
      <c r="G16">
        <f t="shared" si="3"/>
        <v>2.7530392296514772</v>
      </c>
      <c r="H16">
        <f t="shared" si="3"/>
        <v>5.0039393481536116</v>
      </c>
      <c r="I16">
        <f t="shared" si="3"/>
        <v>5.0892140847089546</v>
      </c>
      <c r="J16">
        <f t="shared" si="3"/>
        <v>5.5400000902527067</v>
      </c>
      <c r="K16">
        <f t="shared" si="3"/>
        <v>5.1411913988880054</v>
      </c>
      <c r="L16">
        <f t="shared" si="3"/>
        <v>5.6216566953167817</v>
      </c>
    </row>
    <row r="17" spans="1:12" x14ac:dyDescent="0.2">
      <c r="A17" t="s">
        <v>59</v>
      </c>
      <c r="D17">
        <f t="shared" ref="D17:L17" si="4">D14/$G$2</f>
        <v>3.99922446682094</v>
      </c>
      <c r="E17">
        <f t="shared" si="4"/>
        <v>4.6335859749731796</v>
      </c>
      <c r="F17">
        <f t="shared" si="4"/>
        <v>4.3933935349783759</v>
      </c>
      <c r="G17">
        <f t="shared" si="4"/>
        <v>1.3068561559148839</v>
      </c>
      <c r="H17">
        <f t="shared" si="4"/>
        <v>2.3619134308683378</v>
      </c>
      <c r="I17">
        <f t="shared" si="4"/>
        <v>3.5730002838489932</v>
      </c>
      <c r="J17">
        <f t="shared" si="4"/>
        <v>3.5898818899531899</v>
      </c>
      <c r="K17">
        <f t="shared" si="4"/>
        <v>3.3271070014481117</v>
      </c>
      <c r="L17">
        <f t="shared" si="4"/>
        <v>2.8372844792333196</v>
      </c>
    </row>
    <row r="19" spans="1:12" x14ac:dyDescent="0.2">
      <c r="A19" s="1" t="s">
        <v>242</v>
      </c>
    </row>
    <row r="20" spans="1:12" x14ac:dyDescent="0.2">
      <c r="A20" t="s">
        <v>215</v>
      </c>
      <c r="C20">
        <v>1034.4960000000001</v>
      </c>
      <c r="D20">
        <v>1579.8979999999999</v>
      </c>
    </row>
    <row r="21" spans="1:12" x14ac:dyDescent="0.2">
      <c r="A21" t="s">
        <v>62</v>
      </c>
      <c r="C21">
        <f>C20-$B$7</f>
        <v>814.83900000000006</v>
      </c>
      <c r="D21">
        <f>D20-$B$7</f>
        <v>1360.241</v>
      </c>
    </row>
    <row r="22" spans="1:12" x14ac:dyDescent="0.2">
      <c r="A22" t="s">
        <v>214</v>
      </c>
      <c r="C22">
        <v>3.5870000000000002</v>
      </c>
      <c r="D22">
        <v>2.331</v>
      </c>
    </row>
    <row r="23" spans="1:12" x14ac:dyDescent="0.2">
      <c r="A23" t="s">
        <v>60</v>
      </c>
      <c r="C23">
        <f>SQRT((4+(C22^2)))</f>
        <v>4.1068928644414386</v>
      </c>
      <c r="D23">
        <f>SQRT((4+(D22^2)))</f>
        <v>3.071410262403901</v>
      </c>
    </row>
    <row r="24" spans="1:12" x14ac:dyDescent="0.2">
      <c r="A24" t="s">
        <v>59</v>
      </c>
      <c r="C24">
        <f>C21/$G$2</f>
        <v>2.1953065809667227</v>
      </c>
      <c r="D24">
        <f>D21/$G$2</f>
        <v>3.6647067936129174</v>
      </c>
    </row>
    <row r="26" spans="1:12" x14ac:dyDescent="0.2">
      <c r="A26" s="1" t="s">
        <v>241</v>
      </c>
      <c r="C26">
        <v>1</v>
      </c>
    </row>
    <row r="27" spans="1:12" x14ac:dyDescent="0.2">
      <c r="A27" t="s">
        <v>215</v>
      </c>
      <c r="C27">
        <v>399.15600000000001</v>
      </c>
    </row>
    <row r="28" spans="1:12" x14ac:dyDescent="0.2">
      <c r="A28" t="s">
        <v>62</v>
      </c>
      <c r="C28">
        <f>C27-$B$7</f>
        <v>179.499</v>
      </c>
    </row>
    <row r="29" spans="1:12" x14ac:dyDescent="0.2">
      <c r="A29" t="s">
        <v>214</v>
      </c>
      <c r="C29">
        <v>6.4930000000000003</v>
      </c>
    </row>
    <row r="30" spans="1:12" x14ac:dyDescent="0.2">
      <c r="A30" t="s">
        <v>60</v>
      </c>
      <c r="C30">
        <f>SQRT((9+(C29^2)))</f>
        <v>7.1525554174714374</v>
      </c>
    </row>
    <row r="31" spans="1:12" x14ac:dyDescent="0.2">
      <c r="A31" t="s">
        <v>59</v>
      </c>
      <c r="C31">
        <f>C28/G2</f>
        <v>0.48359901278282674</v>
      </c>
    </row>
    <row r="33" spans="1:21" x14ac:dyDescent="0.2">
      <c r="A33" s="1" t="s">
        <v>240</v>
      </c>
    </row>
    <row r="34" spans="1:21" x14ac:dyDescent="0.2">
      <c r="A34" t="s">
        <v>215</v>
      </c>
      <c r="C34">
        <v>417.12900000000002</v>
      </c>
      <c r="D34">
        <v>554.76599999999996</v>
      </c>
      <c r="E34">
        <v>638.17600000000004</v>
      </c>
    </row>
    <row r="35" spans="1:21" x14ac:dyDescent="0.2">
      <c r="A35" t="s">
        <v>62</v>
      </c>
      <c r="C35">
        <f>C34-$B$7</f>
        <v>197.47200000000001</v>
      </c>
      <c r="D35">
        <f>D34-$B$7</f>
        <v>335.10899999999992</v>
      </c>
      <c r="E35">
        <f>E34-$B$7</f>
        <v>418.51900000000001</v>
      </c>
    </row>
    <row r="36" spans="1:21" x14ac:dyDescent="0.2">
      <c r="A36" t="s">
        <v>214</v>
      </c>
      <c r="C36">
        <v>2.67</v>
      </c>
      <c r="D36">
        <v>6.4189999999999996</v>
      </c>
      <c r="E36">
        <v>6.4859999999999998</v>
      </c>
    </row>
    <row r="37" spans="1:21" x14ac:dyDescent="0.2">
      <c r="A37" t="s">
        <v>60</v>
      </c>
      <c r="C37">
        <f>SQRT((16+(C36^2)))</f>
        <v>4.8092515010134376</v>
      </c>
      <c r="D37">
        <f>SQRT((16+(D36^2)))</f>
        <v>7.5633035771414061</v>
      </c>
      <c r="E37">
        <f>SQRT((16+(E36^2)))</f>
        <v>7.6202490772939964</v>
      </c>
    </row>
    <row r="38" spans="1:21" x14ac:dyDescent="0.2">
      <c r="A38" t="s">
        <v>59</v>
      </c>
      <c r="C38">
        <f>C35/$G$2</f>
        <v>0.53202114915542909</v>
      </c>
      <c r="D38">
        <f>D35/$G$2</f>
        <v>0.90283723906339453</v>
      </c>
      <c r="E38">
        <f>E35/$G$2</f>
        <v>1.1275571185959581</v>
      </c>
    </row>
    <row r="40" spans="1:21" x14ac:dyDescent="0.2">
      <c r="A40" s="1" t="s">
        <v>239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</row>
    <row r="41" spans="1:21" x14ac:dyDescent="0.2">
      <c r="A41" t="s">
        <v>215</v>
      </c>
      <c r="C41">
        <v>606.01199999999994</v>
      </c>
      <c r="D41">
        <v>1007.566</v>
      </c>
      <c r="E41">
        <v>651.59</v>
      </c>
      <c r="F41">
        <v>449.45699999999999</v>
      </c>
      <c r="G41">
        <v>595</v>
      </c>
      <c r="H41">
        <v>482.75</v>
      </c>
      <c r="I41">
        <v>1228.4570000000001</v>
      </c>
      <c r="J41">
        <v>1617.2460000000001</v>
      </c>
      <c r="K41">
        <v>1263.7270000000001</v>
      </c>
      <c r="L41">
        <v>776.73800000000006</v>
      </c>
      <c r="M41">
        <v>1068.68</v>
      </c>
      <c r="N41">
        <v>1712.1949999999999</v>
      </c>
      <c r="O41">
        <v>1364.0160000000001</v>
      </c>
      <c r="P41">
        <v>885.72699999999998</v>
      </c>
      <c r="Q41">
        <v>873.56200000000001</v>
      </c>
      <c r="R41">
        <v>1186.383</v>
      </c>
      <c r="S41">
        <v>914.96100000000001</v>
      </c>
      <c r="T41">
        <v>628.30100000000004</v>
      </c>
      <c r="U41">
        <v>477.80900000000003</v>
      </c>
    </row>
    <row r="42" spans="1:21" x14ac:dyDescent="0.2">
      <c r="A42" t="s">
        <v>62</v>
      </c>
      <c r="C42">
        <f t="shared" ref="C42:U42" si="5">C41-$B$7</f>
        <v>386.3549999999999</v>
      </c>
      <c r="D42">
        <f t="shared" si="5"/>
        <v>787.90899999999999</v>
      </c>
      <c r="E42">
        <f t="shared" si="5"/>
        <v>431.93299999999999</v>
      </c>
      <c r="F42">
        <f t="shared" si="5"/>
        <v>229.79999999999998</v>
      </c>
      <c r="G42">
        <f t="shared" si="5"/>
        <v>375.34299999999996</v>
      </c>
      <c r="H42">
        <f t="shared" si="5"/>
        <v>263.09299999999996</v>
      </c>
      <c r="I42">
        <f t="shared" si="5"/>
        <v>1008.8000000000001</v>
      </c>
      <c r="J42">
        <f t="shared" si="5"/>
        <v>1397.5890000000002</v>
      </c>
      <c r="K42">
        <f t="shared" si="5"/>
        <v>1044.0700000000002</v>
      </c>
      <c r="L42">
        <f t="shared" si="5"/>
        <v>557.08100000000002</v>
      </c>
      <c r="M42">
        <f t="shared" si="5"/>
        <v>849.02300000000002</v>
      </c>
      <c r="N42">
        <f t="shared" si="5"/>
        <v>1492.538</v>
      </c>
      <c r="O42">
        <f t="shared" si="5"/>
        <v>1144.3590000000002</v>
      </c>
      <c r="P42">
        <f t="shared" si="5"/>
        <v>666.06999999999994</v>
      </c>
      <c r="Q42">
        <f t="shared" si="5"/>
        <v>653.90499999999997</v>
      </c>
      <c r="R42">
        <f t="shared" si="5"/>
        <v>966.726</v>
      </c>
      <c r="S42">
        <f t="shared" si="5"/>
        <v>695.30399999999997</v>
      </c>
      <c r="T42">
        <f t="shared" si="5"/>
        <v>408.64400000000001</v>
      </c>
      <c r="U42">
        <f t="shared" si="5"/>
        <v>258.15200000000004</v>
      </c>
    </row>
    <row r="43" spans="1:21" x14ac:dyDescent="0.2">
      <c r="A43" t="s">
        <v>214</v>
      </c>
      <c r="C43">
        <v>5.4649999999999999</v>
      </c>
      <c r="D43">
        <v>2.016</v>
      </c>
      <c r="E43">
        <v>0.94299999999999995</v>
      </c>
      <c r="F43">
        <v>1.5</v>
      </c>
      <c r="G43">
        <v>2.6389999999999998</v>
      </c>
      <c r="H43">
        <v>10.119</v>
      </c>
      <c r="I43">
        <v>2.508</v>
      </c>
      <c r="J43">
        <v>1.9790000000000001</v>
      </c>
      <c r="K43">
        <v>2.3730000000000002</v>
      </c>
      <c r="L43">
        <v>3.121</v>
      </c>
      <c r="M43">
        <v>2.5939999999999999</v>
      </c>
      <c r="N43">
        <v>2.1259999999999999</v>
      </c>
      <c r="O43">
        <v>1.3480000000000001</v>
      </c>
      <c r="P43">
        <v>0.438</v>
      </c>
      <c r="Q43">
        <v>2.081</v>
      </c>
      <c r="R43">
        <v>2</v>
      </c>
      <c r="S43">
        <v>2.2389999999999999</v>
      </c>
      <c r="T43">
        <v>2.415</v>
      </c>
      <c r="U43">
        <v>4.2889999999999997</v>
      </c>
    </row>
    <row r="44" spans="1:21" x14ac:dyDescent="0.2">
      <c r="A44" t="s">
        <v>60</v>
      </c>
      <c r="C44">
        <f t="shared" ref="C44:U44" si="6">SQRT((1+(C43^2)))</f>
        <v>5.5557380247812258</v>
      </c>
      <c r="D44">
        <f t="shared" si="6"/>
        <v>2.2503901883895603</v>
      </c>
      <c r="E44">
        <f t="shared" si="6"/>
        <v>1.3744995452891209</v>
      </c>
      <c r="F44">
        <f t="shared" si="6"/>
        <v>1.8027756377319946</v>
      </c>
      <c r="G44">
        <f t="shared" si="6"/>
        <v>2.8221128609607375</v>
      </c>
      <c r="H44">
        <f t="shared" si="6"/>
        <v>10.168291941127576</v>
      </c>
      <c r="I44">
        <f t="shared" si="6"/>
        <v>2.7000118518258396</v>
      </c>
      <c r="J44">
        <f t="shared" si="6"/>
        <v>2.2173048955883359</v>
      </c>
      <c r="K44">
        <f t="shared" si="6"/>
        <v>2.575097862218056</v>
      </c>
      <c r="L44">
        <f t="shared" si="6"/>
        <v>3.2772917172567961</v>
      </c>
      <c r="M44">
        <f t="shared" si="6"/>
        <v>2.7800784161602348</v>
      </c>
      <c r="N44">
        <f t="shared" si="6"/>
        <v>2.3494416357934917</v>
      </c>
      <c r="O44">
        <f t="shared" si="6"/>
        <v>1.6784230694315425</v>
      </c>
      <c r="P44">
        <f t="shared" si="6"/>
        <v>1.0917160803065968</v>
      </c>
      <c r="Q44">
        <f t="shared" si="6"/>
        <v>2.308800770963142</v>
      </c>
      <c r="R44">
        <f t="shared" si="6"/>
        <v>2.2360679774997898</v>
      </c>
      <c r="S44">
        <f t="shared" si="6"/>
        <v>2.4521665930356362</v>
      </c>
      <c r="T44">
        <f t="shared" si="6"/>
        <v>2.6138525207057879</v>
      </c>
      <c r="U44">
        <f t="shared" si="6"/>
        <v>4.404034627475129</v>
      </c>
    </row>
    <row r="45" spans="1:21" x14ac:dyDescent="0.2">
      <c r="A45" t="s">
        <v>59</v>
      </c>
      <c r="I45">
        <f t="shared" ref="I45:U45" si="7">I42/$G$2</f>
        <v>2.7178685346175504</v>
      </c>
      <c r="J45">
        <f t="shared" si="7"/>
        <v>3.7653282785761375</v>
      </c>
      <c r="K45">
        <f t="shared" si="7"/>
        <v>2.8128915552519289</v>
      </c>
      <c r="L45">
        <f t="shared" si="7"/>
        <v>1.5008653064366371</v>
      </c>
      <c r="M45">
        <f t="shared" si="7"/>
        <v>2.2874037439200996</v>
      </c>
      <c r="N45">
        <f t="shared" si="7"/>
        <v>4.0211360695093266</v>
      </c>
      <c r="O45">
        <f t="shared" si="7"/>
        <v>3.0830861601966748</v>
      </c>
      <c r="P45">
        <f t="shared" si="7"/>
        <v>1.7944991027485244</v>
      </c>
      <c r="Q45">
        <f t="shared" si="7"/>
        <v>1.7617246472334349</v>
      </c>
      <c r="R45">
        <f t="shared" si="7"/>
        <v>2.6045144498381103</v>
      </c>
      <c r="S45">
        <f t="shared" si="7"/>
        <v>1.8732601740619756</v>
      </c>
      <c r="T45">
        <f t="shared" si="7"/>
        <v>1.1009522893142885</v>
      </c>
      <c r="U45">
        <f t="shared" si="7"/>
        <v>0.69550277354142542</v>
      </c>
    </row>
    <row r="47" spans="1:21" x14ac:dyDescent="0.2">
      <c r="A47" s="1" t="s">
        <v>238</v>
      </c>
    </row>
    <row r="48" spans="1:21" x14ac:dyDescent="0.2">
      <c r="A48" t="s">
        <v>215</v>
      </c>
      <c r="C48">
        <v>886.21900000000005</v>
      </c>
      <c r="D48">
        <v>786.98800000000006</v>
      </c>
    </row>
    <row r="49" spans="1:4" x14ac:dyDescent="0.2">
      <c r="A49" t="s">
        <v>62</v>
      </c>
      <c r="C49">
        <f>C48-$B$7</f>
        <v>666.56200000000001</v>
      </c>
      <c r="D49">
        <f>D48-$B$7</f>
        <v>567.33100000000002</v>
      </c>
    </row>
    <row r="50" spans="1:4" x14ac:dyDescent="0.2">
      <c r="A50" t="s">
        <v>214</v>
      </c>
      <c r="C50">
        <v>2.016</v>
      </c>
      <c r="D50">
        <v>2.3330000000000002</v>
      </c>
    </row>
    <row r="51" spans="1:4" x14ac:dyDescent="0.2">
      <c r="A51" t="s">
        <v>60</v>
      </c>
      <c r="C51">
        <f>SQRT((4+(C50^2)))</f>
        <v>2.8397633704236696</v>
      </c>
      <c r="D51">
        <f>SQRT((4+(D50^2)))</f>
        <v>3.0729284078871739</v>
      </c>
    </row>
    <row r="52" spans="1:4" x14ac:dyDescent="0.2">
      <c r="A52" t="s">
        <v>59</v>
      </c>
      <c r="C52">
        <f>C49/$G$2</f>
        <v>1.7958246294327354</v>
      </c>
      <c r="D52">
        <f>D49/$G$2</f>
        <v>1.5284804456910284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BF3A-6C1F-104B-A166-33C286C092BD}">
  <dimension ref="A1:Q58"/>
  <sheetViews>
    <sheetView workbookViewId="0">
      <selection activeCell="E71" sqref="E71"/>
    </sheetView>
  </sheetViews>
  <sheetFormatPr baseColWidth="10" defaultRowHeight="15" x14ac:dyDescent="0.2"/>
  <cols>
    <col min="1" max="1" width="35" customWidth="1"/>
    <col min="2" max="2" width="18.1640625" customWidth="1"/>
  </cols>
  <sheetData>
    <row r="1" spans="1:17" s="1" customFormat="1" x14ac:dyDescent="0.2">
      <c r="A1" s="1" t="s">
        <v>357</v>
      </c>
      <c r="B1" s="1" t="s">
        <v>70</v>
      </c>
      <c r="C1" s="1" t="s">
        <v>283</v>
      </c>
      <c r="D1" s="1" t="s">
        <v>283</v>
      </c>
      <c r="E1" s="1" t="s">
        <v>283</v>
      </c>
      <c r="F1" s="1" t="s">
        <v>283</v>
      </c>
      <c r="G1" s="1" t="s">
        <v>283</v>
      </c>
      <c r="H1" s="1" t="s">
        <v>283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  <c r="N1" s="1" t="s">
        <v>283</v>
      </c>
      <c r="O1" s="1" t="s">
        <v>283</v>
      </c>
      <c r="P1" s="1" t="s">
        <v>283</v>
      </c>
      <c r="Q1" s="1" t="s">
        <v>283</v>
      </c>
    </row>
    <row r="2" spans="1:17" x14ac:dyDescent="0.2">
      <c r="A2" t="s">
        <v>63</v>
      </c>
      <c r="B2">
        <v>218.33500000000001</v>
      </c>
      <c r="C2">
        <v>285.04300000000001</v>
      </c>
      <c r="D2">
        <v>279.46100000000001</v>
      </c>
      <c r="E2">
        <v>258.863</v>
      </c>
      <c r="F2">
        <v>237.773</v>
      </c>
      <c r="G2">
        <v>250.238</v>
      </c>
      <c r="H2">
        <v>283.09399999999999</v>
      </c>
      <c r="I2">
        <v>358.47300000000001</v>
      </c>
      <c r="J2">
        <v>334.93</v>
      </c>
      <c r="K2">
        <v>335.24200000000002</v>
      </c>
      <c r="L2">
        <v>303.84399999999999</v>
      </c>
      <c r="M2">
        <v>236.387</v>
      </c>
      <c r="N2">
        <v>248.684</v>
      </c>
      <c r="O2">
        <v>252.25399999999999</v>
      </c>
      <c r="P2">
        <v>255.87100000000001</v>
      </c>
      <c r="Q2">
        <v>241.05099999999999</v>
      </c>
    </row>
    <row r="3" spans="1:17" x14ac:dyDescent="0.2">
      <c r="A3" t="s">
        <v>62</v>
      </c>
      <c r="C3">
        <v>66.707999999999998</v>
      </c>
      <c r="D3">
        <v>61.126000000000005</v>
      </c>
      <c r="E3">
        <v>40.527999999999992</v>
      </c>
      <c r="F3">
        <v>19.437999999999988</v>
      </c>
      <c r="G3">
        <v>31.902999999999992</v>
      </c>
      <c r="H3">
        <v>64.758999999999986</v>
      </c>
      <c r="I3">
        <v>140.13800000000001</v>
      </c>
      <c r="J3">
        <v>116.595</v>
      </c>
      <c r="K3">
        <v>116.90700000000001</v>
      </c>
      <c r="L3">
        <v>85.508999999999986</v>
      </c>
      <c r="M3">
        <v>18.051999999999992</v>
      </c>
      <c r="N3">
        <v>30.34899999999999</v>
      </c>
      <c r="O3">
        <v>33.918999999999983</v>
      </c>
      <c r="P3">
        <v>37.536000000000001</v>
      </c>
      <c r="Q3">
        <v>22.71599999999998</v>
      </c>
    </row>
    <row r="4" spans="1:17" x14ac:dyDescent="0.2">
      <c r="A4" t="s">
        <v>61</v>
      </c>
      <c r="C4">
        <v>2.4710000000000001</v>
      </c>
      <c r="D4">
        <v>2.262</v>
      </c>
      <c r="E4">
        <v>1.7569999999999999</v>
      </c>
      <c r="F4">
        <v>1.5840000000000001</v>
      </c>
      <c r="G4">
        <v>1.4219999999999999</v>
      </c>
      <c r="H4">
        <v>1.43</v>
      </c>
      <c r="I4">
        <v>2.226</v>
      </c>
      <c r="J4">
        <v>3.028</v>
      </c>
      <c r="K4">
        <v>2.0659999999999998</v>
      </c>
      <c r="L4">
        <v>2.9460000000000002</v>
      </c>
      <c r="M4">
        <v>1.847</v>
      </c>
      <c r="N4">
        <v>2.181</v>
      </c>
      <c r="O4">
        <v>3.0430000000000001</v>
      </c>
      <c r="P4">
        <v>2.1749999999999998</v>
      </c>
      <c r="Q4">
        <v>3.0670000000000002</v>
      </c>
    </row>
    <row r="5" spans="1:17" x14ac:dyDescent="0.2">
      <c r="A5" t="s">
        <v>60</v>
      </c>
      <c r="C5">
        <v>2.4710000000000001</v>
      </c>
      <c r="D5">
        <v>2.262</v>
      </c>
      <c r="E5">
        <v>1.7569999999999999</v>
      </c>
      <c r="F5">
        <v>1.5840000000000001</v>
      </c>
      <c r="G5">
        <v>1.4219999999999999</v>
      </c>
      <c r="H5">
        <v>1.43</v>
      </c>
      <c r="I5">
        <v>2.226</v>
      </c>
      <c r="J5">
        <v>3.028</v>
      </c>
      <c r="K5">
        <v>2.0659999999999998</v>
      </c>
      <c r="L5">
        <v>2.9460000000000002</v>
      </c>
      <c r="M5">
        <v>1.847</v>
      </c>
      <c r="N5">
        <v>2.181</v>
      </c>
      <c r="O5">
        <v>3.0430000000000001</v>
      </c>
      <c r="P5">
        <v>2.1749999999999998</v>
      </c>
      <c r="Q5">
        <v>3.0670000000000002</v>
      </c>
    </row>
    <row r="6" spans="1:17" x14ac:dyDescent="0.2">
      <c r="A6" t="s">
        <v>59</v>
      </c>
      <c r="C6">
        <v>1.9516248180627991</v>
      </c>
      <c r="D6">
        <v>1.7883165231892226</v>
      </c>
      <c r="E6">
        <v>1.1856966274876943</v>
      </c>
      <c r="F6">
        <v>0.56868266495030084</v>
      </c>
      <c r="G6">
        <v>0.93336161435895937</v>
      </c>
      <c r="H6">
        <v>1.8946044191540563</v>
      </c>
      <c r="I6">
        <v>4.0999100370822772</v>
      </c>
      <c r="J6">
        <v>3.4111305339994011</v>
      </c>
      <c r="K6">
        <v>3.4202584788221455</v>
      </c>
      <c r="L6">
        <v>2.5016712623333315</v>
      </c>
      <c r="M6">
        <v>0.52813352544926595</v>
      </c>
      <c r="N6">
        <v>0.88789742764567769</v>
      </c>
      <c r="O6">
        <v>0.99234218090591908</v>
      </c>
      <c r="P6">
        <v>1.0981619771362541</v>
      </c>
      <c r="Q6">
        <v>0.66458459805592296</v>
      </c>
    </row>
    <row r="8" spans="1:17" s="1" customFormat="1" x14ac:dyDescent="0.2">
      <c r="A8" s="1" t="s">
        <v>358</v>
      </c>
      <c r="C8" s="1">
        <v>1</v>
      </c>
      <c r="D8" s="1" t="s">
        <v>283</v>
      </c>
      <c r="E8" s="1" t="s">
        <v>283</v>
      </c>
      <c r="F8" s="1" t="s">
        <v>283</v>
      </c>
      <c r="G8" s="1" t="s">
        <v>283</v>
      </c>
      <c r="H8" s="1" t="s">
        <v>283</v>
      </c>
      <c r="I8" s="1" t="s">
        <v>283</v>
      </c>
      <c r="J8" s="1" t="s">
        <v>283</v>
      </c>
      <c r="K8" s="1" t="s">
        <v>283</v>
      </c>
      <c r="L8" s="1" t="s">
        <v>283</v>
      </c>
    </row>
    <row r="9" spans="1:17" x14ac:dyDescent="0.2">
      <c r="A9" t="s">
        <v>63</v>
      </c>
      <c r="C9">
        <v>237.96899999999999</v>
      </c>
      <c r="D9">
        <v>266.137</v>
      </c>
      <c r="E9">
        <v>282.11700000000002</v>
      </c>
      <c r="F9">
        <v>268.02699999999999</v>
      </c>
      <c r="G9">
        <v>288.83600000000001</v>
      </c>
      <c r="H9">
        <v>271.24200000000002</v>
      </c>
      <c r="I9">
        <v>302.19099999999997</v>
      </c>
      <c r="J9">
        <v>295.86700000000002</v>
      </c>
      <c r="K9">
        <v>298.387</v>
      </c>
      <c r="L9">
        <v>352.93400000000003</v>
      </c>
    </row>
    <row r="10" spans="1:17" x14ac:dyDescent="0.2">
      <c r="A10" t="s">
        <v>62</v>
      </c>
      <c r="C10">
        <v>19.633999999999986</v>
      </c>
      <c r="D10">
        <v>47.801999999999992</v>
      </c>
      <c r="E10">
        <v>63.782000000000011</v>
      </c>
      <c r="F10">
        <v>49.691999999999979</v>
      </c>
      <c r="G10">
        <v>70.501000000000005</v>
      </c>
      <c r="H10">
        <v>52.907000000000011</v>
      </c>
      <c r="I10">
        <v>83.855999999999966</v>
      </c>
      <c r="J10">
        <v>77.532000000000011</v>
      </c>
      <c r="K10">
        <v>80.051999999999992</v>
      </c>
      <c r="L10">
        <v>134.59900000000002</v>
      </c>
    </row>
    <row r="11" spans="1:17" x14ac:dyDescent="0.2">
      <c r="A11" t="s">
        <v>61</v>
      </c>
      <c r="C11">
        <v>12.177</v>
      </c>
      <c r="D11">
        <v>3.08</v>
      </c>
      <c r="E11">
        <v>2.157</v>
      </c>
      <c r="F11">
        <v>3.024</v>
      </c>
      <c r="G11">
        <v>2.1389999999999998</v>
      </c>
      <c r="H11">
        <v>1.37</v>
      </c>
      <c r="I11">
        <v>1.1040000000000001</v>
      </c>
      <c r="J11">
        <v>2.1469999999999998</v>
      </c>
      <c r="K11">
        <v>1.452</v>
      </c>
      <c r="L11">
        <v>2.2450000000000001</v>
      </c>
    </row>
    <row r="12" spans="1:17" x14ac:dyDescent="0.2">
      <c r="A12" t="s">
        <v>60</v>
      </c>
      <c r="C12">
        <v>12.217992019967928</v>
      </c>
      <c r="D12">
        <v>3.2382711436814553</v>
      </c>
      <c r="E12">
        <v>2.3775300208409567</v>
      </c>
      <c r="F12">
        <v>3.1850551015641786</v>
      </c>
      <c r="G12">
        <v>2.3612117651748221</v>
      </c>
      <c r="H12">
        <v>1.6961426826773742</v>
      </c>
      <c r="I12">
        <v>1.4895690651997309</v>
      </c>
      <c r="J12">
        <v>2.3684613148624569</v>
      </c>
      <c r="K12">
        <v>1.7630382865950474</v>
      </c>
      <c r="L12">
        <v>2.457646231661506</v>
      </c>
    </row>
    <row r="13" spans="1:17" x14ac:dyDescent="0.2">
      <c r="A13" t="s">
        <v>59</v>
      </c>
      <c r="D13">
        <v>1.3985064692846121</v>
      </c>
      <c r="E13">
        <v>1.86602107911617</v>
      </c>
      <c r="F13">
        <v>1.4538007504223867</v>
      </c>
      <c r="G13">
        <v>2.0625937113726303</v>
      </c>
      <c r="H13">
        <v>1.5478595408234175</v>
      </c>
      <c r="I13">
        <v>2.4533107085128325</v>
      </c>
      <c r="J13">
        <v>2.2682942884518345</v>
      </c>
      <c r="K13">
        <v>2.3420199966355337</v>
      </c>
      <c r="L13">
        <v>3.937859760245169</v>
      </c>
    </row>
    <row r="15" spans="1:17" s="1" customFormat="1" x14ac:dyDescent="0.2">
      <c r="A15" s="1" t="s">
        <v>359</v>
      </c>
      <c r="C15" s="1">
        <v>1</v>
      </c>
    </row>
    <row r="16" spans="1:17" x14ac:dyDescent="0.2">
      <c r="A16" t="s">
        <v>63</v>
      </c>
      <c r="C16">
        <v>248.488</v>
      </c>
    </row>
    <row r="17" spans="1:12" x14ac:dyDescent="0.2">
      <c r="A17" t="s">
        <v>62</v>
      </c>
      <c r="C17">
        <v>30.152999999999992</v>
      </c>
    </row>
    <row r="18" spans="1:12" x14ac:dyDescent="0.2">
      <c r="A18" t="s">
        <v>61</v>
      </c>
      <c r="C18">
        <v>3.9350000000000001</v>
      </c>
    </row>
    <row r="19" spans="1:12" x14ac:dyDescent="0.2">
      <c r="A19" t="s">
        <v>60</v>
      </c>
      <c r="C19">
        <v>4.4140939047555392</v>
      </c>
    </row>
    <row r="20" spans="1:12" x14ac:dyDescent="0.2">
      <c r="A20" t="s">
        <v>59</v>
      </c>
    </row>
    <row r="22" spans="1:12" s="1" customFormat="1" x14ac:dyDescent="0.2">
      <c r="A22" s="1" t="s">
        <v>360</v>
      </c>
      <c r="C22" s="1">
        <v>1</v>
      </c>
    </row>
    <row r="23" spans="1:12" x14ac:dyDescent="0.2">
      <c r="A23" t="s">
        <v>63</v>
      </c>
      <c r="C23">
        <v>234.34800000000001</v>
      </c>
    </row>
    <row r="24" spans="1:12" x14ac:dyDescent="0.2">
      <c r="A24" t="s">
        <v>62</v>
      </c>
      <c r="C24">
        <v>16.013000000000005</v>
      </c>
    </row>
    <row r="25" spans="1:12" x14ac:dyDescent="0.2">
      <c r="A25" t="s">
        <v>61</v>
      </c>
      <c r="C25">
        <v>3.9350000000000001</v>
      </c>
    </row>
    <row r="26" spans="1:12" x14ac:dyDescent="0.2">
      <c r="A26" t="s">
        <v>60</v>
      </c>
      <c r="C26">
        <v>4.9481536960769521</v>
      </c>
    </row>
    <row r="27" spans="1:12" x14ac:dyDescent="0.2">
      <c r="A27" t="s">
        <v>59</v>
      </c>
    </row>
    <row r="29" spans="1:12" s="1" customFormat="1" x14ac:dyDescent="0.2">
      <c r="A29" s="1" t="s">
        <v>361</v>
      </c>
      <c r="C29" s="1" t="s">
        <v>283</v>
      </c>
      <c r="D29" s="1" t="s">
        <v>283</v>
      </c>
      <c r="E29" s="1" t="s">
        <v>283</v>
      </c>
      <c r="F29" s="1" t="s">
        <v>283</v>
      </c>
      <c r="G29" s="1" t="s">
        <v>283</v>
      </c>
      <c r="H29" s="1" t="s">
        <v>283</v>
      </c>
      <c r="I29" s="1" t="s">
        <v>283</v>
      </c>
      <c r="J29" s="1" t="s">
        <v>283</v>
      </c>
      <c r="K29" s="1" t="s">
        <v>283</v>
      </c>
      <c r="L29" s="1" t="s">
        <v>283</v>
      </c>
    </row>
    <row r="30" spans="1:12" x14ac:dyDescent="0.2">
      <c r="A30" t="s">
        <v>63</v>
      </c>
      <c r="C30">
        <v>256.012</v>
      </c>
      <c r="D30">
        <v>240.07</v>
      </c>
      <c r="E30">
        <v>273.05500000000001</v>
      </c>
      <c r="F30">
        <v>281.12900000000002</v>
      </c>
      <c r="G30">
        <v>253.24199999999999</v>
      </c>
      <c r="H30">
        <v>279.298</v>
      </c>
      <c r="I30">
        <v>258.79700000000003</v>
      </c>
      <c r="J30">
        <v>286.94499999999999</v>
      </c>
      <c r="K30">
        <v>331.55099999999999</v>
      </c>
      <c r="L30">
        <v>259.28100000000001</v>
      </c>
    </row>
    <row r="31" spans="1:12" x14ac:dyDescent="0.2">
      <c r="A31" t="s">
        <v>62</v>
      </c>
      <c r="C31">
        <v>37.676999999999992</v>
      </c>
      <c r="D31">
        <v>21.734999999999985</v>
      </c>
      <c r="E31">
        <v>54.72</v>
      </c>
      <c r="F31">
        <v>62.794000000000011</v>
      </c>
      <c r="G31">
        <v>34.906999999999982</v>
      </c>
      <c r="H31">
        <v>60.962999999999994</v>
      </c>
      <c r="I31">
        <v>40.462000000000018</v>
      </c>
      <c r="J31">
        <v>68.609999999999985</v>
      </c>
      <c r="K31">
        <v>113.21599999999998</v>
      </c>
      <c r="L31">
        <v>40.945999999999998</v>
      </c>
    </row>
    <row r="32" spans="1:12" x14ac:dyDescent="0.2">
      <c r="A32" t="s">
        <v>61</v>
      </c>
      <c r="C32">
        <v>1.4910000000000001</v>
      </c>
      <c r="D32">
        <v>2.1949999999999998</v>
      </c>
      <c r="E32">
        <v>2.3780000000000001</v>
      </c>
      <c r="F32">
        <v>2.9319999999999999</v>
      </c>
      <c r="G32">
        <v>2.7029999999999998</v>
      </c>
      <c r="H32">
        <v>2.7280000000000002</v>
      </c>
      <c r="I32">
        <v>2.0150000000000001</v>
      </c>
      <c r="J32">
        <v>2.153</v>
      </c>
      <c r="K32">
        <v>2.7250000000000001</v>
      </c>
      <c r="L32">
        <v>3.4049999999999998</v>
      </c>
    </row>
    <row r="33" spans="1:12" x14ac:dyDescent="0.2">
      <c r="A33" t="s">
        <v>60</v>
      </c>
      <c r="C33">
        <v>1.7952941263202531</v>
      </c>
      <c r="D33">
        <v>2.4120582497112295</v>
      </c>
      <c r="E33">
        <v>2.5797061848202794</v>
      </c>
      <c r="F33">
        <v>3.0978418294031735</v>
      </c>
      <c r="G33">
        <v>2.8820494444058378</v>
      </c>
      <c r="H33">
        <v>2.9055092496841239</v>
      </c>
      <c r="I33">
        <v>2.2494943876346971</v>
      </c>
      <c r="J33">
        <v>2.3739016407593638</v>
      </c>
      <c r="K33">
        <v>2.9026927153937603</v>
      </c>
      <c r="L33">
        <v>3.5488061372805362</v>
      </c>
    </row>
    <row r="34" spans="1:12" x14ac:dyDescent="0.2">
      <c r="A34" t="s">
        <v>59</v>
      </c>
      <c r="C34">
        <v>1.1022871060465322</v>
      </c>
      <c r="D34">
        <v>0.63588423308441133</v>
      </c>
      <c r="E34">
        <v>1.6009010919889124</v>
      </c>
      <c r="F34">
        <v>1.8371159205108147</v>
      </c>
      <c r="G34">
        <v>1.0212473395112744</v>
      </c>
      <c r="H34">
        <v>1.7835477571440068</v>
      </c>
      <c r="I34">
        <v>1.1837657160828838</v>
      </c>
      <c r="J34">
        <v>2.0072701740014485</v>
      </c>
      <c r="K34">
        <v>3.3122737213197491</v>
      </c>
      <c r="L34">
        <v>1.1979257330514985</v>
      </c>
    </row>
    <row r="36" spans="1:12" s="1" customFormat="1" x14ac:dyDescent="0.2">
      <c r="A36" s="1" t="s">
        <v>362</v>
      </c>
      <c r="C36" s="1">
        <v>1</v>
      </c>
      <c r="D36" s="1" t="s">
        <v>283</v>
      </c>
      <c r="E36" s="1" t="s">
        <v>283</v>
      </c>
      <c r="F36" s="1" t="s">
        <v>283</v>
      </c>
      <c r="G36" s="1" t="s">
        <v>283</v>
      </c>
      <c r="H36" s="1" t="s">
        <v>283</v>
      </c>
    </row>
    <row r="37" spans="1:12" x14ac:dyDescent="0.2">
      <c r="A37" t="s">
        <v>63</v>
      </c>
      <c r="C37">
        <v>272.41399999999999</v>
      </c>
      <c r="D37">
        <v>260.137</v>
      </c>
      <c r="E37">
        <v>334.58600000000001</v>
      </c>
      <c r="F37">
        <v>293.42599999999999</v>
      </c>
      <c r="G37">
        <v>329.50799999999998</v>
      </c>
      <c r="H37">
        <v>369.738</v>
      </c>
    </row>
    <row r="38" spans="1:12" x14ac:dyDescent="0.2">
      <c r="A38" t="s">
        <v>62</v>
      </c>
      <c r="C38">
        <v>54.078999999999979</v>
      </c>
      <c r="D38">
        <v>41.801999999999992</v>
      </c>
      <c r="E38">
        <v>116.251</v>
      </c>
      <c r="F38">
        <v>75.09099999999998</v>
      </c>
      <c r="G38">
        <v>111.17299999999997</v>
      </c>
      <c r="H38">
        <v>151.40299999999999</v>
      </c>
    </row>
    <row r="39" spans="1:12" x14ac:dyDescent="0.2">
      <c r="A39" t="s">
        <v>61</v>
      </c>
      <c r="C39">
        <v>6.3019999999999996</v>
      </c>
      <c r="D39">
        <v>1.498</v>
      </c>
      <c r="E39">
        <v>2.69</v>
      </c>
      <c r="F39">
        <v>2.1240000000000001</v>
      </c>
      <c r="G39">
        <v>2.9390000000000001</v>
      </c>
      <c r="H39">
        <v>2.6219999999999999</v>
      </c>
    </row>
    <row r="40" spans="1:12" x14ac:dyDescent="0.2">
      <c r="A40" t="s">
        <v>60</v>
      </c>
      <c r="C40">
        <v>6.6117474240929672</v>
      </c>
      <c r="D40">
        <v>2.4988005122458254</v>
      </c>
      <c r="E40">
        <v>3.3520292361493507</v>
      </c>
      <c r="F40">
        <v>2.9174262629927772</v>
      </c>
      <c r="G40">
        <v>3.5549572430621441</v>
      </c>
      <c r="H40">
        <v>3.2977089016467174</v>
      </c>
    </row>
    <row r="41" spans="1:12" x14ac:dyDescent="0.2">
      <c r="A41" t="s">
        <v>59</v>
      </c>
      <c r="C41">
        <v>1.5821478463755183</v>
      </c>
      <c r="D41">
        <v>1.2229690688472314</v>
      </c>
      <c r="E41">
        <v>3.4010663897076583</v>
      </c>
      <c r="F41">
        <v>2.1968798227072255</v>
      </c>
      <c r="G41">
        <v>3.2525032364708206</v>
      </c>
      <c r="H41">
        <v>4.4294815064034596</v>
      </c>
    </row>
    <row r="43" spans="1:12" s="1" customFormat="1" x14ac:dyDescent="0.2">
      <c r="A43" s="1" t="s">
        <v>363</v>
      </c>
      <c r="C43" s="1">
        <v>1</v>
      </c>
      <c r="D43" s="1">
        <v>1</v>
      </c>
      <c r="E43" s="1">
        <v>1</v>
      </c>
      <c r="F43" s="1" t="s">
        <v>283</v>
      </c>
      <c r="G43" s="1" t="s">
        <v>283</v>
      </c>
      <c r="H43" s="1" t="s">
        <v>283</v>
      </c>
      <c r="I43" s="1" t="s">
        <v>283</v>
      </c>
    </row>
    <row r="44" spans="1:12" x14ac:dyDescent="0.2">
      <c r="A44" t="s">
        <v>63</v>
      </c>
      <c r="C44">
        <v>286.43799999999999</v>
      </c>
      <c r="D44">
        <v>238.67599999999999</v>
      </c>
      <c r="E44">
        <v>260.01600000000002</v>
      </c>
      <c r="F44">
        <v>262.30099999999999</v>
      </c>
      <c r="G44">
        <v>260.93400000000003</v>
      </c>
      <c r="H44">
        <v>272.68</v>
      </c>
      <c r="I44">
        <v>314.33199999999999</v>
      </c>
    </row>
    <row r="45" spans="1:12" x14ac:dyDescent="0.2">
      <c r="A45" t="s">
        <v>62</v>
      </c>
      <c r="C45">
        <v>68.10299999999998</v>
      </c>
      <c r="D45">
        <v>20.34099999999998</v>
      </c>
      <c r="E45">
        <v>41.681000000000012</v>
      </c>
      <c r="F45">
        <v>43.96599999999998</v>
      </c>
      <c r="G45">
        <v>42.599000000000018</v>
      </c>
      <c r="H45">
        <v>54.344999999999999</v>
      </c>
      <c r="I45">
        <v>95.996999999999986</v>
      </c>
    </row>
    <row r="46" spans="1:12" x14ac:dyDescent="0.2">
      <c r="A46" t="s">
        <v>61</v>
      </c>
      <c r="C46">
        <v>6.3140000000000001</v>
      </c>
      <c r="D46">
        <v>8.3870000000000005</v>
      </c>
      <c r="E46">
        <v>1.4510000000000001</v>
      </c>
      <c r="F46">
        <v>2.1930000000000001</v>
      </c>
      <c r="G46">
        <v>2.9780000000000002</v>
      </c>
      <c r="H46">
        <v>3.2480000000000002</v>
      </c>
      <c r="I46">
        <v>2.67</v>
      </c>
    </row>
    <row r="47" spans="1:12" x14ac:dyDescent="0.2">
      <c r="A47" t="s">
        <v>60</v>
      </c>
      <c r="C47">
        <v>6.9904646483620816</v>
      </c>
      <c r="D47">
        <v>8.9073996766733234</v>
      </c>
      <c r="E47">
        <v>3.3324767065952616</v>
      </c>
      <c r="F47">
        <v>3.7160797892402688</v>
      </c>
      <c r="G47">
        <v>4.2271129627678512</v>
      </c>
      <c r="H47">
        <v>4.4214821044532115</v>
      </c>
      <c r="I47">
        <v>4.0160801784824969</v>
      </c>
    </row>
    <row r="48" spans="1:12" x14ac:dyDescent="0.2">
      <c r="A48" t="s">
        <v>59</v>
      </c>
      <c r="F48">
        <v>1.2862795579383131</v>
      </c>
      <c r="G48">
        <v>1.2462862868719975</v>
      </c>
      <c r="H48">
        <v>1.5899300044615761</v>
      </c>
      <c r="I48">
        <v>2.8085106382978728</v>
      </c>
    </row>
    <row r="50" spans="1:3" s="1" customFormat="1" x14ac:dyDescent="0.2">
      <c r="A50" s="1" t="s">
        <v>364</v>
      </c>
      <c r="C50" s="1">
        <v>1</v>
      </c>
    </row>
    <row r="51" spans="1:3" x14ac:dyDescent="0.2">
      <c r="A51" t="s">
        <v>63</v>
      </c>
      <c r="C51">
        <v>241.77699999999999</v>
      </c>
    </row>
    <row r="52" spans="1:3" x14ac:dyDescent="0.2">
      <c r="A52" t="s">
        <v>62</v>
      </c>
      <c r="C52">
        <v>23.441999999999979</v>
      </c>
    </row>
    <row r="53" spans="1:3" x14ac:dyDescent="0.2">
      <c r="A53" t="s">
        <v>61</v>
      </c>
      <c r="C53">
        <v>9.484</v>
      </c>
    </row>
    <row r="54" spans="1:3" x14ac:dyDescent="0.2">
      <c r="A54" t="s">
        <v>60</v>
      </c>
      <c r="C54">
        <v>10.293019770698976</v>
      </c>
    </row>
    <row r="55" spans="1:3" x14ac:dyDescent="0.2">
      <c r="A55" t="s">
        <v>59</v>
      </c>
    </row>
    <row r="57" spans="1:3" x14ac:dyDescent="0.2">
      <c r="C57" t="s">
        <v>294</v>
      </c>
    </row>
    <row r="58" spans="1:3" x14ac:dyDescent="0.2">
      <c r="C58">
        <v>737.05723076923073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D14D-7A9C-8E40-A4B0-B87D10D08088}">
  <dimension ref="A1:T79"/>
  <sheetViews>
    <sheetView topLeftCell="A61" workbookViewId="0">
      <selection activeCell="J96" sqref="J96"/>
    </sheetView>
  </sheetViews>
  <sheetFormatPr baseColWidth="10" defaultRowHeight="15" x14ac:dyDescent="0.2"/>
  <cols>
    <col min="1" max="1" width="32.83203125" customWidth="1"/>
    <col min="2" max="2" width="19.1640625" customWidth="1"/>
  </cols>
  <sheetData>
    <row r="1" spans="1:20" s="1" customFormat="1" x14ac:dyDescent="0.2">
      <c r="A1" s="1" t="s">
        <v>346</v>
      </c>
      <c r="B1" s="1" t="s">
        <v>70</v>
      </c>
      <c r="C1" s="1">
        <v>1</v>
      </c>
      <c r="D1" s="1">
        <v>1</v>
      </c>
      <c r="E1" s="1">
        <v>1</v>
      </c>
      <c r="F1" s="1" t="s">
        <v>283</v>
      </c>
      <c r="G1" s="1" t="s">
        <v>283</v>
      </c>
      <c r="H1" s="1" t="s">
        <v>283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</row>
    <row r="2" spans="1:20" x14ac:dyDescent="0.2">
      <c r="A2" t="s">
        <v>63</v>
      </c>
      <c r="B2">
        <v>245.24299999999999</v>
      </c>
      <c r="C2">
        <v>943.00400000000002</v>
      </c>
      <c r="D2">
        <v>783.68</v>
      </c>
      <c r="E2">
        <v>828.41</v>
      </c>
      <c r="F2">
        <v>1015.359</v>
      </c>
      <c r="G2">
        <v>660.94500000000005</v>
      </c>
      <c r="H2">
        <v>2004.1410000000001</v>
      </c>
      <c r="I2">
        <v>1669.473</v>
      </c>
      <c r="J2">
        <v>655.72299999999996</v>
      </c>
      <c r="K2">
        <v>1865.059</v>
      </c>
      <c r="L2">
        <v>927.34</v>
      </c>
      <c r="M2">
        <v>983.61300000000006</v>
      </c>
    </row>
    <row r="3" spans="1:20" x14ac:dyDescent="0.2">
      <c r="A3" t="s">
        <v>62</v>
      </c>
      <c r="C3">
        <v>697.76099999999997</v>
      </c>
      <c r="D3">
        <v>538.4369999999999</v>
      </c>
      <c r="E3">
        <v>583.16699999999992</v>
      </c>
      <c r="F3">
        <v>770.11599999999999</v>
      </c>
      <c r="G3">
        <v>415.70200000000006</v>
      </c>
      <c r="H3">
        <v>1758.8980000000001</v>
      </c>
      <c r="I3">
        <v>1424.23</v>
      </c>
      <c r="J3">
        <v>410.47999999999996</v>
      </c>
      <c r="K3">
        <v>1619.816</v>
      </c>
      <c r="L3">
        <v>682.09699999999998</v>
      </c>
      <c r="M3">
        <v>738.37000000000012</v>
      </c>
    </row>
    <row r="4" spans="1:20" x14ac:dyDescent="0.2">
      <c r="A4" t="s">
        <v>61</v>
      </c>
      <c r="C4">
        <v>3.556</v>
      </c>
      <c r="D4">
        <v>3.4870000000000001</v>
      </c>
      <c r="E4">
        <v>1.972</v>
      </c>
      <c r="F4">
        <v>2.6349999999999998</v>
      </c>
      <c r="G4">
        <v>2.06</v>
      </c>
      <c r="H4">
        <v>1.6919999999999999</v>
      </c>
      <c r="I4">
        <v>2.262</v>
      </c>
      <c r="J4">
        <v>3.11</v>
      </c>
      <c r="K4">
        <v>1.8640000000000001</v>
      </c>
      <c r="L4">
        <v>2.177</v>
      </c>
      <c r="M4">
        <v>1.8939999999999999</v>
      </c>
    </row>
    <row r="5" spans="1:20" x14ac:dyDescent="0.2">
      <c r="A5" t="s">
        <v>60</v>
      </c>
      <c r="C5">
        <v>3.556</v>
      </c>
      <c r="D5">
        <v>3.4870000000000001</v>
      </c>
      <c r="E5">
        <v>1.972</v>
      </c>
      <c r="F5">
        <v>2.6349999999999998</v>
      </c>
      <c r="G5">
        <v>2.06</v>
      </c>
      <c r="H5">
        <v>1.6919999999999999</v>
      </c>
      <c r="I5">
        <v>2.262</v>
      </c>
      <c r="J5">
        <v>3.11</v>
      </c>
      <c r="K5">
        <v>1.8640000000000001</v>
      </c>
      <c r="L5">
        <v>2.177</v>
      </c>
      <c r="M5">
        <v>1.8939999999999999</v>
      </c>
    </row>
    <row r="6" spans="1:20" x14ac:dyDescent="0.2">
      <c r="A6" t="s">
        <v>59</v>
      </c>
      <c r="F6">
        <v>1.807639989153323</v>
      </c>
      <c r="G6">
        <v>0.97574853498825476</v>
      </c>
      <c r="H6">
        <v>4.1285395468238573</v>
      </c>
      <c r="I6">
        <v>3.3429965118915037</v>
      </c>
      <c r="J6">
        <v>0.96349129578875914</v>
      </c>
      <c r="K6">
        <v>3.802081993713128</v>
      </c>
      <c r="L6">
        <v>1.6010390820103908</v>
      </c>
      <c r="M6">
        <v>1.7331248004081714</v>
      </c>
    </row>
    <row r="8" spans="1:20" s="1" customFormat="1" x14ac:dyDescent="0.2">
      <c r="A8" s="1" t="s">
        <v>347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 t="s">
        <v>283</v>
      </c>
      <c r="J8" s="1" t="s">
        <v>283</v>
      </c>
      <c r="K8" s="1" t="s">
        <v>283</v>
      </c>
      <c r="L8" s="1" t="s">
        <v>283</v>
      </c>
      <c r="M8" s="1" t="s">
        <v>283</v>
      </c>
      <c r="N8" s="1" t="s">
        <v>283</v>
      </c>
      <c r="O8" s="1" t="s">
        <v>283</v>
      </c>
      <c r="P8" s="1" t="s">
        <v>283</v>
      </c>
      <c r="Q8" s="1" t="s">
        <v>283</v>
      </c>
      <c r="R8" s="1" t="s">
        <v>283</v>
      </c>
      <c r="S8" s="1" t="s">
        <v>283</v>
      </c>
      <c r="T8" s="1" t="s">
        <v>283</v>
      </c>
    </row>
    <row r="9" spans="1:20" x14ac:dyDescent="0.2">
      <c r="A9" t="s">
        <v>63</v>
      </c>
      <c r="C9">
        <v>865.71100000000001</v>
      </c>
      <c r="D9">
        <v>572.73800000000006</v>
      </c>
      <c r="E9">
        <v>658.62900000000002</v>
      </c>
      <c r="F9">
        <v>823.22699999999998</v>
      </c>
      <c r="G9">
        <v>662.41800000000001</v>
      </c>
      <c r="H9">
        <v>959.41</v>
      </c>
      <c r="I9">
        <v>1398.3119999999999</v>
      </c>
      <c r="J9">
        <v>1154.5550000000001</v>
      </c>
      <c r="K9">
        <v>455.32400000000001</v>
      </c>
      <c r="L9">
        <v>652.21900000000005</v>
      </c>
      <c r="M9">
        <v>1489.59</v>
      </c>
      <c r="N9">
        <v>707.55100000000004</v>
      </c>
      <c r="O9">
        <v>681.52700000000004</v>
      </c>
      <c r="P9">
        <v>1008.6950000000001</v>
      </c>
      <c r="Q9">
        <v>1320.8119999999999</v>
      </c>
      <c r="R9">
        <v>1636.875</v>
      </c>
      <c r="S9">
        <v>1531.152</v>
      </c>
      <c r="T9">
        <v>1502.0119999999999</v>
      </c>
    </row>
    <row r="10" spans="1:20" x14ac:dyDescent="0.2">
      <c r="A10" t="s">
        <v>62</v>
      </c>
      <c r="C10">
        <v>620.46800000000007</v>
      </c>
      <c r="D10">
        <v>327.49500000000006</v>
      </c>
      <c r="E10">
        <v>413.38600000000002</v>
      </c>
      <c r="F10">
        <v>577.98399999999992</v>
      </c>
      <c r="G10">
        <v>417.17500000000001</v>
      </c>
      <c r="H10">
        <v>714.16699999999992</v>
      </c>
      <c r="I10">
        <v>1153.069</v>
      </c>
      <c r="J10">
        <v>909.31200000000013</v>
      </c>
      <c r="K10">
        <v>210.08100000000002</v>
      </c>
      <c r="L10">
        <v>406.97600000000006</v>
      </c>
      <c r="M10">
        <v>1244.347</v>
      </c>
      <c r="N10">
        <v>462.30800000000005</v>
      </c>
      <c r="O10">
        <v>436.28400000000005</v>
      </c>
      <c r="P10">
        <v>763.452</v>
      </c>
      <c r="Q10">
        <v>1075.569</v>
      </c>
      <c r="R10">
        <v>1391.6320000000001</v>
      </c>
      <c r="S10">
        <v>1285.9090000000001</v>
      </c>
      <c r="T10">
        <v>1256.769</v>
      </c>
    </row>
    <row r="11" spans="1:20" x14ac:dyDescent="0.2">
      <c r="A11" t="s">
        <v>61</v>
      </c>
      <c r="C11">
        <v>2.2890000000000001</v>
      </c>
      <c r="D11">
        <v>1.502</v>
      </c>
      <c r="E11">
        <v>2.2530000000000001</v>
      </c>
      <c r="F11">
        <v>0.58799999999999997</v>
      </c>
      <c r="G11">
        <v>1.216</v>
      </c>
      <c r="H11">
        <v>1.4410000000000001</v>
      </c>
      <c r="I11">
        <v>2.75</v>
      </c>
      <c r="J11">
        <v>3.52</v>
      </c>
      <c r="K11">
        <v>4.3929999999999998</v>
      </c>
      <c r="L11">
        <v>4.1340000000000003</v>
      </c>
      <c r="M11">
        <v>2.0950000000000002</v>
      </c>
      <c r="N11">
        <v>1.4930000000000001</v>
      </c>
      <c r="O11">
        <v>1.5149999999999999</v>
      </c>
      <c r="P11">
        <v>1.476</v>
      </c>
      <c r="Q11">
        <v>2.0950000000000002</v>
      </c>
      <c r="R11">
        <v>1.6779999999999999</v>
      </c>
      <c r="S11">
        <v>2.6669999999999998</v>
      </c>
      <c r="T11">
        <v>2.2130000000000001</v>
      </c>
    </row>
    <row r="12" spans="1:20" x14ac:dyDescent="0.2">
      <c r="A12" t="s">
        <v>60</v>
      </c>
      <c r="C12">
        <v>2.4979033207872559</v>
      </c>
      <c r="D12">
        <v>1.8044400793597997</v>
      </c>
      <c r="E12">
        <v>2.4649561862231955</v>
      </c>
      <c r="F12">
        <v>1.1600620673050213</v>
      </c>
      <c r="G12">
        <v>1.5743747965462354</v>
      </c>
      <c r="H12">
        <v>1.7539900227766405</v>
      </c>
      <c r="I12">
        <v>2.9261749776799064</v>
      </c>
      <c r="J12">
        <v>3.6592895485326111</v>
      </c>
      <c r="K12">
        <v>4.5053800061704008</v>
      </c>
      <c r="L12">
        <v>4.2532288910896865</v>
      </c>
      <c r="M12">
        <v>2.3214273626370483</v>
      </c>
      <c r="N12">
        <v>1.7969554808063555</v>
      </c>
      <c r="O12">
        <v>1.8152754611903945</v>
      </c>
      <c r="P12">
        <v>1.782856135530851</v>
      </c>
      <c r="Q12">
        <v>2.3214273626370483</v>
      </c>
      <c r="R12">
        <v>1.9533775876670643</v>
      </c>
      <c r="S12">
        <v>2.8483133605697248</v>
      </c>
      <c r="T12">
        <v>2.4284499171282081</v>
      </c>
    </row>
    <row r="13" spans="1:20" x14ac:dyDescent="0.2">
      <c r="A13" t="s">
        <v>59</v>
      </c>
      <c r="I13">
        <v>2.7065190629113447</v>
      </c>
      <c r="J13">
        <v>2.134365126574421</v>
      </c>
      <c r="K13">
        <v>0.49310859216185521</v>
      </c>
      <c r="L13">
        <v>0.95526659909112777</v>
      </c>
      <c r="M13">
        <v>2.920769595207696</v>
      </c>
      <c r="N13">
        <v>1.0851435733129744</v>
      </c>
      <c r="O13">
        <v>1.0240592391636696</v>
      </c>
      <c r="P13">
        <v>1.7919980431507498</v>
      </c>
      <c r="Q13">
        <v>2.5246086764768561</v>
      </c>
      <c r="R13">
        <v>3.2664814825109691</v>
      </c>
      <c r="S13">
        <v>3.0183252014140218</v>
      </c>
      <c r="T13">
        <v>2.9499268961146536</v>
      </c>
    </row>
    <row r="15" spans="1:20" s="1" customFormat="1" x14ac:dyDescent="0.2">
      <c r="A15" s="1" t="s">
        <v>348</v>
      </c>
      <c r="C15" s="1">
        <v>1</v>
      </c>
      <c r="D15" s="1">
        <v>1</v>
      </c>
      <c r="E15" s="1">
        <v>1</v>
      </c>
      <c r="F15" s="1" t="s">
        <v>283</v>
      </c>
      <c r="G15" s="1" t="s">
        <v>283</v>
      </c>
      <c r="H15" s="1" t="s">
        <v>283</v>
      </c>
      <c r="I15" s="1" t="s">
        <v>283</v>
      </c>
      <c r="J15" s="1" t="s">
        <v>283</v>
      </c>
      <c r="K15" s="1" t="s">
        <v>283</v>
      </c>
      <c r="L15" s="1" t="s">
        <v>283</v>
      </c>
      <c r="M15" s="1" t="s">
        <v>283</v>
      </c>
      <c r="N15" s="1" t="s">
        <v>283</v>
      </c>
      <c r="O15" s="1" t="s">
        <v>283</v>
      </c>
      <c r="P15" s="1" t="s">
        <v>283</v>
      </c>
      <c r="Q15" s="1" t="s">
        <v>283</v>
      </c>
    </row>
    <row r="16" spans="1:20" x14ac:dyDescent="0.2">
      <c r="A16" t="s">
        <v>63</v>
      </c>
      <c r="C16">
        <v>789.70699999999999</v>
      </c>
      <c r="D16">
        <v>583.20699999999999</v>
      </c>
      <c r="E16">
        <v>528.41800000000001</v>
      </c>
      <c r="F16">
        <v>971.43</v>
      </c>
      <c r="G16">
        <v>806.06600000000003</v>
      </c>
      <c r="H16">
        <v>856.73400000000004</v>
      </c>
      <c r="I16">
        <v>574.40599999999995</v>
      </c>
      <c r="J16">
        <v>982.77700000000004</v>
      </c>
      <c r="K16">
        <v>556.23400000000004</v>
      </c>
      <c r="L16">
        <v>501.875</v>
      </c>
      <c r="M16">
        <v>521.14800000000002</v>
      </c>
      <c r="N16">
        <v>725.63300000000004</v>
      </c>
      <c r="O16">
        <v>840.77</v>
      </c>
      <c r="P16">
        <v>635.27300000000002</v>
      </c>
      <c r="Q16">
        <v>1400.473</v>
      </c>
    </row>
    <row r="17" spans="1:17" x14ac:dyDescent="0.2">
      <c r="A17" t="s">
        <v>62</v>
      </c>
      <c r="C17">
        <v>544.46399999999994</v>
      </c>
      <c r="D17">
        <v>337.964</v>
      </c>
      <c r="E17">
        <v>283.17500000000001</v>
      </c>
      <c r="F17">
        <v>726.1869999999999</v>
      </c>
      <c r="G17">
        <v>560.82300000000009</v>
      </c>
      <c r="H17">
        <v>611.49099999999999</v>
      </c>
      <c r="I17">
        <v>329.16299999999995</v>
      </c>
      <c r="J17">
        <v>737.53400000000011</v>
      </c>
      <c r="K17">
        <v>310.99100000000004</v>
      </c>
      <c r="L17">
        <v>256.63200000000001</v>
      </c>
      <c r="M17">
        <v>275.90500000000003</v>
      </c>
      <c r="N17">
        <v>480.39000000000004</v>
      </c>
      <c r="O17">
        <v>595.52700000000004</v>
      </c>
      <c r="P17">
        <v>390.03000000000003</v>
      </c>
      <c r="Q17">
        <v>1155.23</v>
      </c>
    </row>
    <row r="18" spans="1:17" x14ac:dyDescent="0.2">
      <c r="A18" t="s">
        <v>61</v>
      </c>
      <c r="C18">
        <v>0.79700000000000004</v>
      </c>
      <c r="D18">
        <v>0.83299999999999996</v>
      </c>
      <c r="E18">
        <v>3.2519999999999998</v>
      </c>
      <c r="F18">
        <v>2.4929999999999999</v>
      </c>
      <c r="G18">
        <v>2.698</v>
      </c>
      <c r="H18">
        <v>1.875</v>
      </c>
      <c r="I18">
        <v>1.5189999999999999</v>
      </c>
      <c r="J18">
        <v>2.181</v>
      </c>
      <c r="K18">
        <v>2.371</v>
      </c>
      <c r="L18">
        <v>1.9850000000000001</v>
      </c>
      <c r="M18">
        <v>2.698</v>
      </c>
      <c r="N18">
        <v>0.73299999999999998</v>
      </c>
      <c r="O18">
        <v>1.4350000000000001</v>
      </c>
      <c r="P18">
        <v>2.2690000000000001</v>
      </c>
      <c r="Q18">
        <v>1.385</v>
      </c>
    </row>
    <row r="19" spans="1:17" x14ac:dyDescent="0.2">
      <c r="A19" t="s">
        <v>60</v>
      </c>
      <c r="C19">
        <v>2.1529535526805961</v>
      </c>
      <c r="D19">
        <v>2.166538483387729</v>
      </c>
      <c r="E19">
        <v>3.8177878411457069</v>
      </c>
      <c r="F19">
        <v>3.1960990285033413</v>
      </c>
      <c r="G19">
        <v>3.3584526198831508</v>
      </c>
      <c r="H19">
        <v>2.7414640249326636</v>
      </c>
      <c r="I19">
        <v>2.5114459978267503</v>
      </c>
      <c r="J19">
        <v>2.9591824884585947</v>
      </c>
      <c r="K19">
        <v>3.101877012391046</v>
      </c>
      <c r="L19">
        <v>2.8178404851942913</v>
      </c>
      <c r="M19">
        <v>3.3584526198831508</v>
      </c>
      <c r="N19">
        <v>2.1300913125967158</v>
      </c>
      <c r="O19">
        <v>2.46154930887033</v>
      </c>
      <c r="P19">
        <v>3.0246257619745291</v>
      </c>
      <c r="Q19">
        <v>2.4327402245204892</v>
      </c>
    </row>
    <row r="20" spans="1:17" x14ac:dyDescent="0.2">
      <c r="A20" t="s">
        <v>59</v>
      </c>
      <c r="F20">
        <v>1.7045284876606694</v>
      </c>
      <c r="G20">
        <v>1.3163810148561181</v>
      </c>
      <c r="H20">
        <v>1.4353105046607975</v>
      </c>
      <c r="I20">
        <v>0.77262152941852291</v>
      </c>
      <c r="J20">
        <v>1.7311625154654717</v>
      </c>
      <c r="K20">
        <v>0.72996765145352283</v>
      </c>
      <c r="L20">
        <v>0.60237453279297615</v>
      </c>
      <c r="M20">
        <v>0.64761271186074265</v>
      </c>
      <c r="N20">
        <v>1.1275862005066315</v>
      </c>
      <c r="O20">
        <v>1.3978393122860857</v>
      </c>
      <c r="P20">
        <v>0.91549042607798137</v>
      </c>
      <c r="Q20">
        <v>2.7115914286543759</v>
      </c>
    </row>
    <row r="22" spans="1:17" s="1" customFormat="1" x14ac:dyDescent="0.2">
      <c r="A22" s="1" t="s">
        <v>349</v>
      </c>
      <c r="C22" s="1" t="s">
        <v>283</v>
      </c>
      <c r="D22" s="1" t="s">
        <v>283</v>
      </c>
      <c r="E22" s="1" t="s">
        <v>283</v>
      </c>
      <c r="F22" s="1" t="s">
        <v>283</v>
      </c>
      <c r="G22" s="1" t="s">
        <v>283</v>
      </c>
      <c r="H22" s="1" t="s">
        <v>283</v>
      </c>
    </row>
    <row r="23" spans="1:17" x14ac:dyDescent="0.2">
      <c r="A23" t="s">
        <v>63</v>
      </c>
      <c r="C23">
        <v>483.40199999999999</v>
      </c>
      <c r="D23">
        <v>761.23</v>
      </c>
      <c r="E23">
        <v>544.27700000000004</v>
      </c>
      <c r="F23">
        <v>666.05100000000004</v>
      </c>
      <c r="G23">
        <v>526.85900000000004</v>
      </c>
      <c r="H23">
        <v>655.92200000000003</v>
      </c>
    </row>
    <row r="24" spans="1:17" x14ac:dyDescent="0.2">
      <c r="A24" t="s">
        <v>62</v>
      </c>
      <c r="C24">
        <v>238.15899999999999</v>
      </c>
      <c r="D24">
        <v>515.98700000000008</v>
      </c>
      <c r="E24">
        <v>299.03400000000005</v>
      </c>
      <c r="F24">
        <v>420.80800000000005</v>
      </c>
      <c r="G24">
        <v>281.61600000000004</v>
      </c>
      <c r="H24">
        <v>410.67900000000003</v>
      </c>
    </row>
    <row r="25" spans="1:17" x14ac:dyDescent="0.2">
      <c r="A25" t="s">
        <v>61</v>
      </c>
      <c r="C25">
        <v>5.8959999999999999</v>
      </c>
      <c r="D25">
        <v>1.4730000000000001</v>
      </c>
      <c r="E25">
        <v>0.59</v>
      </c>
      <c r="F25">
        <v>1.339</v>
      </c>
      <c r="G25">
        <v>1.496</v>
      </c>
      <c r="H25">
        <v>2.3820000000000001</v>
      </c>
    </row>
    <row r="26" spans="1:17" x14ac:dyDescent="0.2">
      <c r="A26" t="s">
        <v>60</v>
      </c>
      <c r="C26">
        <v>6.6153470052598147</v>
      </c>
      <c r="D26">
        <v>3.3421144504639573</v>
      </c>
      <c r="E26">
        <v>3.0574662712775753</v>
      </c>
      <c r="F26">
        <v>3.2852581329326314</v>
      </c>
      <c r="G26">
        <v>3.3523150209966843</v>
      </c>
      <c r="H26">
        <v>3.8306558185250732</v>
      </c>
    </row>
    <row r="27" spans="1:17" x14ac:dyDescent="0.2">
      <c r="A27" t="s">
        <v>59</v>
      </c>
      <c r="C27">
        <v>0.55901413835937219</v>
      </c>
      <c r="D27">
        <v>1.211140575034483</v>
      </c>
      <c r="E27">
        <v>0.70190181286517217</v>
      </c>
      <c r="F27">
        <v>0.98773349541579669</v>
      </c>
      <c r="G27">
        <v>0.66101774691786996</v>
      </c>
      <c r="H27">
        <v>0.96395839471650713</v>
      </c>
    </row>
    <row r="29" spans="1:17" s="1" customFormat="1" x14ac:dyDescent="0.2">
      <c r="A29" s="1" t="s">
        <v>350</v>
      </c>
      <c r="C29" s="1" t="s">
        <v>283</v>
      </c>
      <c r="D29" s="1" t="s">
        <v>283</v>
      </c>
    </row>
    <row r="30" spans="1:17" x14ac:dyDescent="0.2">
      <c r="A30" t="s">
        <v>63</v>
      </c>
      <c r="C30">
        <v>415.19900000000001</v>
      </c>
      <c r="D30">
        <v>348.75</v>
      </c>
    </row>
    <row r="31" spans="1:17" x14ac:dyDescent="0.2">
      <c r="A31" t="s">
        <v>62</v>
      </c>
      <c r="C31">
        <v>169.95600000000002</v>
      </c>
      <c r="D31">
        <v>103.50700000000001</v>
      </c>
    </row>
    <row r="32" spans="1:17" x14ac:dyDescent="0.2">
      <c r="A32" t="s">
        <v>61</v>
      </c>
      <c r="C32">
        <v>2.6539999999999999</v>
      </c>
      <c r="D32">
        <v>5.1219999999999999</v>
      </c>
    </row>
    <row r="33" spans="1:6" x14ac:dyDescent="0.2">
      <c r="A33" t="s">
        <v>60</v>
      </c>
      <c r="C33">
        <v>4.8003870677269349</v>
      </c>
      <c r="D33">
        <v>6.4988371267481382</v>
      </c>
    </row>
    <row r="34" spans="1:6" x14ac:dyDescent="0.2">
      <c r="A34" t="s">
        <v>59</v>
      </c>
      <c r="C34">
        <v>0.39892595660464425</v>
      </c>
      <c r="D34">
        <v>0.24295481766031743</v>
      </c>
    </row>
    <row r="36" spans="1:6" s="1" customFormat="1" x14ac:dyDescent="0.2">
      <c r="A36" s="1" t="s">
        <v>351</v>
      </c>
      <c r="C36" s="1">
        <v>1</v>
      </c>
      <c r="D36" s="1">
        <v>1</v>
      </c>
      <c r="E36" s="1" t="s">
        <v>283</v>
      </c>
      <c r="F36" s="1" t="s">
        <v>283</v>
      </c>
    </row>
    <row r="37" spans="1:6" x14ac:dyDescent="0.2">
      <c r="A37" t="s">
        <v>63</v>
      </c>
      <c r="C37">
        <v>521.12099999999998</v>
      </c>
      <c r="D37">
        <v>350.54300000000001</v>
      </c>
      <c r="E37">
        <v>651.20699999999999</v>
      </c>
      <c r="F37">
        <v>698.68799999999999</v>
      </c>
    </row>
    <row r="38" spans="1:6" x14ac:dyDescent="0.2">
      <c r="A38" t="s">
        <v>62</v>
      </c>
      <c r="C38">
        <v>275.87799999999999</v>
      </c>
      <c r="D38">
        <v>105.30000000000001</v>
      </c>
      <c r="E38">
        <v>405.964</v>
      </c>
      <c r="F38">
        <v>453.44499999999999</v>
      </c>
    </row>
    <row r="39" spans="1:6" x14ac:dyDescent="0.2">
      <c r="A39" t="s">
        <v>61</v>
      </c>
      <c r="C39">
        <v>5.2290000000000001</v>
      </c>
      <c r="D39">
        <v>6.0149999999999997</v>
      </c>
      <c r="E39">
        <v>2.8010000000000002</v>
      </c>
      <c r="F39">
        <v>2.9319999999999999</v>
      </c>
    </row>
    <row r="40" spans="1:6" x14ac:dyDescent="0.2">
      <c r="A40" t="s">
        <v>60</v>
      </c>
      <c r="C40">
        <v>7.2348075993767793</v>
      </c>
      <c r="D40">
        <v>7.8217788897411307</v>
      </c>
      <c r="E40">
        <v>5.7311081825420116</v>
      </c>
      <c r="F40">
        <v>5.7962594834945058</v>
      </c>
    </row>
    <row r="41" spans="1:6" x14ac:dyDescent="0.2">
      <c r="A41" t="s">
        <v>59</v>
      </c>
      <c r="E41">
        <v>0.95289120152891205</v>
      </c>
      <c r="F41">
        <v>1.0643400667972469</v>
      </c>
    </row>
    <row r="43" spans="1:6" s="1" customFormat="1" x14ac:dyDescent="0.2">
      <c r="A43" s="1" t="s">
        <v>352</v>
      </c>
      <c r="C43" s="1">
        <v>1</v>
      </c>
      <c r="D43" s="1" t="s">
        <v>283</v>
      </c>
      <c r="E43" s="1" t="s">
        <v>283</v>
      </c>
      <c r="F43" s="1" t="s">
        <v>283</v>
      </c>
    </row>
    <row r="44" spans="1:6" x14ac:dyDescent="0.2">
      <c r="A44" t="s">
        <v>63</v>
      </c>
      <c r="C44">
        <v>379.42599999999999</v>
      </c>
      <c r="D44">
        <v>467.09399999999999</v>
      </c>
      <c r="E44">
        <v>674.375</v>
      </c>
      <c r="F44">
        <v>331.71100000000001</v>
      </c>
    </row>
    <row r="45" spans="1:6" x14ac:dyDescent="0.2">
      <c r="A45" t="s">
        <v>62</v>
      </c>
      <c r="C45">
        <v>134.18299999999999</v>
      </c>
      <c r="D45">
        <v>221.851</v>
      </c>
      <c r="E45">
        <v>429.13200000000001</v>
      </c>
      <c r="F45">
        <v>86.468000000000018</v>
      </c>
    </row>
    <row r="46" spans="1:6" x14ac:dyDescent="0.2">
      <c r="A46" t="s">
        <v>61</v>
      </c>
      <c r="C46">
        <v>6.02</v>
      </c>
      <c r="D46">
        <v>3.0139999999999998</v>
      </c>
      <c r="E46">
        <v>3.0859999999999999</v>
      </c>
      <c r="F46">
        <v>1.4670000000000001</v>
      </c>
    </row>
    <row r="47" spans="1:6" x14ac:dyDescent="0.2">
      <c r="A47" t="s">
        <v>60</v>
      </c>
      <c r="C47">
        <v>8.4994352753580049</v>
      </c>
      <c r="D47">
        <v>6.7144765991103137</v>
      </c>
      <c r="E47">
        <v>6.7471027856406636</v>
      </c>
      <c r="F47">
        <v>6.1767377311975942</v>
      </c>
    </row>
    <row r="48" spans="1:6" x14ac:dyDescent="0.2">
      <c r="A48" t="s">
        <v>59</v>
      </c>
      <c r="D48">
        <v>0.52073549859197044</v>
      </c>
      <c r="E48">
        <v>1.007271844534257</v>
      </c>
      <c r="F48">
        <v>0.20296035218344974</v>
      </c>
    </row>
    <row r="50" spans="1:10" s="1" customFormat="1" x14ac:dyDescent="0.2">
      <c r="A50" s="1" t="s">
        <v>353</v>
      </c>
      <c r="C50" s="1">
        <v>1</v>
      </c>
    </row>
    <row r="51" spans="1:10" x14ac:dyDescent="0.2">
      <c r="A51" t="s">
        <v>63</v>
      </c>
      <c r="C51">
        <v>418.57</v>
      </c>
    </row>
    <row r="52" spans="1:10" x14ac:dyDescent="0.2">
      <c r="A52" t="s">
        <v>62</v>
      </c>
      <c r="C52">
        <v>173.327</v>
      </c>
    </row>
    <row r="53" spans="1:10" x14ac:dyDescent="0.2">
      <c r="A53" t="s">
        <v>61</v>
      </c>
      <c r="C53">
        <v>4.5490000000000004</v>
      </c>
    </row>
    <row r="54" spans="1:10" x14ac:dyDescent="0.2">
      <c r="A54" t="s">
        <v>60</v>
      </c>
      <c r="C54">
        <v>8.3482573630668586</v>
      </c>
    </row>
    <row r="55" spans="1:10" x14ac:dyDescent="0.2">
      <c r="A55" t="s">
        <v>59</v>
      </c>
    </row>
    <row r="57" spans="1:10" s="1" customFormat="1" x14ac:dyDescent="0.2">
      <c r="A57" s="1" t="s">
        <v>354</v>
      </c>
      <c r="C57" s="1">
        <v>1</v>
      </c>
      <c r="D57" s="1" t="s">
        <v>283</v>
      </c>
      <c r="E57" s="1" t="s">
        <v>283</v>
      </c>
      <c r="F57" s="1" t="s">
        <v>283</v>
      </c>
      <c r="G57" s="1" t="s">
        <v>283</v>
      </c>
      <c r="H57" s="1" t="s">
        <v>283</v>
      </c>
      <c r="I57" s="1" t="s">
        <v>283</v>
      </c>
      <c r="J57" s="1" t="s">
        <v>283</v>
      </c>
    </row>
    <row r="58" spans="1:10" x14ac:dyDescent="0.2">
      <c r="A58" t="s">
        <v>63</v>
      </c>
      <c r="C58">
        <v>582.44500000000005</v>
      </c>
      <c r="D58">
        <v>480.66</v>
      </c>
      <c r="E58">
        <v>1158.7850000000001</v>
      </c>
      <c r="F58">
        <v>936.21500000000003</v>
      </c>
      <c r="G58">
        <v>1756.23</v>
      </c>
      <c r="H58">
        <v>1096.809</v>
      </c>
      <c r="I58">
        <v>650.27300000000002</v>
      </c>
      <c r="J58">
        <v>712.58199999999999</v>
      </c>
    </row>
    <row r="59" spans="1:10" x14ac:dyDescent="0.2">
      <c r="A59" t="s">
        <v>62</v>
      </c>
      <c r="C59">
        <v>337.20200000000006</v>
      </c>
      <c r="D59">
        <v>235.41700000000003</v>
      </c>
      <c r="E59">
        <v>913.54200000000014</v>
      </c>
      <c r="F59">
        <v>690.97199999999998</v>
      </c>
      <c r="G59">
        <v>1510.9870000000001</v>
      </c>
      <c r="H59">
        <v>851.56600000000003</v>
      </c>
      <c r="I59">
        <v>405.03000000000003</v>
      </c>
      <c r="J59">
        <v>467.339</v>
      </c>
    </row>
    <row r="60" spans="1:10" x14ac:dyDescent="0.2">
      <c r="A60" t="s">
        <v>61</v>
      </c>
      <c r="C60">
        <v>1.899</v>
      </c>
      <c r="D60">
        <v>3.22</v>
      </c>
      <c r="E60">
        <v>1.1970000000000001</v>
      </c>
      <c r="F60">
        <v>1.9710000000000001</v>
      </c>
      <c r="G60">
        <v>2.044</v>
      </c>
      <c r="H60">
        <v>1.7490000000000001</v>
      </c>
      <c r="I60">
        <v>2.778</v>
      </c>
      <c r="J60">
        <v>3.72</v>
      </c>
    </row>
    <row r="61" spans="1:10" x14ac:dyDescent="0.2">
      <c r="A61" t="s">
        <v>60</v>
      </c>
      <c r="C61">
        <v>2.1462061876716318</v>
      </c>
      <c r="D61">
        <v>3.371705799739948</v>
      </c>
      <c r="E61">
        <v>1.5597464537545838</v>
      </c>
      <c r="F61">
        <v>2.210167640700587</v>
      </c>
      <c r="G61">
        <v>2.2755078554028327</v>
      </c>
      <c r="H61">
        <v>2.0146962550220815</v>
      </c>
      <c r="I61">
        <v>2.952504699403542</v>
      </c>
      <c r="J61">
        <v>3.8520643816011177</v>
      </c>
    </row>
    <row r="62" spans="1:10" x14ac:dyDescent="0.2">
      <c r="A62" t="s">
        <v>59</v>
      </c>
      <c r="D62">
        <v>0.55257803152578044</v>
      </c>
      <c r="E62">
        <v>2.1442939128275551</v>
      </c>
      <c r="F62">
        <v>1.6218707552956306</v>
      </c>
      <c r="G62">
        <v>3.5466352137740449</v>
      </c>
      <c r="H62">
        <v>1.9988219372189888</v>
      </c>
      <c r="I62">
        <v>0.95069888796852742</v>
      </c>
      <c r="J62">
        <v>1.0969524914310635</v>
      </c>
    </row>
    <row r="64" spans="1:10" s="1" customFormat="1" x14ac:dyDescent="0.2">
      <c r="A64" s="1" t="s">
        <v>355</v>
      </c>
      <c r="C64" s="1" t="s">
        <v>283</v>
      </c>
      <c r="D64" s="1" t="s">
        <v>283</v>
      </c>
      <c r="E64" s="1" t="s">
        <v>283</v>
      </c>
      <c r="F64" s="1" t="s">
        <v>283</v>
      </c>
      <c r="G64" s="1" t="s">
        <v>283</v>
      </c>
      <c r="H64" s="1" t="s">
        <v>283</v>
      </c>
      <c r="I64" s="1" t="s">
        <v>283</v>
      </c>
    </row>
    <row r="65" spans="1:9" x14ac:dyDescent="0.2">
      <c r="A65" t="s">
        <v>63</v>
      </c>
      <c r="C65">
        <v>400.09399999999999</v>
      </c>
      <c r="D65">
        <v>634.57799999999997</v>
      </c>
      <c r="E65">
        <v>762.51199999999994</v>
      </c>
      <c r="F65">
        <v>949.60199999999998</v>
      </c>
      <c r="G65">
        <v>615.23400000000004</v>
      </c>
      <c r="H65">
        <v>819.21900000000005</v>
      </c>
      <c r="I65">
        <v>1434.973</v>
      </c>
    </row>
    <row r="66" spans="1:9" x14ac:dyDescent="0.2">
      <c r="A66" t="s">
        <v>62</v>
      </c>
      <c r="C66">
        <v>154.851</v>
      </c>
      <c r="D66">
        <v>389.33499999999998</v>
      </c>
      <c r="E66">
        <v>517.26900000000001</v>
      </c>
      <c r="F66">
        <v>704.35899999999992</v>
      </c>
      <c r="G66">
        <v>369.99100000000004</v>
      </c>
      <c r="H66">
        <v>573.97600000000011</v>
      </c>
      <c r="I66">
        <v>1189.73</v>
      </c>
    </row>
    <row r="67" spans="1:9" x14ac:dyDescent="0.2">
      <c r="A67" t="s">
        <v>61</v>
      </c>
      <c r="C67">
        <v>1.9259999999999999</v>
      </c>
      <c r="D67">
        <v>1.3340000000000001</v>
      </c>
      <c r="E67">
        <v>1.9350000000000001</v>
      </c>
      <c r="F67">
        <v>2.5449999999999999</v>
      </c>
      <c r="G67">
        <v>2.3330000000000002</v>
      </c>
      <c r="H67">
        <v>3.6459999999999999</v>
      </c>
      <c r="I67">
        <v>3.5339999999999998</v>
      </c>
    </row>
    <row r="68" spans="1:9" x14ac:dyDescent="0.2">
      <c r="A68" t="s">
        <v>60</v>
      </c>
      <c r="C68">
        <v>2.7765943167845029</v>
      </c>
      <c r="D68">
        <v>2.404070714434166</v>
      </c>
      <c r="E68">
        <v>2.7828447674996175</v>
      </c>
      <c r="F68">
        <v>3.236823288349242</v>
      </c>
      <c r="G68">
        <v>3.0729284078871739</v>
      </c>
      <c r="H68">
        <v>4.1585232955942422</v>
      </c>
      <c r="I68">
        <v>4.0606841788053405</v>
      </c>
    </row>
    <row r="69" spans="1:9" x14ac:dyDescent="0.2">
      <c r="A69" t="s">
        <v>59</v>
      </c>
      <c r="C69">
        <v>0.36347103548086424</v>
      </c>
      <c r="D69">
        <v>0.91385910067705256</v>
      </c>
      <c r="E69">
        <v>1.214149724910728</v>
      </c>
      <c r="F69">
        <v>1.6532931339175467</v>
      </c>
      <c r="G69">
        <v>0.86845426822300442</v>
      </c>
      <c r="H69">
        <v>1.3472541414725419</v>
      </c>
      <c r="I69">
        <v>2.7925708910026321</v>
      </c>
    </row>
    <row r="71" spans="1:9" s="1" customFormat="1" x14ac:dyDescent="0.2">
      <c r="A71" s="1" t="s">
        <v>356</v>
      </c>
      <c r="C71" s="1">
        <v>1</v>
      </c>
      <c r="D71" s="1">
        <v>1</v>
      </c>
      <c r="E71" s="1" t="s">
        <v>283</v>
      </c>
      <c r="F71" s="1" t="s">
        <v>283</v>
      </c>
    </row>
    <row r="72" spans="1:9" x14ac:dyDescent="0.2">
      <c r="A72" t="s">
        <v>63</v>
      </c>
      <c r="C72">
        <v>761.58199999999999</v>
      </c>
      <c r="D72">
        <v>742.01599999999996</v>
      </c>
      <c r="E72">
        <v>828.66399999999999</v>
      </c>
      <c r="F72">
        <v>1479.9960000000001</v>
      </c>
    </row>
    <row r="73" spans="1:9" x14ac:dyDescent="0.2">
      <c r="A73" t="s">
        <v>62</v>
      </c>
      <c r="C73">
        <v>516.33899999999994</v>
      </c>
      <c r="D73">
        <v>496.77299999999997</v>
      </c>
      <c r="E73">
        <v>583.42100000000005</v>
      </c>
      <c r="F73">
        <v>1234.7530000000002</v>
      </c>
    </row>
    <row r="74" spans="1:9" x14ac:dyDescent="0.2">
      <c r="A74" t="s">
        <v>61</v>
      </c>
      <c r="C74">
        <v>2.4470000000000001</v>
      </c>
      <c r="D74">
        <v>3.069</v>
      </c>
      <c r="E74">
        <v>3.6549999999999998</v>
      </c>
      <c r="F74">
        <v>3.6920000000000002</v>
      </c>
    </row>
    <row r="75" spans="1:9" x14ac:dyDescent="0.2">
      <c r="A75" t="s">
        <v>60</v>
      </c>
      <c r="C75">
        <v>3.8714091749645889</v>
      </c>
      <c r="D75">
        <v>4.2917084010915749</v>
      </c>
      <c r="E75">
        <v>4.7285330706256037</v>
      </c>
      <c r="F75">
        <v>4.757190767669508</v>
      </c>
    </row>
    <row r="76" spans="1:9" x14ac:dyDescent="0.2">
      <c r="A76" t="s">
        <v>59</v>
      </c>
      <c r="E76">
        <v>1.3694237363096222</v>
      </c>
      <c r="F76">
        <v>2.8982502629825033</v>
      </c>
    </row>
    <row r="78" spans="1:9" x14ac:dyDescent="0.2">
      <c r="C78" t="s">
        <v>294</v>
      </c>
    </row>
    <row r="79" spans="1:9" x14ac:dyDescent="0.2">
      <c r="C79">
        <v>227.27210000000005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B153-BADB-EA4F-A270-9223D77DFA73}">
  <dimension ref="A1:Z31"/>
  <sheetViews>
    <sheetView workbookViewId="0">
      <selection activeCell="H48" sqref="H48"/>
    </sheetView>
  </sheetViews>
  <sheetFormatPr baseColWidth="10" defaultRowHeight="15" x14ac:dyDescent="0.2"/>
  <cols>
    <col min="1" max="1" width="32.33203125" bestFit="1" customWidth="1"/>
    <col min="2" max="2" width="10.1640625" bestFit="1" customWidth="1"/>
  </cols>
  <sheetData>
    <row r="1" spans="1:26" ht="32" x14ac:dyDescent="0.2">
      <c r="A1" t="s">
        <v>227</v>
      </c>
      <c r="C1" s="26" t="s">
        <v>226</v>
      </c>
      <c r="E1" t="s">
        <v>225</v>
      </c>
      <c r="G1" t="s">
        <v>224</v>
      </c>
    </row>
    <row r="2" spans="1:26" x14ac:dyDescent="0.2">
      <c r="A2" t="s">
        <v>223</v>
      </c>
      <c r="B2" s="25">
        <v>45279</v>
      </c>
      <c r="C2" t="s">
        <v>222</v>
      </c>
      <c r="E2">
        <v>51.402000000000001</v>
      </c>
      <c r="G2">
        <f>AVERAGE(C8:M8,C14:E14,C28)</f>
        <v>1383.6720666666668</v>
      </c>
    </row>
    <row r="4" spans="1:26" x14ac:dyDescent="0.2">
      <c r="A4" t="s">
        <v>250</v>
      </c>
    </row>
    <row r="6" spans="1:26" x14ac:dyDescent="0.2">
      <c r="A6" s="1" t="s">
        <v>249</v>
      </c>
      <c r="B6" t="s">
        <v>235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</row>
    <row r="7" spans="1:26" x14ac:dyDescent="0.2">
      <c r="A7" t="s">
        <v>215</v>
      </c>
      <c r="B7">
        <v>235.58</v>
      </c>
      <c r="C7">
        <v>2006.5350000000001</v>
      </c>
      <c r="D7">
        <v>1360.2619999999999</v>
      </c>
      <c r="E7">
        <v>1161.2809999999999</v>
      </c>
      <c r="F7">
        <v>1852.2809999999999</v>
      </c>
      <c r="G7">
        <v>2690.8090000000002</v>
      </c>
      <c r="H7">
        <v>1630.18</v>
      </c>
      <c r="I7">
        <v>1477.23</v>
      </c>
      <c r="J7">
        <v>1966.422</v>
      </c>
      <c r="K7">
        <v>1829.9449999999999</v>
      </c>
      <c r="L7">
        <v>1505.992</v>
      </c>
      <c r="M7">
        <v>993.78899999999999</v>
      </c>
      <c r="N7">
        <v>2192.4140000000002</v>
      </c>
      <c r="O7">
        <v>3466.078</v>
      </c>
      <c r="P7">
        <v>2377.0039999999999</v>
      </c>
      <c r="Q7">
        <v>3557.6170000000002</v>
      </c>
      <c r="R7">
        <v>3106.6680000000001</v>
      </c>
      <c r="S7">
        <v>4052.8159999999998</v>
      </c>
      <c r="T7">
        <v>5412.5389999999998</v>
      </c>
      <c r="U7">
        <v>4385.723</v>
      </c>
      <c r="V7">
        <v>4472.2579999999998</v>
      </c>
      <c r="W7">
        <v>3573.9340000000002</v>
      </c>
      <c r="X7">
        <v>3682.9769999999999</v>
      </c>
      <c r="Y7">
        <v>3542.91</v>
      </c>
      <c r="Z7">
        <v>2768.3710000000001</v>
      </c>
    </row>
    <row r="8" spans="1:26" x14ac:dyDescent="0.2">
      <c r="A8" t="s">
        <v>62</v>
      </c>
      <c r="C8">
        <f t="shared" ref="C8:Z8" si="0">C7-$B$7</f>
        <v>1770.9550000000002</v>
      </c>
      <c r="D8">
        <f t="shared" si="0"/>
        <v>1124.682</v>
      </c>
      <c r="E8">
        <f t="shared" si="0"/>
        <v>925.70099999999991</v>
      </c>
      <c r="F8">
        <f t="shared" si="0"/>
        <v>1616.701</v>
      </c>
      <c r="G8">
        <f t="shared" si="0"/>
        <v>2455.2290000000003</v>
      </c>
      <c r="H8">
        <f t="shared" si="0"/>
        <v>1394.6000000000001</v>
      </c>
      <c r="I8">
        <f t="shared" si="0"/>
        <v>1241.6500000000001</v>
      </c>
      <c r="J8">
        <f t="shared" si="0"/>
        <v>1730.8420000000001</v>
      </c>
      <c r="K8">
        <f t="shared" si="0"/>
        <v>1594.365</v>
      </c>
      <c r="L8">
        <f t="shared" si="0"/>
        <v>1270.412</v>
      </c>
      <c r="M8">
        <f t="shared" si="0"/>
        <v>758.20899999999995</v>
      </c>
      <c r="N8">
        <f t="shared" si="0"/>
        <v>1956.8340000000003</v>
      </c>
      <c r="O8">
        <f t="shared" si="0"/>
        <v>3230.498</v>
      </c>
      <c r="P8">
        <f t="shared" si="0"/>
        <v>2141.424</v>
      </c>
      <c r="Q8">
        <f t="shared" si="0"/>
        <v>3322.0370000000003</v>
      </c>
      <c r="R8">
        <f t="shared" si="0"/>
        <v>2871.0880000000002</v>
      </c>
      <c r="S8">
        <f t="shared" si="0"/>
        <v>3817.2359999999999</v>
      </c>
      <c r="T8">
        <f t="shared" si="0"/>
        <v>5176.9589999999998</v>
      </c>
      <c r="U8">
        <f t="shared" si="0"/>
        <v>4150.143</v>
      </c>
      <c r="V8">
        <f t="shared" si="0"/>
        <v>4236.6779999999999</v>
      </c>
      <c r="W8">
        <f t="shared" si="0"/>
        <v>3338.3540000000003</v>
      </c>
      <c r="X8">
        <f t="shared" si="0"/>
        <v>3447.3969999999999</v>
      </c>
      <c r="Y8">
        <f t="shared" si="0"/>
        <v>3307.33</v>
      </c>
      <c r="Z8">
        <f t="shared" si="0"/>
        <v>2532.7910000000002</v>
      </c>
    </row>
    <row r="9" spans="1:26" x14ac:dyDescent="0.2">
      <c r="A9" t="s">
        <v>214</v>
      </c>
      <c r="C9">
        <v>13.044</v>
      </c>
      <c r="D9">
        <v>8.3629999999999995</v>
      </c>
      <c r="E9">
        <v>6.8440000000000003</v>
      </c>
      <c r="F9">
        <v>3.22</v>
      </c>
      <c r="G9">
        <v>2.38</v>
      </c>
      <c r="H9">
        <v>1.486</v>
      </c>
      <c r="I9">
        <v>3.972</v>
      </c>
      <c r="J9">
        <v>4.2210000000000001</v>
      </c>
      <c r="K9">
        <v>4.0529999999999999</v>
      </c>
      <c r="L9">
        <v>3.91</v>
      </c>
      <c r="M9">
        <v>3.827</v>
      </c>
      <c r="N9">
        <v>3.0110000000000001</v>
      </c>
      <c r="O9">
        <v>2.5649999999999999</v>
      </c>
      <c r="P9">
        <v>1.917</v>
      </c>
      <c r="Q9">
        <v>1.879</v>
      </c>
      <c r="R9">
        <v>0.42399999999999999</v>
      </c>
      <c r="S9">
        <v>1.2689999999999999</v>
      </c>
      <c r="T9">
        <v>2.3370000000000002</v>
      </c>
      <c r="U9">
        <v>1.8520000000000001</v>
      </c>
      <c r="V9">
        <v>2.4769999999999999</v>
      </c>
      <c r="W9">
        <v>2.3460000000000001</v>
      </c>
      <c r="X9">
        <v>3.4249999999999998</v>
      </c>
      <c r="Y9">
        <v>3.222</v>
      </c>
      <c r="Z9">
        <v>3.177</v>
      </c>
    </row>
    <row r="10" spans="1:26" x14ac:dyDescent="0.2">
      <c r="A10" t="s">
        <v>59</v>
      </c>
      <c r="N10">
        <f t="shared" ref="N10:Z10" si="1">N8/$G$2</f>
        <v>1.4142324956476924</v>
      </c>
      <c r="O10">
        <f t="shared" si="1"/>
        <v>2.334728060083215</v>
      </c>
      <c r="P10">
        <f t="shared" si="1"/>
        <v>1.5476383831024316</v>
      </c>
      <c r="Q10">
        <f t="shared" si="1"/>
        <v>2.4008846315752757</v>
      </c>
      <c r="R10">
        <f t="shared" si="1"/>
        <v>2.0749772067861358</v>
      </c>
      <c r="S10">
        <f t="shared" si="1"/>
        <v>2.7587721772803486</v>
      </c>
      <c r="T10">
        <f t="shared" si="1"/>
        <v>3.7414638372165347</v>
      </c>
      <c r="U10">
        <f t="shared" si="1"/>
        <v>2.9993689256139255</v>
      </c>
      <c r="V10">
        <f t="shared" si="1"/>
        <v>3.0619090332627463</v>
      </c>
      <c r="W10">
        <f t="shared" si="1"/>
        <v>2.4126771656540393</v>
      </c>
      <c r="X10">
        <f t="shared" si="1"/>
        <v>2.4914841334514666</v>
      </c>
      <c r="Y10">
        <f t="shared" si="1"/>
        <v>2.3902556679976339</v>
      </c>
      <c r="Z10">
        <f t="shared" si="1"/>
        <v>1.8304850267748896</v>
      </c>
    </row>
    <row r="12" spans="1:26" x14ac:dyDescent="0.2">
      <c r="A12" s="1" t="s">
        <v>248</v>
      </c>
      <c r="C12">
        <v>1</v>
      </c>
      <c r="D12">
        <v>1</v>
      </c>
      <c r="E12">
        <v>1</v>
      </c>
    </row>
    <row r="13" spans="1:26" x14ac:dyDescent="0.2">
      <c r="A13" t="s">
        <v>215</v>
      </c>
      <c r="C13">
        <v>916.88300000000004</v>
      </c>
      <c r="D13">
        <v>1711.5039999999999</v>
      </c>
      <c r="E13">
        <v>1818.086</v>
      </c>
      <c r="F13">
        <v>3274.98</v>
      </c>
      <c r="G13">
        <v>3086.2109999999998</v>
      </c>
      <c r="H13">
        <v>877.43799999999999</v>
      </c>
      <c r="I13">
        <v>2793.6880000000001</v>
      </c>
      <c r="J13">
        <v>6063.7929999999997</v>
      </c>
      <c r="K13">
        <v>2958.723</v>
      </c>
      <c r="L13">
        <v>2790.5619999999999</v>
      </c>
    </row>
    <row r="14" spans="1:26" x14ac:dyDescent="0.2">
      <c r="A14" t="s">
        <v>62</v>
      </c>
      <c r="C14">
        <f t="shared" ref="C14:L14" si="2">C13-$B$7</f>
        <v>681.303</v>
      </c>
      <c r="D14">
        <f t="shared" si="2"/>
        <v>1475.924</v>
      </c>
      <c r="E14">
        <f t="shared" si="2"/>
        <v>1582.5060000000001</v>
      </c>
      <c r="F14">
        <f t="shared" si="2"/>
        <v>3039.4</v>
      </c>
      <c r="G14">
        <f t="shared" si="2"/>
        <v>2850.6309999999999</v>
      </c>
      <c r="H14">
        <f t="shared" si="2"/>
        <v>641.85799999999995</v>
      </c>
      <c r="I14">
        <f t="shared" si="2"/>
        <v>2558.1080000000002</v>
      </c>
      <c r="J14">
        <f t="shared" si="2"/>
        <v>5828.2129999999997</v>
      </c>
      <c r="K14">
        <f t="shared" si="2"/>
        <v>2723.143</v>
      </c>
      <c r="L14">
        <f t="shared" si="2"/>
        <v>2554.982</v>
      </c>
    </row>
    <row r="15" spans="1:26" x14ac:dyDescent="0.2">
      <c r="A15" t="s">
        <v>214</v>
      </c>
      <c r="C15">
        <v>5.3689999999999998</v>
      </c>
      <c r="D15">
        <v>2.3740000000000001</v>
      </c>
      <c r="E15">
        <v>1.542</v>
      </c>
      <c r="F15">
        <v>2.6219999999999999</v>
      </c>
      <c r="G15">
        <v>2.0910000000000002</v>
      </c>
      <c r="H15">
        <v>4.8390000000000004</v>
      </c>
      <c r="I15">
        <v>2.4079999999999999</v>
      </c>
      <c r="J15">
        <v>2.87</v>
      </c>
      <c r="K15">
        <v>3.5009999999999999</v>
      </c>
      <c r="L15">
        <v>3.589</v>
      </c>
    </row>
    <row r="16" spans="1:26" x14ac:dyDescent="0.2">
      <c r="A16" t="s">
        <v>60</v>
      </c>
      <c r="C16">
        <f t="shared" ref="C16:L16" si="3">SQRT((1+(C15^2)))</f>
        <v>5.4613332621256507</v>
      </c>
      <c r="D16">
        <f t="shared" si="3"/>
        <v>2.5760194098647626</v>
      </c>
      <c r="E16">
        <f t="shared" si="3"/>
        <v>1.8378694186475817</v>
      </c>
      <c r="F16">
        <f t="shared" si="3"/>
        <v>2.8062223718016361</v>
      </c>
      <c r="G16">
        <f t="shared" si="3"/>
        <v>2.3178181550760191</v>
      </c>
      <c r="H16">
        <f t="shared" si="3"/>
        <v>4.9412469074111245</v>
      </c>
      <c r="I16">
        <f t="shared" si="3"/>
        <v>2.6073864308920531</v>
      </c>
      <c r="J16">
        <f t="shared" si="3"/>
        <v>3.0392268753747227</v>
      </c>
      <c r="K16">
        <f t="shared" si="3"/>
        <v>3.6410164789519972</v>
      </c>
      <c r="L16">
        <f t="shared" si="3"/>
        <v>3.7257108046653324</v>
      </c>
    </row>
    <row r="17" spans="1:12" x14ac:dyDescent="0.2">
      <c r="A17" t="s">
        <v>59</v>
      </c>
      <c r="F17">
        <f t="shared" ref="F17:L17" si="4">F14/$G$2</f>
        <v>2.1966187460313935</v>
      </c>
      <c r="G17">
        <f t="shared" si="4"/>
        <v>2.0601926342759151</v>
      </c>
      <c r="H17">
        <f t="shared" si="4"/>
        <v>0.46388014578213393</v>
      </c>
      <c r="I17">
        <f t="shared" si="4"/>
        <v>1.8487819922263855</v>
      </c>
      <c r="J17">
        <f t="shared" si="4"/>
        <v>4.2121346093518008</v>
      </c>
      <c r="K17">
        <f t="shared" si="4"/>
        <v>1.9680551957373713</v>
      </c>
      <c r="L17">
        <f t="shared" si="4"/>
        <v>1.8465227863962563</v>
      </c>
    </row>
    <row r="19" spans="1:12" x14ac:dyDescent="0.2">
      <c r="A19" s="1" t="s">
        <v>247</v>
      </c>
    </row>
    <row r="20" spans="1:12" x14ac:dyDescent="0.2">
      <c r="A20" t="s">
        <v>215</v>
      </c>
      <c r="C20">
        <v>937.83199999999999</v>
      </c>
      <c r="D20">
        <v>936.83199999999999</v>
      </c>
      <c r="E20">
        <v>1333.48</v>
      </c>
      <c r="F20">
        <v>1508.7660000000001</v>
      </c>
      <c r="G20">
        <v>1306.7660000000001</v>
      </c>
      <c r="H20">
        <v>1605.8240000000001</v>
      </c>
    </row>
    <row r="21" spans="1:12" x14ac:dyDescent="0.2">
      <c r="A21" t="s">
        <v>62</v>
      </c>
      <c r="C21">
        <f t="shared" ref="C21:H21" si="5">C20-$B$7</f>
        <v>702.25199999999995</v>
      </c>
      <c r="D21">
        <f t="shared" si="5"/>
        <v>701.25199999999995</v>
      </c>
      <c r="E21">
        <f t="shared" si="5"/>
        <v>1097.9000000000001</v>
      </c>
      <c r="F21">
        <f t="shared" si="5"/>
        <v>1273.1860000000001</v>
      </c>
      <c r="G21">
        <f t="shared" si="5"/>
        <v>1071.1860000000001</v>
      </c>
      <c r="H21">
        <f t="shared" si="5"/>
        <v>1370.2440000000001</v>
      </c>
    </row>
    <row r="22" spans="1:12" x14ac:dyDescent="0.2">
      <c r="A22" t="s">
        <v>214</v>
      </c>
      <c r="C22">
        <v>1.7889999999999999</v>
      </c>
      <c r="D22">
        <v>0.69599999999999995</v>
      </c>
      <c r="E22">
        <v>1.238</v>
      </c>
      <c r="F22">
        <v>1.8540000000000001</v>
      </c>
      <c r="G22">
        <v>2.3479999999999999</v>
      </c>
      <c r="H22">
        <v>2.17</v>
      </c>
    </row>
    <row r="23" spans="1:12" x14ac:dyDescent="0.2">
      <c r="A23" t="s">
        <v>60</v>
      </c>
      <c r="C23">
        <f t="shared" ref="C23:H23" si="6">SQRT((1+(C22^2)))</f>
        <v>2.0495172602347118</v>
      </c>
      <c r="D23">
        <f t="shared" si="6"/>
        <v>1.218366119029908</v>
      </c>
      <c r="E23">
        <f t="shared" si="6"/>
        <v>1.591428289304925</v>
      </c>
      <c r="F23">
        <f t="shared" si="6"/>
        <v>2.1064937692763301</v>
      </c>
      <c r="G23">
        <f t="shared" si="6"/>
        <v>2.552078368702654</v>
      </c>
      <c r="H23">
        <f t="shared" si="6"/>
        <v>2.38933045014707</v>
      </c>
    </row>
    <row r="24" spans="1:12" x14ac:dyDescent="0.2">
      <c r="A24" t="s">
        <v>59</v>
      </c>
      <c r="C24">
        <f t="shared" ref="C24:H24" si="7">C21/$G$2</f>
        <v>0.50752777115155556</v>
      </c>
      <c r="D24">
        <f t="shared" si="7"/>
        <v>0.5068050565545853</v>
      </c>
      <c r="E24">
        <f t="shared" si="7"/>
        <v>0.79346835601364318</v>
      </c>
      <c r="F24">
        <f t="shared" si="7"/>
        <v>0.92015010685817133</v>
      </c>
      <c r="G24">
        <f t="shared" si="7"/>
        <v>0.77416175827017975</v>
      </c>
      <c r="H24">
        <f t="shared" si="7"/>
        <v>0.99029534021091037</v>
      </c>
    </row>
    <row r="26" spans="1:12" x14ac:dyDescent="0.2">
      <c r="A26" s="1" t="s">
        <v>246</v>
      </c>
      <c r="C26">
        <v>1</v>
      </c>
    </row>
    <row r="27" spans="1:12" x14ac:dyDescent="0.2">
      <c r="A27" t="s">
        <v>215</v>
      </c>
      <c r="C27">
        <v>1367.5820000000001</v>
      </c>
    </row>
    <row r="28" spans="1:12" x14ac:dyDescent="0.2">
      <c r="A28" t="s">
        <v>62</v>
      </c>
      <c r="C28">
        <f>C27-B7</f>
        <v>1132.0020000000002</v>
      </c>
    </row>
    <row r="29" spans="1:12" x14ac:dyDescent="0.2">
      <c r="A29" t="s">
        <v>214</v>
      </c>
      <c r="C29">
        <v>6.7439999999999998</v>
      </c>
    </row>
    <row r="30" spans="1:12" x14ac:dyDescent="0.2">
      <c r="A30" t="s">
        <v>60</v>
      </c>
      <c r="C30">
        <f>SQRT((4+(C29^2)))</f>
        <v>7.0343113380060167</v>
      </c>
    </row>
    <row r="31" spans="1:12" x14ac:dyDescent="0.2">
      <c r="A31" t="s">
        <v>59</v>
      </c>
      <c r="C31">
        <f>C28/G2</f>
        <v>0.81811436919952285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9485-1537-4F40-9925-EFDD49B148D6}">
  <dimension ref="A3:R52"/>
  <sheetViews>
    <sheetView workbookViewId="0">
      <selection activeCell="E45" sqref="E45"/>
    </sheetView>
  </sheetViews>
  <sheetFormatPr baseColWidth="10" defaultColWidth="11.1640625" defaultRowHeight="16" x14ac:dyDescent="0.2"/>
  <cols>
    <col min="1" max="1" width="22" style="30" bestFit="1" customWidth="1"/>
    <col min="2" max="2" width="17.5" style="30" bestFit="1" customWidth="1"/>
    <col min="3" max="3" width="11.1640625" style="30"/>
    <col min="4" max="4" width="12" style="30" bestFit="1" customWidth="1"/>
    <col min="5" max="16384" width="11.1640625" style="30"/>
  </cols>
  <sheetData>
    <row r="3" spans="1:18" x14ac:dyDescent="0.2">
      <c r="A3" s="30" t="s">
        <v>27</v>
      </c>
      <c r="B3" s="30">
        <v>40.107999999999997</v>
      </c>
      <c r="D3" s="30" t="s">
        <v>73</v>
      </c>
      <c r="E3" s="30">
        <f>AVERAGE(C7:I7,C14:E14,C21:G21,C28:J28,C42:D42)</f>
        <v>683.44723999999997</v>
      </c>
    </row>
    <row r="4" spans="1:18" ht="17" thickBot="1" x14ac:dyDescent="0.25"/>
    <row r="5" spans="1:18" ht="17" thickBot="1" x14ac:dyDescent="0.25">
      <c r="A5" s="41" t="s">
        <v>608</v>
      </c>
      <c r="B5" s="40" t="s">
        <v>70</v>
      </c>
      <c r="C5" s="30">
        <v>1</v>
      </c>
      <c r="D5" s="30">
        <v>1</v>
      </c>
      <c r="E5" s="30">
        <v>1</v>
      </c>
      <c r="F5" s="30">
        <v>1</v>
      </c>
      <c r="G5" s="30">
        <v>1</v>
      </c>
      <c r="H5" s="30">
        <v>1</v>
      </c>
      <c r="I5" s="30">
        <v>1</v>
      </c>
    </row>
    <row r="6" spans="1:18" x14ac:dyDescent="0.2">
      <c r="A6" s="39" t="s">
        <v>63</v>
      </c>
      <c r="B6" s="30">
        <v>389.37700000000001</v>
      </c>
      <c r="C6" s="30">
        <v>751.55799999999999</v>
      </c>
      <c r="D6" s="30">
        <v>1056.904</v>
      </c>
      <c r="E6" s="30">
        <v>932.51900000000001</v>
      </c>
      <c r="F6" s="30">
        <v>1107.288</v>
      </c>
      <c r="G6" s="30">
        <v>1170.019</v>
      </c>
      <c r="H6" s="30">
        <v>1076.865</v>
      </c>
      <c r="I6" s="30">
        <v>938.077</v>
      </c>
      <c r="J6" s="30">
        <v>510.654</v>
      </c>
      <c r="K6" s="30">
        <v>1506.692</v>
      </c>
      <c r="L6" s="30">
        <v>1508.75</v>
      </c>
      <c r="M6" s="30">
        <v>2212</v>
      </c>
      <c r="N6" s="30">
        <v>2312.25</v>
      </c>
      <c r="O6" s="30">
        <v>2219.75</v>
      </c>
      <c r="P6" s="30">
        <v>1646.231</v>
      </c>
      <c r="Q6" s="30">
        <v>1697.788</v>
      </c>
      <c r="R6" s="30">
        <v>1427.769</v>
      </c>
    </row>
    <row r="7" spans="1:18" x14ac:dyDescent="0.2">
      <c r="A7" s="39" t="s">
        <v>62</v>
      </c>
      <c r="C7" s="30">
        <f t="shared" ref="C7:R7" si="0">C6-$B$6</f>
        <v>362.18099999999998</v>
      </c>
      <c r="D7" s="30">
        <f t="shared" si="0"/>
        <v>667.52700000000004</v>
      </c>
      <c r="E7" s="30">
        <f t="shared" si="0"/>
        <v>543.14200000000005</v>
      </c>
      <c r="F7" s="30">
        <f t="shared" si="0"/>
        <v>717.91100000000006</v>
      </c>
      <c r="G7" s="30">
        <f t="shared" si="0"/>
        <v>780.64200000000005</v>
      </c>
      <c r="H7" s="30">
        <f t="shared" si="0"/>
        <v>687.48800000000006</v>
      </c>
      <c r="I7" s="30">
        <f t="shared" si="0"/>
        <v>548.70000000000005</v>
      </c>
      <c r="J7" s="30">
        <f t="shared" si="0"/>
        <v>121.27699999999999</v>
      </c>
      <c r="K7" s="30">
        <f t="shared" si="0"/>
        <v>1117.3150000000001</v>
      </c>
      <c r="L7" s="30">
        <f t="shared" si="0"/>
        <v>1119.373</v>
      </c>
      <c r="M7" s="30">
        <f t="shared" si="0"/>
        <v>1822.623</v>
      </c>
      <c r="N7" s="30">
        <f t="shared" si="0"/>
        <v>1922.873</v>
      </c>
      <c r="O7" s="30">
        <f t="shared" si="0"/>
        <v>1830.373</v>
      </c>
      <c r="P7" s="30">
        <f t="shared" si="0"/>
        <v>1256.854</v>
      </c>
      <c r="Q7" s="30">
        <f t="shared" si="0"/>
        <v>1308.4110000000001</v>
      </c>
      <c r="R7" s="30">
        <f t="shared" si="0"/>
        <v>1038.3920000000001</v>
      </c>
    </row>
    <row r="8" spans="1:18" x14ac:dyDescent="0.2">
      <c r="A8" s="39" t="s">
        <v>61</v>
      </c>
      <c r="C8" s="30">
        <v>6.6870000000000003</v>
      </c>
      <c r="D8" s="30">
        <v>2.4990000000000001</v>
      </c>
      <c r="E8" s="30">
        <v>2.5609999999999999</v>
      </c>
      <c r="F8" s="30">
        <v>1.823</v>
      </c>
      <c r="G8" s="30">
        <v>1.8069999999999999</v>
      </c>
      <c r="H8" s="30">
        <v>1.1910000000000001</v>
      </c>
      <c r="I8" s="30">
        <v>1.048</v>
      </c>
      <c r="J8" s="30">
        <v>10.682</v>
      </c>
      <c r="K8" s="30">
        <v>1.4590000000000001</v>
      </c>
      <c r="L8" s="30">
        <v>1.49</v>
      </c>
      <c r="M8" s="30">
        <v>2.6589999999999998</v>
      </c>
      <c r="N8" s="30">
        <v>3.1859999999999999</v>
      </c>
      <c r="O8" s="30">
        <v>3.33</v>
      </c>
      <c r="P8" s="30">
        <v>2.5219999999999998</v>
      </c>
      <c r="Q8" s="30">
        <v>3.9129999999999998</v>
      </c>
      <c r="R8" s="30">
        <v>4.0149999999999997</v>
      </c>
    </row>
    <row r="9" spans="1:18" x14ac:dyDescent="0.2">
      <c r="A9" s="39" t="s">
        <v>60</v>
      </c>
    </row>
    <row r="10" spans="1:18" x14ac:dyDescent="0.2">
      <c r="A10" s="39" t="s">
        <v>59</v>
      </c>
      <c r="J10" s="30">
        <f t="shared" ref="J10:R10" si="1">J7/$E$3</f>
        <v>0.17744895714261719</v>
      </c>
      <c r="K10" s="30">
        <f t="shared" si="1"/>
        <v>1.6348226089844187</v>
      </c>
      <c r="L10" s="30">
        <f t="shared" si="1"/>
        <v>1.6378338143555897</v>
      </c>
      <c r="M10" s="30">
        <f t="shared" si="1"/>
        <v>2.6668086332457794</v>
      </c>
      <c r="N10" s="30">
        <f t="shared" si="1"/>
        <v>2.8134914993584585</v>
      </c>
      <c r="O10" s="30">
        <f t="shared" si="1"/>
        <v>2.6781482064365352</v>
      </c>
      <c r="P10" s="30">
        <f t="shared" si="1"/>
        <v>1.8389919900766591</v>
      </c>
      <c r="Q10" s="30">
        <f t="shared" si="1"/>
        <v>1.9144286836245035</v>
      </c>
      <c r="R10" s="30">
        <f t="shared" si="1"/>
        <v>1.519344785121965</v>
      </c>
    </row>
    <row r="12" spans="1:18" x14ac:dyDescent="0.2">
      <c r="A12" s="41" t="s">
        <v>607</v>
      </c>
      <c r="C12" s="30">
        <v>1</v>
      </c>
      <c r="D12" s="30">
        <v>1</v>
      </c>
      <c r="E12" s="30">
        <v>1</v>
      </c>
    </row>
    <row r="13" spans="1:18" x14ac:dyDescent="0.2">
      <c r="A13" s="39" t="s">
        <v>63</v>
      </c>
      <c r="C13" s="30">
        <v>686.53800000000001</v>
      </c>
      <c r="D13" s="30">
        <v>1257.558</v>
      </c>
      <c r="E13" s="30">
        <v>1147.962</v>
      </c>
      <c r="F13" s="30">
        <v>1367.365</v>
      </c>
      <c r="G13" s="30">
        <v>1279.365</v>
      </c>
      <c r="H13" s="30">
        <v>1488.558</v>
      </c>
      <c r="I13" s="30">
        <v>1365.538</v>
      </c>
      <c r="J13" s="30">
        <v>4050.692</v>
      </c>
      <c r="K13" s="30">
        <v>1595.692</v>
      </c>
      <c r="L13" s="30">
        <v>1458.442</v>
      </c>
    </row>
    <row r="14" spans="1:18" x14ac:dyDescent="0.2">
      <c r="A14" s="39" t="s">
        <v>62</v>
      </c>
      <c r="C14" s="30">
        <f t="shared" ref="C14:L14" si="2">C13-$B$6</f>
        <v>297.161</v>
      </c>
      <c r="D14" s="30">
        <f t="shared" si="2"/>
        <v>868.18100000000004</v>
      </c>
      <c r="E14" s="30">
        <f t="shared" si="2"/>
        <v>758.58500000000004</v>
      </c>
      <c r="F14" s="30">
        <f t="shared" si="2"/>
        <v>977.98800000000006</v>
      </c>
      <c r="G14" s="30">
        <f t="shared" si="2"/>
        <v>889.98800000000006</v>
      </c>
      <c r="H14" s="30">
        <f t="shared" si="2"/>
        <v>1099.181</v>
      </c>
      <c r="I14" s="30">
        <f t="shared" si="2"/>
        <v>976.16100000000006</v>
      </c>
      <c r="J14" s="30">
        <f t="shared" si="2"/>
        <v>3661.3150000000001</v>
      </c>
      <c r="K14" s="30">
        <f t="shared" si="2"/>
        <v>1206.3150000000001</v>
      </c>
      <c r="L14" s="30">
        <f t="shared" si="2"/>
        <v>1069.0650000000001</v>
      </c>
    </row>
    <row r="15" spans="1:18" x14ac:dyDescent="0.2">
      <c r="A15" s="39" t="s">
        <v>61</v>
      </c>
      <c r="C15" s="30">
        <v>6.5890000000000004</v>
      </c>
      <c r="D15" s="30">
        <v>2.5369999999999999</v>
      </c>
      <c r="E15" s="30">
        <v>1.994</v>
      </c>
      <c r="F15" s="30">
        <v>1.94</v>
      </c>
      <c r="G15" s="30">
        <v>1.3220000000000001</v>
      </c>
      <c r="H15" s="30">
        <v>1.7290000000000001</v>
      </c>
      <c r="I15" s="30">
        <v>2.09</v>
      </c>
      <c r="J15" s="30">
        <v>2.7749999999999999</v>
      </c>
      <c r="K15" s="30">
        <v>2.8639999999999999</v>
      </c>
      <c r="L15" s="30">
        <v>4.0019999999999998</v>
      </c>
    </row>
    <row r="16" spans="1:18" x14ac:dyDescent="0.2">
      <c r="A16" s="39" t="s">
        <v>60</v>
      </c>
      <c r="C16" s="30">
        <f t="shared" ref="C16:L16" si="3">SQRT((C15^2)+1)</f>
        <v>6.6644520404906515</v>
      </c>
      <c r="D16" s="30">
        <f t="shared" si="3"/>
        <v>2.7269706635752429</v>
      </c>
      <c r="E16" s="30">
        <f t="shared" si="3"/>
        <v>2.2307030281953715</v>
      </c>
      <c r="F16" s="30">
        <f t="shared" si="3"/>
        <v>2.1825672956406179</v>
      </c>
      <c r="G16" s="30">
        <f t="shared" si="3"/>
        <v>1.6576139478177663</v>
      </c>
      <c r="H16" s="30">
        <f t="shared" si="3"/>
        <v>1.9973585056268692</v>
      </c>
      <c r="I16" s="30">
        <f t="shared" si="3"/>
        <v>2.3169160537231379</v>
      </c>
      <c r="J16" s="30">
        <f t="shared" si="3"/>
        <v>2.9496821862702425</v>
      </c>
      <c r="K16" s="30">
        <f t="shared" si="3"/>
        <v>3.033561603132529</v>
      </c>
      <c r="L16" s="30">
        <f t="shared" si="3"/>
        <v>4.1250459391381327</v>
      </c>
    </row>
    <row r="17" spans="1:18" x14ac:dyDescent="0.2">
      <c r="A17" s="39" t="s">
        <v>59</v>
      </c>
      <c r="F17" s="30">
        <f t="shared" ref="F17:L17" si="4">F14/$E$3</f>
        <v>1.4309634200878478</v>
      </c>
      <c r="G17" s="30">
        <f t="shared" si="4"/>
        <v>1.3022043954702343</v>
      </c>
      <c r="H17" s="30">
        <f t="shared" si="4"/>
        <v>1.6082894708887845</v>
      </c>
      <c r="I17" s="30">
        <f t="shared" si="4"/>
        <v>1.428290207156298</v>
      </c>
      <c r="J17" s="30">
        <f t="shared" si="4"/>
        <v>5.3571289570208815</v>
      </c>
      <c r="K17" s="30">
        <f t="shared" si="4"/>
        <v>1.7650448043363232</v>
      </c>
      <c r="L17" s="30">
        <f t="shared" si="4"/>
        <v>1.5642246210548749</v>
      </c>
    </row>
    <row r="19" spans="1:18" x14ac:dyDescent="0.2">
      <c r="A19" s="41" t="s">
        <v>606</v>
      </c>
      <c r="C19" s="30">
        <v>1</v>
      </c>
      <c r="D19" s="30">
        <v>1</v>
      </c>
      <c r="E19" s="30">
        <v>1</v>
      </c>
      <c r="F19" s="30">
        <v>1</v>
      </c>
      <c r="G19" s="30">
        <v>1</v>
      </c>
    </row>
    <row r="20" spans="1:18" x14ac:dyDescent="0.2">
      <c r="A20" s="39" t="s">
        <v>63</v>
      </c>
      <c r="C20" s="30">
        <v>682.03800000000001</v>
      </c>
      <c r="D20" s="30">
        <v>1171.019</v>
      </c>
      <c r="E20" s="30">
        <v>861.26900000000001</v>
      </c>
      <c r="F20" s="30">
        <v>1652.135</v>
      </c>
      <c r="G20" s="30">
        <v>580.68299999999999</v>
      </c>
      <c r="H20" s="30">
        <v>2053.2310000000002</v>
      </c>
      <c r="I20" s="30">
        <v>1435.462</v>
      </c>
      <c r="J20" s="30">
        <v>9707.5190000000002</v>
      </c>
      <c r="K20" s="30">
        <v>1011.173</v>
      </c>
      <c r="L20" s="30">
        <v>938</v>
      </c>
      <c r="M20" s="30">
        <v>1277.154</v>
      </c>
      <c r="N20" s="30">
        <v>1145.846</v>
      </c>
    </row>
    <row r="21" spans="1:18" x14ac:dyDescent="0.2">
      <c r="A21" s="39" t="s">
        <v>62</v>
      </c>
      <c r="C21" s="30">
        <f t="shared" ref="C21:N21" si="5">C20-$B$6</f>
        <v>292.661</v>
      </c>
      <c r="D21" s="30">
        <f t="shared" si="5"/>
        <v>781.64200000000005</v>
      </c>
      <c r="E21" s="30">
        <f t="shared" si="5"/>
        <v>471.892</v>
      </c>
      <c r="F21" s="30">
        <f t="shared" si="5"/>
        <v>1262.758</v>
      </c>
      <c r="G21" s="30">
        <f t="shared" si="5"/>
        <v>191.30599999999998</v>
      </c>
      <c r="H21" s="30">
        <f t="shared" si="5"/>
        <v>1663.8540000000003</v>
      </c>
      <c r="I21" s="30">
        <f t="shared" si="5"/>
        <v>1046.085</v>
      </c>
      <c r="J21" s="30">
        <f t="shared" si="5"/>
        <v>9318.1419999999998</v>
      </c>
      <c r="K21" s="30">
        <f t="shared" si="5"/>
        <v>621.79600000000005</v>
      </c>
      <c r="L21" s="30">
        <f t="shared" si="5"/>
        <v>548.62300000000005</v>
      </c>
      <c r="M21" s="30">
        <f t="shared" si="5"/>
        <v>887.77700000000004</v>
      </c>
      <c r="N21" s="30">
        <f t="shared" si="5"/>
        <v>756.46900000000005</v>
      </c>
    </row>
    <row r="22" spans="1:18" x14ac:dyDescent="0.2">
      <c r="A22" s="39" t="s">
        <v>61</v>
      </c>
      <c r="C22" s="30">
        <v>3.6930000000000001</v>
      </c>
      <c r="D22" s="30">
        <v>1.9139999999999999</v>
      </c>
      <c r="E22" s="30">
        <v>2.2829999999999999</v>
      </c>
      <c r="F22" s="30">
        <v>2.14</v>
      </c>
      <c r="G22" s="30">
        <v>5.8470000000000004</v>
      </c>
      <c r="H22" s="30">
        <v>2.9790000000000001</v>
      </c>
      <c r="I22" s="30">
        <v>1.954</v>
      </c>
      <c r="J22" s="30">
        <v>3.1219999999999999</v>
      </c>
      <c r="K22" s="30">
        <v>6.2089999999999996</v>
      </c>
      <c r="L22" s="30">
        <v>7.0309999999999997</v>
      </c>
      <c r="M22" s="30">
        <v>0.93200000000000005</v>
      </c>
      <c r="N22" s="30">
        <v>1.179</v>
      </c>
    </row>
    <row r="23" spans="1:18" x14ac:dyDescent="0.2">
      <c r="A23" s="39" t="s">
        <v>60</v>
      </c>
      <c r="C23" s="30">
        <f t="shared" ref="C23:N23" si="6">SQRT((C22^2)+4)</f>
        <v>4.1997915424458867</v>
      </c>
      <c r="D23" s="30">
        <f t="shared" si="6"/>
        <v>2.7682839449738532</v>
      </c>
      <c r="E23" s="30">
        <f t="shared" si="6"/>
        <v>3.0351423360363183</v>
      </c>
      <c r="F23" s="30">
        <f t="shared" si="6"/>
        <v>2.9290954235053523</v>
      </c>
      <c r="G23" s="30">
        <f t="shared" si="6"/>
        <v>6.1795961842178651</v>
      </c>
      <c r="H23" s="30">
        <f t="shared" si="6"/>
        <v>3.5880971280053164</v>
      </c>
      <c r="I23" s="30">
        <f t="shared" si="6"/>
        <v>2.7960894120181492</v>
      </c>
      <c r="J23" s="30">
        <f t="shared" si="6"/>
        <v>3.707679058386796</v>
      </c>
      <c r="K23" s="30">
        <f t="shared" si="6"/>
        <v>6.5231649526897595</v>
      </c>
      <c r="L23" s="30">
        <f t="shared" si="6"/>
        <v>7.309922092608101</v>
      </c>
      <c r="M23" s="30">
        <f t="shared" si="6"/>
        <v>2.2064958644874002</v>
      </c>
      <c r="N23" s="30">
        <f t="shared" si="6"/>
        <v>2.3216461832070796</v>
      </c>
    </row>
    <row r="24" spans="1:18" x14ac:dyDescent="0.2">
      <c r="A24" s="39" t="s">
        <v>59</v>
      </c>
      <c r="H24" s="30">
        <f t="shared" ref="H24:N24" si="7">H21/$E$3</f>
        <v>2.4345024789331218</v>
      </c>
      <c r="I24" s="30">
        <f t="shared" si="7"/>
        <v>1.5306009575808661</v>
      </c>
      <c r="J24" s="30">
        <f t="shared" si="7"/>
        <v>13.63403267236839</v>
      </c>
      <c r="K24" s="30">
        <f t="shared" si="7"/>
        <v>0.90979370989924557</v>
      </c>
      <c r="L24" s="30">
        <f t="shared" si="7"/>
        <v>0.80272911775896572</v>
      </c>
      <c r="M24" s="30">
        <f t="shared" si="7"/>
        <v>1.2989693249767167</v>
      </c>
      <c r="N24" s="30">
        <f t="shared" si="7"/>
        <v>1.1068433021984259</v>
      </c>
    </row>
    <row r="26" spans="1:18" x14ac:dyDescent="0.2">
      <c r="A26" s="41" t="s">
        <v>605</v>
      </c>
      <c r="C26" s="30">
        <v>1</v>
      </c>
      <c r="D26" s="30">
        <v>1</v>
      </c>
      <c r="E26" s="30">
        <v>1</v>
      </c>
      <c r="F26" s="30">
        <v>1</v>
      </c>
      <c r="G26" s="30">
        <v>1</v>
      </c>
      <c r="H26" s="30">
        <v>1</v>
      </c>
      <c r="I26" s="30">
        <v>1</v>
      </c>
      <c r="J26" s="30">
        <v>1</v>
      </c>
    </row>
    <row r="27" spans="1:18" x14ac:dyDescent="0.2">
      <c r="A27" s="39" t="s">
        <v>63</v>
      </c>
      <c r="C27" s="30">
        <v>1385.058</v>
      </c>
      <c r="D27" s="30">
        <v>1650.308</v>
      </c>
      <c r="E27" s="30">
        <v>1190.981</v>
      </c>
      <c r="F27" s="30">
        <v>1021.231</v>
      </c>
      <c r="G27" s="30">
        <v>1318.538</v>
      </c>
      <c r="H27" s="30">
        <v>1207.5</v>
      </c>
      <c r="I27" s="30">
        <v>848.03800000000001</v>
      </c>
      <c r="J27" s="30">
        <v>1276.885</v>
      </c>
      <c r="K27" s="30">
        <v>2164.942</v>
      </c>
      <c r="L27" s="30">
        <v>1667.673</v>
      </c>
      <c r="M27" s="30">
        <v>1562.077</v>
      </c>
      <c r="N27" s="30">
        <v>844.05799999999999</v>
      </c>
      <c r="O27" s="30">
        <v>771.827</v>
      </c>
      <c r="P27" s="30">
        <v>1852.865</v>
      </c>
      <c r="Q27" s="30">
        <v>5491.2120000000004</v>
      </c>
      <c r="R27" s="30">
        <v>4007.8850000000002</v>
      </c>
    </row>
    <row r="28" spans="1:18" x14ac:dyDescent="0.2">
      <c r="A28" s="39" t="s">
        <v>62</v>
      </c>
      <c r="C28" s="30">
        <f t="shared" ref="C28:R28" si="8">C27-$B$6</f>
        <v>995.68100000000004</v>
      </c>
      <c r="D28" s="30">
        <f t="shared" si="8"/>
        <v>1260.931</v>
      </c>
      <c r="E28" s="30">
        <f t="shared" si="8"/>
        <v>801.60400000000004</v>
      </c>
      <c r="F28" s="30">
        <f t="shared" si="8"/>
        <v>631.85400000000004</v>
      </c>
      <c r="G28" s="30">
        <f t="shared" si="8"/>
        <v>929.16100000000006</v>
      </c>
      <c r="H28" s="30">
        <f t="shared" si="8"/>
        <v>818.12300000000005</v>
      </c>
      <c r="I28" s="30">
        <f t="shared" si="8"/>
        <v>458.661</v>
      </c>
      <c r="J28" s="30">
        <f t="shared" si="8"/>
        <v>887.50800000000004</v>
      </c>
      <c r="K28" s="30">
        <f t="shared" si="8"/>
        <v>1775.5650000000001</v>
      </c>
      <c r="L28" s="30">
        <f t="shared" si="8"/>
        <v>1278.296</v>
      </c>
      <c r="M28" s="30">
        <f t="shared" si="8"/>
        <v>1172.7</v>
      </c>
      <c r="N28" s="30">
        <f t="shared" si="8"/>
        <v>454.68099999999998</v>
      </c>
      <c r="O28" s="30">
        <f t="shared" si="8"/>
        <v>382.45</v>
      </c>
      <c r="P28" s="30">
        <f t="shared" si="8"/>
        <v>1463.4880000000001</v>
      </c>
      <c r="Q28" s="30">
        <f t="shared" si="8"/>
        <v>5101.835</v>
      </c>
      <c r="R28" s="30">
        <f t="shared" si="8"/>
        <v>3618.5080000000003</v>
      </c>
    </row>
    <row r="29" spans="1:18" x14ac:dyDescent="0.2">
      <c r="A29" s="39" t="s">
        <v>61</v>
      </c>
      <c r="C29" s="30">
        <v>0.74199999999999999</v>
      </c>
      <c r="D29" s="30">
        <v>2.3679999999999999</v>
      </c>
      <c r="E29" s="30">
        <v>5.7430000000000003</v>
      </c>
      <c r="F29" s="30">
        <v>5.7439999999999998</v>
      </c>
      <c r="G29" s="30">
        <v>6.2489999999999997</v>
      </c>
      <c r="H29" s="30">
        <v>6.3579999999999997</v>
      </c>
      <c r="I29" s="30">
        <v>7.0419999999999998</v>
      </c>
      <c r="J29" s="30">
        <v>6.8609999999999998</v>
      </c>
      <c r="K29" s="30">
        <v>1.2</v>
      </c>
      <c r="L29" s="30">
        <v>1.3919999999999999</v>
      </c>
      <c r="M29" s="30">
        <v>0.72199999999999998</v>
      </c>
      <c r="N29" s="30">
        <v>1.9570000000000001</v>
      </c>
      <c r="O29" s="30">
        <v>2.2269999999999999</v>
      </c>
      <c r="P29" s="30">
        <v>1.841</v>
      </c>
      <c r="Q29" s="30">
        <v>2.6360000000000001</v>
      </c>
      <c r="R29" s="30">
        <v>3.2629999999999999</v>
      </c>
    </row>
    <row r="30" spans="1:18" x14ac:dyDescent="0.2">
      <c r="A30" s="39" t="s">
        <v>60</v>
      </c>
      <c r="C30" s="30">
        <f t="shared" ref="C30:R30" si="9">SQRT((C29^2)+9)</f>
        <v>3.0903986797822705</v>
      </c>
      <c r="D30" s="30">
        <f t="shared" si="9"/>
        <v>3.8219659862432054</v>
      </c>
      <c r="E30" s="30">
        <f t="shared" si="9"/>
        <v>6.4793556006751167</v>
      </c>
      <c r="F30" s="30">
        <f t="shared" si="9"/>
        <v>6.4802419707909058</v>
      </c>
      <c r="G30" s="30">
        <f t="shared" si="9"/>
        <v>6.9318108023805722</v>
      </c>
      <c r="H30" s="30">
        <f t="shared" si="9"/>
        <v>7.030232144104489</v>
      </c>
      <c r="I30" s="30">
        <f t="shared" si="9"/>
        <v>7.6543950773395535</v>
      </c>
      <c r="J30" s="30">
        <f t="shared" si="9"/>
        <v>7.4882121364181451</v>
      </c>
      <c r="K30" s="30">
        <f t="shared" si="9"/>
        <v>3.2310988842807022</v>
      </c>
      <c r="L30" s="30">
        <f t="shared" si="9"/>
        <v>3.3072139332072243</v>
      </c>
      <c r="M30" s="30">
        <f t="shared" si="9"/>
        <v>3.0856577904881157</v>
      </c>
      <c r="N30" s="30">
        <f t="shared" si="9"/>
        <v>3.5818778594474714</v>
      </c>
      <c r="O30" s="30">
        <f t="shared" si="9"/>
        <v>3.736245307792303</v>
      </c>
      <c r="P30" s="30">
        <f t="shared" si="9"/>
        <v>3.5198410475474602</v>
      </c>
      <c r="Q30" s="30">
        <f t="shared" si="9"/>
        <v>3.9935568106638972</v>
      </c>
      <c r="R30" s="30">
        <f t="shared" si="9"/>
        <v>4.4325127185378719</v>
      </c>
    </row>
    <row r="31" spans="1:18" x14ac:dyDescent="0.2">
      <c r="A31" s="39" t="s">
        <v>59</v>
      </c>
      <c r="K31" s="30">
        <f t="shared" ref="K31:R31" si="10">K28/$E$3</f>
        <v>2.5979547448315103</v>
      </c>
      <c r="L31" s="30">
        <f t="shared" si="10"/>
        <v>1.8703652969613282</v>
      </c>
      <c r="M31" s="30">
        <f t="shared" si="10"/>
        <v>1.7158603201031291</v>
      </c>
      <c r="N31" s="30">
        <f t="shared" si="10"/>
        <v>0.66527593263819462</v>
      </c>
      <c r="O31" s="30">
        <f t="shared" si="10"/>
        <v>0.5595896473296168</v>
      </c>
      <c r="P31" s="30">
        <f t="shared" si="10"/>
        <v>2.1413328115861585</v>
      </c>
      <c r="Q31" s="30">
        <f t="shared" si="10"/>
        <v>7.4648556631818428</v>
      </c>
      <c r="R31" s="30">
        <f t="shared" si="10"/>
        <v>5.2944950073980843</v>
      </c>
    </row>
    <row r="33" spans="1:10" x14ac:dyDescent="0.2">
      <c r="A33" s="41" t="s">
        <v>604</v>
      </c>
    </row>
    <row r="34" spans="1:10" x14ac:dyDescent="0.2">
      <c r="A34" s="39" t="s">
        <v>63</v>
      </c>
      <c r="C34" s="30">
        <v>1636.942</v>
      </c>
      <c r="D34" s="30">
        <v>1034.173</v>
      </c>
    </row>
    <row r="35" spans="1:10" x14ac:dyDescent="0.2">
      <c r="A35" s="39" t="s">
        <v>62</v>
      </c>
      <c r="C35" s="30">
        <f>C34-$B$6</f>
        <v>1247.5650000000001</v>
      </c>
      <c r="D35" s="30">
        <f>D34-$B$6</f>
        <v>644.79600000000005</v>
      </c>
    </row>
    <row r="36" spans="1:10" x14ac:dyDescent="0.2">
      <c r="A36" s="39" t="s">
        <v>61</v>
      </c>
      <c r="C36" s="30">
        <v>1.0549999999999999</v>
      </c>
      <c r="D36" s="30">
        <v>6.8230000000000004</v>
      </c>
    </row>
    <row r="37" spans="1:10" x14ac:dyDescent="0.2">
      <c r="A37" s="39" t="s">
        <v>60</v>
      </c>
      <c r="C37" s="30">
        <f>SQRT((C36^2)+16)</f>
        <v>4.1367892138710669</v>
      </c>
      <c r="D37" s="30">
        <f>SQRT((D36^2)+16)</f>
        <v>7.9090662533575991</v>
      </c>
    </row>
    <row r="38" spans="1:10" x14ac:dyDescent="0.2">
      <c r="A38" s="39" t="s">
        <v>59</v>
      </c>
      <c r="C38" s="30">
        <f>C35/$E$3</f>
        <v>1.8254005971258296</v>
      </c>
      <c r="D38" s="30">
        <f>D35/$E$3</f>
        <v>0.94344663678794005</v>
      </c>
    </row>
    <row r="40" spans="1:10" x14ac:dyDescent="0.2">
      <c r="A40" s="41" t="s">
        <v>603</v>
      </c>
      <c r="C40" s="30">
        <v>1</v>
      </c>
      <c r="D40" s="30">
        <v>1</v>
      </c>
    </row>
    <row r="41" spans="1:10" x14ac:dyDescent="0.2">
      <c r="A41" s="39" t="s">
        <v>63</v>
      </c>
      <c r="C41" s="30">
        <v>649.88499999999999</v>
      </c>
      <c r="D41" s="30">
        <v>1199.75</v>
      </c>
      <c r="E41" s="30">
        <v>1256.75</v>
      </c>
      <c r="F41" s="30">
        <v>1233.808</v>
      </c>
      <c r="G41" s="30">
        <v>1205.308</v>
      </c>
      <c r="H41" s="30">
        <v>802.923</v>
      </c>
      <c r="I41" s="30">
        <v>866.75</v>
      </c>
      <c r="J41" s="30">
        <v>719.03800000000001</v>
      </c>
    </row>
    <row r="42" spans="1:10" x14ac:dyDescent="0.2">
      <c r="A42" s="39" t="s">
        <v>62</v>
      </c>
      <c r="C42" s="30">
        <f t="shared" ref="C42:J42" si="11">C41-$B$6</f>
        <v>260.50799999999998</v>
      </c>
      <c r="D42" s="30">
        <f t="shared" si="11"/>
        <v>810.37300000000005</v>
      </c>
      <c r="E42" s="30">
        <f t="shared" si="11"/>
        <v>867.37300000000005</v>
      </c>
      <c r="F42" s="30">
        <f t="shared" si="11"/>
        <v>844.43100000000004</v>
      </c>
      <c r="G42" s="30">
        <f t="shared" si="11"/>
        <v>815.93100000000004</v>
      </c>
      <c r="H42" s="30">
        <f t="shared" si="11"/>
        <v>413.54599999999999</v>
      </c>
      <c r="I42" s="30">
        <f t="shared" si="11"/>
        <v>477.37299999999999</v>
      </c>
      <c r="J42" s="30">
        <f t="shared" si="11"/>
        <v>329.661</v>
      </c>
    </row>
    <row r="43" spans="1:10" x14ac:dyDescent="0.2">
      <c r="A43" s="39" t="s">
        <v>61</v>
      </c>
      <c r="C43" s="30">
        <v>4.4640000000000004</v>
      </c>
      <c r="D43" s="30">
        <v>1.4319999999999999</v>
      </c>
      <c r="E43" s="30">
        <v>2.633</v>
      </c>
      <c r="F43" s="30">
        <v>3.4809999999999999</v>
      </c>
      <c r="G43" s="30">
        <v>3.3279999999999998</v>
      </c>
      <c r="H43" s="30">
        <v>1.1200000000000001</v>
      </c>
      <c r="I43" s="30">
        <v>3.2850000000000001</v>
      </c>
      <c r="J43" s="30">
        <v>0.84899999999999998</v>
      </c>
    </row>
    <row r="44" spans="1:10" x14ac:dyDescent="0.2">
      <c r="A44" s="39" t="s">
        <v>60</v>
      </c>
      <c r="C44" s="30">
        <f t="shared" ref="C44:J44" si="12">SQRT((C43^2)+1)</f>
        <v>4.57463616039571</v>
      </c>
      <c r="D44" s="30">
        <f t="shared" si="12"/>
        <v>1.7466035612009956</v>
      </c>
      <c r="E44" s="30">
        <f t="shared" si="12"/>
        <v>2.8165029735471609</v>
      </c>
      <c r="F44" s="30">
        <f t="shared" si="12"/>
        <v>3.6217897509380634</v>
      </c>
      <c r="G44" s="30">
        <f t="shared" si="12"/>
        <v>3.4749941007144169</v>
      </c>
      <c r="H44" s="30">
        <f t="shared" si="12"/>
        <v>1.5014659503298768</v>
      </c>
      <c r="I44" s="30">
        <f t="shared" si="12"/>
        <v>3.4338353192894968</v>
      </c>
      <c r="J44" s="30">
        <f t="shared" si="12"/>
        <v>1.3117930477022661</v>
      </c>
    </row>
    <row r="45" spans="1:10" x14ac:dyDescent="0.2">
      <c r="A45" s="39" t="s">
        <v>59</v>
      </c>
      <c r="E45" s="30">
        <f t="shared" ref="E45:J45" si="13">E42/$E$3</f>
        <v>1.2691147893142418</v>
      </c>
      <c r="F45" s="30">
        <f t="shared" si="13"/>
        <v>1.2355467263281363</v>
      </c>
      <c r="G45" s="30">
        <f t="shared" si="13"/>
        <v>1.1938463604008409</v>
      </c>
      <c r="H45" s="30">
        <f t="shared" si="13"/>
        <v>0.60508840448313173</v>
      </c>
      <c r="I45" s="30">
        <f t="shared" si="13"/>
        <v>0.69847820294072738</v>
      </c>
      <c r="J45" s="30">
        <f t="shared" si="13"/>
        <v>0.48235032743712597</v>
      </c>
    </row>
    <row r="47" spans="1:10" x14ac:dyDescent="0.2">
      <c r="A47" s="41" t="s">
        <v>602</v>
      </c>
    </row>
    <row r="48" spans="1:10" x14ac:dyDescent="0.2">
      <c r="A48" s="39" t="s">
        <v>63</v>
      </c>
      <c r="C48" s="30">
        <v>592.69200000000001</v>
      </c>
      <c r="D48" s="30">
        <v>879.28800000000001</v>
      </c>
    </row>
    <row r="49" spans="1:4" x14ac:dyDescent="0.2">
      <c r="A49" s="39" t="s">
        <v>62</v>
      </c>
      <c r="C49" s="30">
        <f>C48-$B$6</f>
        <v>203.315</v>
      </c>
      <c r="D49" s="30">
        <f>D48-$B$6</f>
        <v>489.911</v>
      </c>
    </row>
    <row r="50" spans="1:4" x14ac:dyDescent="0.2">
      <c r="A50" s="39" t="s">
        <v>61</v>
      </c>
      <c r="C50" s="30">
        <v>4.4009999999999998</v>
      </c>
      <c r="D50" s="30">
        <v>2.9279999999999999</v>
      </c>
    </row>
    <row r="51" spans="1:4" x14ac:dyDescent="0.2">
      <c r="A51" s="39" t="s">
        <v>60</v>
      </c>
      <c r="C51" s="30">
        <f>SQRT((C50^2)+4)</f>
        <v>4.834128773626122</v>
      </c>
      <c r="D51" s="30">
        <f>SQRT((D50^2)+4)</f>
        <v>3.545868581885121</v>
      </c>
    </row>
    <row r="52" spans="1:4" x14ac:dyDescent="0.2">
      <c r="A52" s="39" t="s">
        <v>59</v>
      </c>
      <c r="C52" s="30">
        <f>C49/$E$3</f>
        <v>0.29748455784238736</v>
      </c>
      <c r="D52" s="30">
        <f>D49/$E$3</f>
        <v>0.71682343760726874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8618-DF00-3E45-BB7D-56E0C224CCB2}">
  <dimension ref="A1:T65"/>
  <sheetViews>
    <sheetView workbookViewId="0">
      <selection activeCell="K54" sqref="K54"/>
    </sheetView>
  </sheetViews>
  <sheetFormatPr baseColWidth="10" defaultRowHeight="16" x14ac:dyDescent="0.2"/>
  <cols>
    <col min="1" max="1" width="38.6640625" style="28" customWidth="1"/>
    <col min="2" max="2" width="16.6640625" style="28" customWidth="1"/>
    <col min="3" max="16384" width="10.83203125" style="28"/>
  </cols>
  <sheetData>
    <row r="1" spans="1:20" s="29" customFormat="1" x14ac:dyDescent="0.2">
      <c r="A1" s="29" t="s">
        <v>293</v>
      </c>
      <c r="B1" s="29" t="s">
        <v>70</v>
      </c>
      <c r="C1" s="29">
        <v>1</v>
      </c>
      <c r="D1" s="29">
        <v>1</v>
      </c>
      <c r="E1" s="29">
        <v>1</v>
      </c>
      <c r="F1" s="29" t="s">
        <v>283</v>
      </c>
      <c r="G1" s="29" t="s">
        <v>283</v>
      </c>
      <c r="H1" s="29" t="s">
        <v>283</v>
      </c>
      <c r="I1" s="29" t="s">
        <v>283</v>
      </c>
      <c r="J1" s="29" t="s">
        <v>283</v>
      </c>
      <c r="K1" s="29" t="s">
        <v>283</v>
      </c>
      <c r="L1" s="29" t="s">
        <v>283</v>
      </c>
      <c r="M1" s="29" t="s">
        <v>283</v>
      </c>
      <c r="N1" s="29" t="s">
        <v>283</v>
      </c>
      <c r="O1" s="29" t="s">
        <v>283</v>
      </c>
      <c r="P1" s="29" t="s">
        <v>283</v>
      </c>
      <c r="Q1" s="29" t="s">
        <v>283</v>
      </c>
      <c r="R1" s="29" t="s">
        <v>283</v>
      </c>
      <c r="S1" s="29" t="s">
        <v>283</v>
      </c>
      <c r="T1" s="29" t="s">
        <v>283</v>
      </c>
    </row>
    <row r="2" spans="1:20" x14ac:dyDescent="0.2">
      <c r="A2" s="28" t="s">
        <v>63</v>
      </c>
      <c r="B2" s="28">
        <v>220.898</v>
      </c>
      <c r="C2" s="28">
        <v>236.15199999999999</v>
      </c>
      <c r="D2" s="28">
        <v>242.59</v>
      </c>
      <c r="E2" s="28">
        <v>226.465</v>
      </c>
      <c r="F2" s="28">
        <v>226.25399999999999</v>
      </c>
      <c r="G2" s="28">
        <v>236.44499999999999</v>
      </c>
      <c r="H2" s="28">
        <v>239.298</v>
      </c>
      <c r="I2" s="28">
        <v>256.28899999999999</v>
      </c>
      <c r="J2" s="28">
        <v>240.309</v>
      </c>
      <c r="K2" s="28">
        <v>245.89500000000001</v>
      </c>
      <c r="L2" s="28">
        <v>262.32400000000001</v>
      </c>
      <c r="M2" s="28">
        <v>267.10199999999998</v>
      </c>
      <c r="N2" s="28">
        <v>259.19900000000001</v>
      </c>
      <c r="O2" s="28">
        <v>251.227</v>
      </c>
      <c r="P2" s="28">
        <v>237.41</v>
      </c>
      <c r="Q2" s="28">
        <v>237.625</v>
      </c>
      <c r="R2" s="28">
        <v>231.70699999999999</v>
      </c>
      <c r="S2" s="28">
        <v>236.75800000000001</v>
      </c>
      <c r="T2" s="28">
        <v>235.99600000000001</v>
      </c>
    </row>
    <row r="3" spans="1:20" x14ac:dyDescent="0.2">
      <c r="A3" s="28" t="s">
        <v>62</v>
      </c>
      <c r="C3" s="28">
        <v>15.253999999999991</v>
      </c>
      <c r="D3" s="28">
        <v>21.692000000000007</v>
      </c>
      <c r="E3" s="28">
        <v>5.5670000000000073</v>
      </c>
      <c r="F3" s="28">
        <v>5.3559999999999945</v>
      </c>
      <c r="G3" s="28">
        <v>15.546999999999997</v>
      </c>
      <c r="H3" s="28">
        <v>18.400000000000006</v>
      </c>
      <c r="I3" s="28">
        <v>35.390999999999991</v>
      </c>
      <c r="J3" s="28">
        <v>19.411000000000001</v>
      </c>
      <c r="K3" s="28">
        <v>24.997000000000014</v>
      </c>
      <c r="L3" s="28">
        <v>41.426000000000016</v>
      </c>
      <c r="M3" s="28">
        <v>46.203999999999979</v>
      </c>
      <c r="N3" s="28">
        <v>38.301000000000016</v>
      </c>
      <c r="O3" s="28">
        <v>30.329000000000008</v>
      </c>
      <c r="P3" s="28">
        <v>16.512</v>
      </c>
      <c r="Q3" s="28">
        <v>16.727000000000004</v>
      </c>
      <c r="R3" s="28">
        <v>10.808999999999997</v>
      </c>
      <c r="S3" s="28">
        <v>15.860000000000014</v>
      </c>
      <c r="T3" s="28">
        <v>15.098000000000013</v>
      </c>
    </row>
    <row r="4" spans="1:20" x14ac:dyDescent="0.2">
      <c r="A4" s="28" t="s">
        <v>61</v>
      </c>
      <c r="C4" s="28">
        <v>2.42</v>
      </c>
      <c r="D4" s="28">
        <v>2.7610000000000001</v>
      </c>
      <c r="E4" s="28">
        <v>2.95</v>
      </c>
      <c r="F4" s="28">
        <v>1.9610000000000001</v>
      </c>
      <c r="G4" s="28">
        <v>1.468</v>
      </c>
      <c r="H4" s="28">
        <v>2.3919999999999999</v>
      </c>
      <c r="I4" s="28">
        <v>2.2120000000000002</v>
      </c>
      <c r="J4" s="28">
        <v>1.44</v>
      </c>
      <c r="K4" s="28">
        <v>1.794</v>
      </c>
      <c r="L4" s="28">
        <v>2.11</v>
      </c>
      <c r="M4" s="28">
        <v>2.6309999999999998</v>
      </c>
      <c r="N4" s="28">
        <v>1.9330000000000001</v>
      </c>
      <c r="O4" s="28">
        <v>2.7559999999999998</v>
      </c>
      <c r="P4" s="28">
        <v>2.9590000000000001</v>
      </c>
      <c r="Q4" s="28">
        <v>1.5669999999999999</v>
      </c>
      <c r="R4" s="28">
        <v>7.6139999999999999</v>
      </c>
      <c r="S4" s="28">
        <v>6.98</v>
      </c>
      <c r="T4" s="28">
        <v>7.9809999999999999</v>
      </c>
    </row>
    <row r="5" spans="1:20" x14ac:dyDescent="0.2">
      <c r="A5" s="28" t="s">
        <v>60</v>
      </c>
      <c r="C5" s="28">
        <v>2.42</v>
      </c>
      <c r="D5" s="28">
        <v>2.7610000000000001</v>
      </c>
      <c r="E5" s="28">
        <v>2.95</v>
      </c>
      <c r="F5" s="28">
        <v>1.9610000000000001</v>
      </c>
      <c r="G5" s="28">
        <v>1.468</v>
      </c>
      <c r="H5" s="28">
        <v>2.3919999999999999</v>
      </c>
      <c r="I5" s="28">
        <v>2.2120000000000002</v>
      </c>
      <c r="J5" s="28">
        <v>1.44</v>
      </c>
      <c r="K5" s="28">
        <v>1.794</v>
      </c>
      <c r="L5" s="28">
        <v>2.11</v>
      </c>
      <c r="M5" s="28">
        <v>2.6309999999999998</v>
      </c>
      <c r="N5" s="28">
        <v>1.9330000000000001</v>
      </c>
      <c r="O5" s="28">
        <v>2.7559999999999998</v>
      </c>
      <c r="P5" s="28">
        <v>2.9590000000000001</v>
      </c>
      <c r="Q5" s="28">
        <v>1.5669999999999999</v>
      </c>
      <c r="R5" s="28">
        <v>7.6139999999999999</v>
      </c>
      <c r="S5" s="28">
        <v>6.98</v>
      </c>
      <c r="T5" s="28">
        <v>7.9809999999999999</v>
      </c>
    </row>
    <row r="6" spans="1:20" x14ac:dyDescent="0.2">
      <c r="A6" s="28" t="s">
        <v>10</v>
      </c>
      <c r="F6" s="28">
        <f t="shared" ref="F6:T6" si="0">F3/12.3</f>
        <v>0.43544715447154425</v>
      </c>
      <c r="G6" s="28">
        <f t="shared" si="0"/>
        <v>1.2639837398373981</v>
      </c>
      <c r="H6" s="28">
        <f t="shared" si="0"/>
        <v>1.4959349593495939</v>
      </c>
      <c r="I6" s="28">
        <f t="shared" si="0"/>
        <v>2.8773170731707309</v>
      </c>
      <c r="J6" s="28">
        <f t="shared" si="0"/>
        <v>1.578130081300813</v>
      </c>
      <c r="K6" s="28">
        <f t="shared" si="0"/>
        <v>2.0322764227642285</v>
      </c>
      <c r="L6" s="28">
        <f t="shared" si="0"/>
        <v>3.3679674796747978</v>
      </c>
      <c r="M6" s="28">
        <f t="shared" si="0"/>
        <v>3.7564227642276404</v>
      </c>
      <c r="N6" s="28">
        <f t="shared" si="0"/>
        <v>3.1139024390243915</v>
      </c>
      <c r="O6" s="28">
        <f t="shared" si="0"/>
        <v>2.4657723577235777</v>
      </c>
      <c r="P6" s="28">
        <f t="shared" si="0"/>
        <v>1.3424390243902438</v>
      </c>
      <c r="Q6" s="28">
        <f t="shared" si="0"/>
        <v>1.359918699186992</v>
      </c>
      <c r="R6" s="28">
        <f t="shared" si="0"/>
        <v>0.87878048780487783</v>
      </c>
      <c r="S6" s="28">
        <f t="shared" si="0"/>
        <v>1.2894308943089441</v>
      </c>
      <c r="T6" s="28">
        <f t="shared" si="0"/>
        <v>1.2274796747967489</v>
      </c>
    </row>
    <row r="8" spans="1:20" s="29" customFormat="1" x14ac:dyDescent="0.2">
      <c r="A8" s="29" t="s">
        <v>292</v>
      </c>
      <c r="C8" s="29" t="s">
        <v>283</v>
      </c>
      <c r="D8" s="29" t="s">
        <v>283</v>
      </c>
      <c r="E8" s="29" t="s">
        <v>283</v>
      </c>
      <c r="F8" s="29" t="s">
        <v>283</v>
      </c>
      <c r="G8" s="29" t="s">
        <v>283</v>
      </c>
      <c r="H8" s="29" t="s">
        <v>283</v>
      </c>
    </row>
    <row r="9" spans="1:20" x14ac:dyDescent="0.2">
      <c r="A9" s="28" t="s">
        <v>63</v>
      </c>
      <c r="C9" s="28">
        <v>230.94499999999999</v>
      </c>
      <c r="D9" s="28">
        <v>227.12899999999999</v>
      </c>
      <c r="E9" s="28">
        <v>237.14099999999999</v>
      </c>
      <c r="F9" s="28">
        <v>251.18799999999999</v>
      </c>
      <c r="G9" s="28">
        <v>248.59</v>
      </c>
      <c r="H9" s="28">
        <v>234.45699999999999</v>
      </c>
    </row>
    <row r="10" spans="1:20" x14ac:dyDescent="0.2">
      <c r="A10" s="28" t="s">
        <v>62</v>
      </c>
      <c r="C10" s="28">
        <v>10.046999999999997</v>
      </c>
      <c r="D10" s="28">
        <v>6.2309999999999945</v>
      </c>
      <c r="E10" s="28">
        <v>16.242999999999995</v>
      </c>
      <c r="F10" s="28">
        <v>30.289999999999992</v>
      </c>
      <c r="G10" s="28">
        <v>27.692000000000007</v>
      </c>
      <c r="H10" s="28">
        <v>13.558999999999997</v>
      </c>
    </row>
    <row r="11" spans="1:20" x14ac:dyDescent="0.2">
      <c r="A11" s="28" t="s">
        <v>61</v>
      </c>
      <c r="C11" s="28">
        <v>1.956</v>
      </c>
      <c r="D11" s="28">
        <v>1.5720000000000001</v>
      </c>
      <c r="E11" s="28">
        <v>2.5779999999999998</v>
      </c>
      <c r="F11" s="28">
        <v>2.54</v>
      </c>
      <c r="G11" s="28">
        <v>2.5299999999999998</v>
      </c>
      <c r="H11" s="28">
        <v>2.1619999999999999</v>
      </c>
    </row>
    <row r="12" spans="1:20" x14ac:dyDescent="0.2">
      <c r="A12" s="28" t="s">
        <v>60</v>
      </c>
      <c r="C12" s="28">
        <v>2.196801310997424</v>
      </c>
      <c r="D12" s="28">
        <v>1.8631113761662237</v>
      </c>
      <c r="E12" s="28">
        <v>2.7651553301758653</v>
      </c>
      <c r="F12" s="28">
        <v>2.7297618943783357</v>
      </c>
      <c r="G12" s="28">
        <v>2.7204595200076032</v>
      </c>
      <c r="H12" s="28">
        <v>2.3820671694979549</v>
      </c>
    </row>
    <row r="13" spans="1:20" x14ac:dyDescent="0.2">
      <c r="A13" s="28" t="s">
        <v>59</v>
      </c>
      <c r="C13" s="28">
        <v>0.70194927688115649</v>
      </c>
      <c r="D13" s="28">
        <v>0.43533850345839392</v>
      </c>
      <c r="E13" s="28">
        <v>1.1348424509187445</v>
      </c>
      <c r="F13" s="28">
        <v>2.1162579473206162</v>
      </c>
      <c r="G13" s="28">
        <v>1.9347446377419126</v>
      </c>
      <c r="H13" s="28">
        <v>0.94732061762034458</v>
      </c>
    </row>
    <row r="15" spans="1:20" s="29" customFormat="1" x14ac:dyDescent="0.2">
      <c r="A15" s="29" t="s">
        <v>291</v>
      </c>
      <c r="C15" s="29" t="s">
        <v>283</v>
      </c>
      <c r="D15" s="29" t="s">
        <v>283</v>
      </c>
      <c r="E15" s="29" t="s">
        <v>283</v>
      </c>
    </row>
    <row r="16" spans="1:20" x14ac:dyDescent="0.2">
      <c r="A16" s="28" t="s">
        <v>63</v>
      </c>
      <c r="C16" s="28">
        <v>230.94499999999999</v>
      </c>
      <c r="D16" s="28">
        <v>227.12899999999999</v>
      </c>
      <c r="E16" s="28">
        <v>237.14099999999999</v>
      </c>
    </row>
    <row r="17" spans="1:12" x14ac:dyDescent="0.2">
      <c r="A17" s="28" t="s">
        <v>62</v>
      </c>
      <c r="C17" s="28">
        <v>10.046999999999997</v>
      </c>
      <c r="D17" s="28">
        <v>6.2309999999999945</v>
      </c>
      <c r="E17" s="28">
        <v>16.242999999999995</v>
      </c>
    </row>
    <row r="18" spans="1:12" x14ac:dyDescent="0.2">
      <c r="A18" s="28" t="s">
        <v>61</v>
      </c>
      <c r="C18" s="28">
        <v>1.956</v>
      </c>
      <c r="D18" s="28">
        <v>1.5720000000000001</v>
      </c>
      <c r="E18" s="28">
        <v>2.5779999999999998</v>
      </c>
    </row>
    <row r="19" spans="1:12" x14ac:dyDescent="0.2">
      <c r="A19" s="28" t="s">
        <v>60</v>
      </c>
      <c r="C19" s="28">
        <v>2.7974874441183823</v>
      </c>
      <c r="D19" s="28">
        <v>2.5438521969642811</v>
      </c>
      <c r="E19" s="28">
        <v>3.2628337377194074</v>
      </c>
    </row>
    <row r="20" spans="1:12" x14ac:dyDescent="0.2">
      <c r="A20" s="28" t="s">
        <v>59</v>
      </c>
      <c r="C20" s="28">
        <v>0.70194927688115649</v>
      </c>
      <c r="D20" s="28">
        <v>0.43533850345839392</v>
      </c>
      <c r="E20" s="28">
        <v>1.1348424509187445</v>
      </c>
    </row>
    <row r="22" spans="1:12" s="29" customFormat="1" x14ac:dyDescent="0.2">
      <c r="A22" s="29" t="s">
        <v>290</v>
      </c>
      <c r="C22" s="29" t="s">
        <v>283</v>
      </c>
      <c r="D22" s="29" t="s">
        <v>283</v>
      </c>
      <c r="E22" s="29" t="s">
        <v>283</v>
      </c>
      <c r="F22" s="29" t="s">
        <v>283</v>
      </c>
      <c r="G22" s="29" t="s">
        <v>283</v>
      </c>
      <c r="H22" s="29" t="s">
        <v>283</v>
      </c>
      <c r="I22" s="29" t="s">
        <v>283</v>
      </c>
      <c r="J22" s="29" t="s">
        <v>283</v>
      </c>
      <c r="K22" s="29" t="s">
        <v>283</v>
      </c>
      <c r="L22" s="29" t="s">
        <v>283</v>
      </c>
    </row>
    <row r="23" spans="1:12" x14ac:dyDescent="0.2">
      <c r="A23" s="28" t="s">
        <v>63</v>
      </c>
      <c r="C23" s="28">
        <v>247.67599999999999</v>
      </c>
      <c r="D23" s="28">
        <v>243.41</v>
      </c>
      <c r="E23" s="28">
        <v>244.21899999999999</v>
      </c>
      <c r="F23" s="28">
        <v>244.922</v>
      </c>
      <c r="G23" s="28">
        <v>228.477</v>
      </c>
      <c r="H23" s="28">
        <v>234.25800000000001</v>
      </c>
      <c r="I23" s="28">
        <v>238.27</v>
      </c>
      <c r="J23" s="28">
        <v>242.28100000000001</v>
      </c>
      <c r="K23" s="28">
        <v>231.68799999999999</v>
      </c>
      <c r="L23" s="28">
        <v>239.98</v>
      </c>
    </row>
    <row r="24" spans="1:12" x14ac:dyDescent="0.2">
      <c r="A24" s="28" t="s">
        <v>62</v>
      </c>
      <c r="C24" s="28">
        <v>26.777999999999992</v>
      </c>
      <c r="D24" s="28">
        <v>22.512</v>
      </c>
      <c r="E24" s="28">
        <v>23.320999999999998</v>
      </c>
      <c r="F24" s="28">
        <v>24.024000000000001</v>
      </c>
      <c r="G24" s="28">
        <v>7.5790000000000077</v>
      </c>
      <c r="H24" s="28">
        <v>13.360000000000014</v>
      </c>
      <c r="I24" s="28">
        <v>17.372000000000014</v>
      </c>
      <c r="J24" s="28">
        <v>21.38300000000001</v>
      </c>
      <c r="K24" s="28">
        <v>10.789999999999992</v>
      </c>
      <c r="L24" s="28">
        <v>19.081999999999994</v>
      </c>
    </row>
    <row r="25" spans="1:12" x14ac:dyDescent="0.2">
      <c r="A25" s="28" t="s">
        <v>61</v>
      </c>
      <c r="C25" s="28">
        <v>2.0670000000000002</v>
      </c>
      <c r="D25" s="28">
        <v>1.5429999999999999</v>
      </c>
      <c r="E25" s="28">
        <v>2.5430000000000001</v>
      </c>
      <c r="F25" s="28">
        <v>2.2450000000000001</v>
      </c>
      <c r="G25" s="28">
        <v>3.254</v>
      </c>
      <c r="H25" s="28">
        <v>7.2519999999999998</v>
      </c>
      <c r="I25" s="28">
        <v>7.57</v>
      </c>
      <c r="J25" s="28">
        <v>7.1139999999999999</v>
      </c>
      <c r="K25" s="28">
        <v>7.1920000000000002</v>
      </c>
      <c r="L25" s="28">
        <v>8.0280000000000005</v>
      </c>
    </row>
    <row r="26" spans="1:12" x14ac:dyDescent="0.2">
      <c r="A26" s="28" t="s">
        <v>60</v>
      </c>
      <c r="C26" s="28">
        <v>2.2961901053701981</v>
      </c>
      <c r="D26" s="28">
        <v>1.838708514147906</v>
      </c>
      <c r="E26" s="28">
        <v>2.7325535676359576</v>
      </c>
      <c r="F26" s="28">
        <v>2.457646231661506</v>
      </c>
      <c r="G26" s="28">
        <v>3.4041909464658411</v>
      </c>
      <c r="H26" s="28">
        <v>7.3206218315113087</v>
      </c>
      <c r="I26" s="28">
        <v>7.6357645327760073</v>
      </c>
      <c r="J26" s="28">
        <v>7.1839401445167956</v>
      </c>
      <c r="K26" s="28">
        <v>7.2611888833716485</v>
      </c>
      <c r="L26" s="28">
        <v>8.0900422743024034</v>
      </c>
    </row>
    <row r="27" spans="1:12" x14ac:dyDescent="0.2">
      <c r="A27" s="28" t="s">
        <v>59</v>
      </c>
      <c r="C27" s="28">
        <v>1.870886606581428</v>
      </c>
      <c r="D27" s="28">
        <v>1.5728358834625857</v>
      </c>
      <c r="E27" s="28">
        <v>1.6293579263606504</v>
      </c>
      <c r="F27" s="28">
        <v>1.6784741144414164</v>
      </c>
      <c r="G27" s="28">
        <v>0.52951861943687584</v>
      </c>
      <c r="H27" s="28">
        <v>0.93341717319919015</v>
      </c>
      <c r="I27" s="28">
        <v>1.2137217913784677</v>
      </c>
      <c r="J27" s="28">
        <v>1.4939565430028645</v>
      </c>
      <c r="K27" s="28">
        <v>0.75386012715712902</v>
      </c>
      <c r="L27" s="28">
        <v>1.333193600223572</v>
      </c>
    </row>
    <row r="29" spans="1:12" s="29" customFormat="1" x14ac:dyDescent="0.2">
      <c r="A29" s="29" t="s">
        <v>289</v>
      </c>
      <c r="C29" s="29" t="s">
        <v>283</v>
      </c>
      <c r="D29" s="29" t="s">
        <v>283</v>
      </c>
      <c r="E29" s="29" t="s">
        <v>283</v>
      </c>
      <c r="F29" s="29" t="s">
        <v>283</v>
      </c>
    </row>
    <row r="30" spans="1:12" x14ac:dyDescent="0.2">
      <c r="A30" s="28" t="s">
        <v>63</v>
      </c>
      <c r="C30" s="28">
        <v>233.54300000000001</v>
      </c>
      <c r="D30" s="28">
        <v>225.50399999999999</v>
      </c>
      <c r="E30" s="28">
        <v>242.08600000000001</v>
      </c>
      <c r="F30" s="28">
        <v>226.48</v>
      </c>
    </row>
    <row r="31" spans="1:12" x14ac:dyDescent="0.2">
      <c r="A31" s="28" t="s">
        <v>62</v>
      </c>
      <c r="C31" s="28">
        <v>12.64500000000001</v>
      </c>
      <c r="D31" s="28">
        <v>4.6059999999999945</v>
      </c>
      <c r="E31" s="28">
        <v>21.188000000000017</v>
      </c>
      <c r="F31" s="28">
        <v>5.5819999999999936</v>
      </c>
    </row>
    <row r="32" spans="1:12" x14ac:dyDescent="0.2">
      <c r="A32" s="28" t="s">
        <v>61</v>
      </c>
      <c r="C32" s="28">
        <v>0.44700000000000001</v>
      </c>
      <c r="D32" s="28">
        <v>6.4749999999999996</v>
      </c>
      <c r="E32" s="28">
        <v>7.1420000000000003</v>
      </c>
      <c r="F32" s="28">
        <v>7.4539999999999997</v>
      </c>
    </row>
    <row r="33" spans="1:6" x14ac:dyDescent="0.2">
      <c r="A33" s="28" t="s">
        <v>60</v>
      </c>
      <c r="C33" s="28">
        <v>2.0493435534336357</v>
      </c>
      <c r="D33" s="28">
        <v>6.7768447672939951</v>
      </c>
      <c r="E33" s="28">
        <v>7.4167488834394284</v>
      </c>
      <c r="F33" s="28">
        <v>7.7176496422162097</v>
      </c>
    </row>
    <row r="34" spans="1:6" x14ac:dyDescent="0.2">
      <c r="A34" s="28" t="s">
        <v>59</v>
      </c>
      <c r="C34" s="28">
        <v>0.88346258645986198</v>
      </c>
      <c r="D34" s="28">
        <v>0.32180535177810332</v>
      </c>
      <c r="E34" s="28">
        <v>1.4803325648012302</v>
      </c>
      <c r="F34" s="28">
        <v>0.38999510934115778</v>
      </c>
    </row>
    <row r="36" spans="1:6" s="29" customFormat="1" x14ac:dyDescent="0.2">
      <c r="A36" s="29" t="s">
        <v>288</v>
      </c>
      <c r="C36" s="29" t="s">
        <v>283</v>
      </c>
    </row>
    <row r="37" spans="1:6" x14ac:dyDescent="0.2">
      <c r="A37" s="28" t="s">
        <v>63</v>
      </c>
      <c r="C37" s="28">
        <v>241.28100000000001</v>
      </c>
    </row>
    <row r="38" spans="1:6" x14ac:dyDescent="0.2">
      <c r="A38" s="28" t="s">
        <v>62</v>
      </c>
      <c r="C38" s="28">
        <v>20.38300000000001</v>
      </c>
    </row>
    <row r="39" spans="1:6" x14ac:dyDescent="0.2">
      <c r="A39" s="28" t="s">
        <v>61</v>
      </c>
      <c r="C39" s="28">
        <v>0.46600000000000003</v>
      </c>
    </row>
    <row r="40" spans="1:6" x14ac:dyDescent="0.2">
      <c r="A40" s="28" t="s">
        <v>60</v>
      </c>
      <c r="C40" s="28">
        <v>3.035976943258957</v>
      </c>
    </row>
    <row r="41" spans="1:6" x14ac:dyDescent="0.2">
      <c r="A41" s="28" t="s">
        <v>59</v>
      </c>
      <c r="C41" s="28">
        <v>1.4240899881226858</v>
      </c>
    </row>
    <row r="43" spans="1:6" s="29" customFormat="1" x14ac:dyDescent="0.2">
      <c r="A43" s="29" t="s">
        <v>287</v>
      </c>
      <c r="C43" s="29">
        <v>1</v>
      </c>
      <c r="D43" s="29" t="s">
        <v>283</v>
      </c>
    </row>
    <row r="44" spans="1:6" x14ac:dyDescent="0.2">
      <c r="A44" s="28" t="s">
        <v>63</v>
      </c>
      <c r="C44" s="28">
        <v>232.66800000000001</v>
      </c>
      <c r="D44" s="28">
        <v>228.309</v>
      </c>
    </row>
    <row r="45" spans="1:6" x14ac:dyDescent="0.2">
      <c r="A45" s="28" t="s">
        <v>62</v>
      </c>
      <c r="C45" s="28">
        <v>11.77000000000001</v>
      </c>
      <c r="D45" s="28">
        <v>7.4110000000000014</v>
      </c>
    </row>
    <row r="46" spans="1:6" x14ac:dyDescent="0.2">
      <c r="A46" s="28" t="s">
        <v>61</v>
      </c>
      <c r="C46" s="28">
        <v>5.6079999999999997</v>
      </c>
      <c r="D46" s="28">
        <v>0.76500000000000001</v>
      </c>
    </row>
    <row r="47" spans="1:6" x14ac:dyDescent="0.2">
      <c r="A47" s="28" t="s">
        <v>60</v>
      </c>
      <c r="C47" s="28">
        <v>6.8883716508330179</v>
      </c>
      <c r="D47" s="28">
        <v>4.0724961632885552</v>
      </c>
    </row>
    <row r="48" spans="1:6" x14ac:dyDescent="0.2">
      <c r="A48" s="28" t="s">
        <v>59</v>
      </c>
      <c r="D48" s="28">
        <v>0.51778103821700538</v>
      </c>
    </row>
    <row r="50" spans="1:4" s="29" customFormat="1" x14ac:dyDescent="0.2">
      <c r="A50" s="29" t="s">
        <v>286</v>
      </c>
      <c r="C50" s="29" t="s">
        <v>283</v>
      </c>
      <c r="D50" s="29" t="s">
        <v>283</v>
      </c>
    </row>
    <row r="51" spans="1:4" x14ac:dyDescent="0.2">
      <c r="A51" s="28" t="s">
        <v>63</v>
      </c>
      <c r="C51" s="28">
        <v>235.434</v>
      </c>
      <c r="D51" s="28">
        <v>225.48</v>
      </c>
    </row>
    <row r="52" spans="1:4" x14ac:dyDescent="0.2">
      <c r="A52" s="28" t="s">
        <v>62</v>
      </c>
      <c r="C52" s="28">
        <v>14.536000000000001</v>
      </c>
      <c r="D52" s="28">
        <v>4.5819999999999936</v>
      </c>
    </row>
    <row r="53" spans="1:4" x14ac:dyDescent="0.2">
      <c r="A53" s="28" t="s">
        <v>61</v>
      </c>
      <c r="C53" s="28">
        <v>3.78</v>
      </c>
      <c r="D53" s="28">
        <v>7.7480000000000002</v>
      </c>
    </row>
    <row r="54" spans="1:4" x14ac:dyDescent="0.2">
      <c r="A54" s="28" t="s">
        <v>60</v>
      </c>
      <c r="C54" s="28">
        <v>6.2680459475022996</v>
      </c>
      <c r="D54" s="28">
        <v>9.2212528432962948</v>
      </c>
    </row>
    <row r="55" spans="1:4" x14ac:dyDescent="0.2">
      <c r="A55" s="28" t="s">
        <v>59</v>
      </c>
      <c r="C55" s="28">
        <v>1.0155802417382795</v>
      </c>
      <c r="D55" s="28">
        <v>0.32012855446097893</v>
      </c>
    </row>
    <row r="57" spans="1:4" s="29" customFormat="1" x14ac:dyDescent="0.2">
      <c r="A57" s="29" t="s">
        <v>285</v>
      </c>
      <c r="C57" s="29">
        <v>1</v>
      </c>
      <c r="D57" s="29" t="s">
        <v>283</v>
      </c>
    </row>
    <row r="58" spans="1:4" x14ac:dyDescent="0.2">
      <c r="A58" s="28" t="s">
        <v>63</v>
      </c>
      <c r="C58" s="28">
        <v>238.18</v>
      </c>
      <c r="D58" s="28">
        <v>228.07400000000001</v>
      </c>
    </row>
    <row r="59" spans="1:4" x14ac:dyDescent="0.2">
      <c r="A59" s="28" t="s">
        <v>62</v>
      </c>
      <c r="C59" s="28">
        <v>17.282000000000011</v>
      </c>
      <c r="D59" s="28">
        <v>7.1760000000000161</v>
      </c>
    </row>
    <row r="60" spans="1:4" x14ac:dyDescent="0.2">
      <c r="A60" s="28" t="s">
        <v>61</v>
      </c>
      <c r="C60" s="28">
        <v>3.9140000000000001</v>
      </c>
      <c r="D60" s="28">
        <v>7.78</v>
      </c>
    </row>
    <row r="61" spans="1:4" x14ac:dyDescent="0.2">
      <c r="A61" s="28" t="s">
        <v>60</v>
      </c>
      <c r="C61" s="28">
        <v>7.1637557188949428</v>
      </c>
      <c r="D61" s="28">
        <v>9.8248867677953413</v>
      </c>
    </row>
    <row r="62" spans="1:4" x14ac:dyDescent="0.2">
      <c r="A62" s="28" t="s">
        <v>59</v>
      </c>
      <c r="D62" s="28">
        <v>0.50136239782016445</v>
      </c>
    </row>
    <row r="65" spans="1:2" x14ac:dyDescent="0.2">
      <c r="A65" s="28" t="s">
        <v>284</v>
      </c>
      <c r="B65" s="28">
        <f>AVERAGE(C3:E3,C45,D59)</f>
        <v>12.291800000000006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63F67-0492-5348-8642-19238F255B84}">
  <dimension ref="A1:S76"/>
  <sheetViews>
    <sheetView workbookViewId="0">
      <selection activeCell="A76" sqref="A76:XFD76"/>
    </sheetView>
  </sheetViews>
  <sheetFormatPr baseColWidth="10" defaultRowHeight="15" x14ac:dyDescent="0.2"/>
  <cols>
    <col min="1" max="1" width="33.6640625" customWidth="1"/>
    <col min="2" max="2" width="16.83203125" customWidth="1"/>
  </cols>
  <sheetData>
    <row r="1" spans="1:19" s="1" customFormat="1" x14ac:dyDescent="0.2">
      <c r="A1" s="1" t="s">
        <v>335</v>
      </c>
      <c r="B1" s="1" t="s">
        <v>70</v>
      </c>
      <c r="C1" s="1">
        <v>1</v>
      </c>
      <c r="D1" s="1" t="s">
        <v>283</v>
      </c>
      <c r="E1" s="1" t="s">
        <v>283</v>
      </c>
      <c r="F1" s="1" t="s">
        <v>283</v>
      </c>
      <c r="G1" s="1" t="s">
        <v>283</v>
      </c>
      <c r="H1" s="1" t="s">
        <v>283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  <c r="N1" s="1" t="s">
        <v>283</v>
      </c>
      <c r="O1" s="1" t="s">
        <v>283</v>
      </c>
      <c r="P1" s="1" t="s">
        <v>283</v>
      </c>
      <c r="Q1" s="1" t="s">
        <v>283</v>
      </c>
      <c r="R1" s="1" t="s">
        <v>283</v>
      </c>
    </row>
    <row r="2" spans="1:19" x14ac:dyDescent="0.2">
      <c r="A2" t="s">
        <v>63</v>
      </c>
      <c r="B2">
        <v>217.87299999999999</v>
      </c>
      <c r="C2">
        <v>279.29700000000003</v>
      </c>
      <c r="D2">
        <v>322.37900000000002</v>
      </c>
      <c r="E2">
        <v>559.67999999999995</v>
      </c>
      <c r="F2">
        <v>278.60199999999998</v>
      </c>
      <c r="G2">
        <v>277.22699999999998</v>
      </c>
      <c r="H2">
        <v>397.96499999999997</v>
      </c>
      <c r="I2">
        <v>478.74200000000002</v>
      </c>
      <c r="J2">
        <v>389.45699999999999</v>
      </c>
      <c r="K2">
        <v>332.55900000000003</v>
      </c>
      <c r="L2">
        <v>301.64100000000002</v>
      </c>
      <c r="M2">
        <v>271.82</v>
      </c>
      <c r="N2">
        <v>377.90600000000001</v>
      </c>
      <c r="O2">
        <v>285.81599999999997</v>
      </c>
      <c r="P2">
        <v>413.04700000000003</v>
      </c>
      <c r="Q2">
        <v>480.98399999999998</v>
      </c>
      <c r="R2">
        <v>369.14100000000002</v>
      </c>
    </row>
    <row r="3" spans="1:19" x14ac:dyDescent="0.2">
      <c r="A3" t="s">
        <v>62</v>
      </c>
      <c r="C3">
        <v>61.424000000000035</v>
      </c>
      <c r="D3">
        <v>104.50600000000003</v>
      </c>
      <c r="E3">
        <v>341.80699999999996</v>
      </c>
      <c r="F3">
        <v>60.728999999999985</v>
      </c>
      <c r="G3">
        <v>59.353999999999985</v>
      </c>
      <c r="H3">
        <v>180.09199999999998</v>
      </c>
      <c r="I3">
        <v>260.86900000000003</v>
      </c>
      <c r="J3">
        <v>171.584</v>
      </c>
      <c r="K3">
        <v>114.68600000000004</v>
      </c>
      <c r="L3">
        <v>83.768000000000029</v>
      </c>
      <c r="M3">
        <v>53.947000000000003</v>
      </c>
      <c r="N3">
        <v>160.03300000000002</v>
      </c>
      <c r="O3">
        <v>67.942999999999984</v>
      </c>
      <c r="P3">
        <v>195.17400000000004</v>
      </c>
      <c r="Q3">
        <v>263.11099999999999</v>
      </c>
      <c r="R3">
        <v>151.26800000000003</v>
      </c>
    </row>
    <row r="4" spans="1:19" x14ac:dyDescent="0.2">
      <c r="A4" t="s">
        <v>61</v>
      </c>
      <c r="C4">
        <v>1.708</v>
      </c>
      <c r="D4">
        <v>5.7880000000000003</v>
      </c>
      <c r="E4">
        <v>2.1339999999999999</v>
      </c>
      <c r="F4">
        <v>2.96</v>
      </c>
      <c r="G4">
        <v>2.415</v>
      </c>
      <c r="H4">
        <v>1.5209999999999999</v>
      </c>
      <c r="I4">
        <v>1.782</v>
      </c>
      <c r="J4">
        <v>2.9329999999999998</v>
      </c>
      <c r="K4">
        <v>2.2770000000000001</v>
      </c>
      <c r="L4">
        <v>2.9929999999999999</v>
      </c>
      <c r="M4">
        <v>3.2719999999999998</v>
      </c>
      <c r="N4">
        <v>0.57499999999999996</v>
      </c>
      <c r="O4">
        <v>0.93400000000000005</v>
      </c>
      <c r="P4">
        <v>2.2370000000000001</v>
      </c>
      <c r="Q4">
        <v>2.7530000000000001</v>
      </c>
      <c r="R4">
        <v>2.5680000000000001</v>
      </c>
    </row>
    <row r="5" spans="1:19" x14ac:dyDescent="0.2">
      <c r="A5" t="s">
        <v>60</v>
      </c>
      <c r="C5">
        <v>1.708</v>
      </c>
      <c r="D5">
        <v>5.7880000000000003</v>
      </c>
      <c r="E5">
        <v>2.1339999999999999</v>
      </c>
      <c r="F5">
        <v>2.96</v>
      </c>
      <c r="G5">
        <v>2.415</v>
      </c>
      <c r="H5">
        <v>1.5209999999999999</v>
      </c>
      <c r="I5">
        <v>1.782</v>
      </c>
      <c r="J5">
        <v>2.9329999999999998</v>
      </c>
      <c r="K5">
        <v>2.2770000000000001</v>
      </c>
      <c r="L5">
        <v>2.9929999999999999</v>
      </c>
      <c r="M5">
        <v>3.2719999999999998</v>
      </c>
      <c r="N5">
        <v>0.57499999999999996</v>
      </c>
      <c r="O5">
        <v>0.93400000000000005</v>
      </c>
      <c r="P5">
        <v>2.2370000000000001</v>
      </c>
      <c r="Q5">
        <v>2.7530000000000001</v>
      </c>
      <c r="R5">
        <v>2.5680000000000001</v>
      </c>
    </row>
    <row r="6" spans="1:19" x14ac:dyDescent="0.2">
      <c r="A6" t="s">
        <v>59</v>
      </c>
      <c r="D6">
        <v>1.1994939194403098</v>
      </c>
      <c r="E6">
        <v>3.9231758762380511</v>
      </c>
      <c r="F6">
        <v>0.69703238315207294</v>
      </c>
      <c r="G6">
        <v>0.6812504745608875</v>
      </c>
      <c r="H6">
        <v>2.0670512596391037</v>
      </c>
      <c r="I6">
        <v>2.9941896089265123</v>
      </c>
      <c r="J6">
        <v>1.9693985481526999</v>
      </c>
      <c r="K6">
        <v>1.3163374317735954</v>
      </c>
      <c r="L6">
        <v>0.96146830463012523</v>
      </c>
      <c r="M6">
        <v>0.6191902711044952</v>
      </c>
      <c r="N6">
        <v>1.8368190382350396</v>
      </c>
      <c r="O6">
        <v>0.77983288393520866</v>
      </c>
      <c r="P6">
        <v>2.2401587108189291</v>
      </c>
      <c r="Q6">
        <v>3.0199227282439214</v>
      </c>
      <c r="R6">
        <v>1.7362165445610467</v>
      </c>
    </row>
    <row r="8" spans="1:19" s="1" customFormat="1" x14ac:dyDescent="0.2">
      <c r="A8" s="1" t="s">
        <v>336</v>
      </c>
      <c r="C8" s="1">
        <v>1</v>
      </c>
      <c r="D8" s="1">
        <v>1</v>
      </c>
      <c r="E8" s="1" t="s">
        <v>283</v>
      </c>
      <c r="F8" s="1" t="s">
        <v>283</v>
      </c>
      <c r="G8" s="1" t="s">
        <v>283</v>
      </c>
      <c r="H8" s="1" t="s">
        <v>283</v>
      </c>
      <c r="I8" s="1" t="s">
        <v>283</v>
      </c>
      <c r="J8" s="1" t="s">
        <v>283</v>
      </c>
      <c r="K8" s="1" t="s">
        <v>283</v>
      </c>
      <c r="L8" s="1" t="s">
        <v>283</v>
      </c>
      <c r="M8" s="1" t="s">
        <v>283</v>
      </c>
      <c r="N8" s="1" t="s">
        <v>283</v>
      </c>
      <c r="O8" s="1" t="s">
        <v>283</v>
      </c>
      <c r="P8" s="1" t="s">
        <v>283</v>
      </c>
      <c r="Q8" s="1" t="s">
        <v>283</v>
      </c>
      <c r="R8" s="1" t="s">
        <v>283</v>
      </c>
      <c r="S8" s="1" t="s">
        <v>283</v>
      </c>
    </row>
    <row r="9" spans="1:19" x14ac:dyDescent="0.2">
      <c r="A9" t="s">
        <v>63</v>
      </c>
      <c r="C9">
        <v>283.97300000000001</v>
      </c>
      <c r="D9">
        <v>297.44099999999997</v>
      </c>
      <c r="E9">
        <v>282.75799999999998</v>
      </c>
      <c r="F9">
        <v>292.40199999999999</v>
      </c>
      <c r="G9">
        <v>348.45699999999999</v>
      </c>
      <c r="H9">
        <v>393.06200000000001</v>
      </c>
      <c r="I9">
        <v>297.90199999999999</v>
      </c>
      <c r="J9">
        <v>316.21899999999999</v>
      </c>
      <c r="K9">
        <v>559.41800000000001</v>
      </c>
      <c r="L9">
        <v>333.55900000000003</v>
      </c>
      <c r="M9">
        <v>354.71499999999997</v>
      </c>
      <c r="N9">
        <v>520.89499999999998</v>
      </c>
      <c r="O9">
        <v>561.68799999999999</v>
      </c>
      <c r="P9">
        <v>476.5</v>
      </c>
      <c r="Q9">
        <v>397.80500000000001</v>
      </c>
      <c r="R9">
        <v>413.64800000000002</v>
      </c>
      <c r="S9">
        <v>301.18400000000003</v>
      </c>
    </row>
    <row r="10" spans="1:19" x14ac:dyDescent="0.2">
      <c r="A10" t="s">
        <v>62</v>
      </c>
      <c r="C10">
        <v>66.100000000000023</v>
      </c>
      <c r="D10">
        <v>79.567999999999984</v>
      </c>
      <c r="E10">
        <v>64.884999999999991</v>
      </c>
      <c r="F10">
        <v>74.528999999999996</v>
      </c>
      <c r="G10">
        <v>130.584</v>
      </c>
      <c r="H10">
        <v>175.18900000000002</v>
      </c>
      <c r="I10">
        <v>80.028999999999996</v>
      </c>
      <c r="J10">
        <v>98.346000000000004</v>
      </c>
      <c r="K10">
        <v>341.54500000000002</v>
      </c>
      <c r="L10">
        <v>115.68600000000004</v>
      </c>
      <c r="M10">
        <v>136.84199999999998</v>
      </c>
      <c r="N10">
        <v>303.02199999999999</v>
      </c>
      <c r="O10">
        <v>343.815</v>
      </c>
      <c r="P10">
        <v>258.62700000000001</v>
      </c>
      <c r="Q10">
        <v>179.93200000000002</v>
      </c>
      <c r="R10">
        <v>195.77500000000003</v>
      </c>
      <c r="S10">
        <v>83.311000000000035</v>
      </c>
    </row>
    <row r="11" spans="1:19" x14ac:dyDescent="0.2">
      <c r="A11" t="s">
        <v>61</v>
      </c>
      <c r="C11">
        <v>1.677</v>
      </c>
      <c r="D11">
        <v>0.88100000000000001</v>
      </c>
      <c r="E11">
        <v>2.048</v>
      </c>
      <c r="F11">
        <v>2.6640000000000001</v>
      </c>
      <c r="G11">
        <v>1.5429999999999999</v>
      </c>
      <c r="H11">
        <v>2.101</v>
      </c>
      <c r="I11">
        <v>2.61</v>
      </c>
      <c r="J11">
        <v>0.69199999999999995</v>
      </c>
      <c r="K11">
        <v>1.4259999999999999</v>
      </c>
      <c r="L11">
        <v>1.9850000000000001</v>
      </c>
      <c r="M11">
        <v>2.8929999999999998</v>
      </c>
      <c r="N11">
        <v>2.371</v>
      </c>
      <c r="O11">
        <v>2.9630000000000001</v>
      </c>
      <c r="P11">
        <v>3.12</v>
      </c>
      <c r="Q11">
        <v>3.92</v>
      </c>
      <c r="R11">
        <v>4</v>
      </c>
      <c r="S11">
        <v>4.0259999999999998</v>
      </c>
    </row>
    <row r="12" spans="1:19" x14ac:dyDescent="0.2">
      <c r="A12" t="s">
        <v>60</v>
      </c>
      <c r="C12">
        <v>1.9525186298727089</v>
      </c>
      <c r="D12">
        <v>1.3327269037578555</v>
      </c>
      <c r="E12">
        <v>2.2791015773764891</v>
      </c>
      <c r="F12">
        <v>2.845504524684507</v>
      </c>
      <c r="G12">
        <v>1.838708514147906</v>
      </c>
      <c r="H12">
        <v>2.3268435701610883</v>
      </c>
      <c r="I12">
        <v>2.7950134167835401</v>
      </c>
      <c r="J12">
        <v>1.216085523308291</v>
      </c>
      <c r="K12">
        <v>1.7416876872734675</v>
      </c>
      <c r="L12">
        <v>2.222661692655902</v>
      </c>
      <c r="M12">
        <v>3.0609555697526876</v>
      </c>
      <c r="N12">
        <v>2.573254942674744</v>
      </c>
      <c r="O12">
        <v>3.1271982668196783</v>
      </c>
      <c r="P12">
        <v>3.2763394207560363</v>
      </c>
      <c r="Q12">
        <v>4.0455407549547688</v>
      </c>
      <c r="R12">
        <v>4.1231056256176606</v>
      </c>
      <c r="S12">
        <v>4.1483341234765545</v>
      </c>
    </row>
    <row r="13" spans="1:19" x14ac:dyDescent="0.2">
      <c r="A13" t="s">
        <v>59</v>
      </c>
      <c r="E13">
        <v>0.74473391922841237</v>
      </c>
      <c r="F13">
        <v>0.85542535664906139</v>
      </c>
      <c r="G13">
        <v>1.4988107283428067</v>
      </c>
      <c r="H13">
        <v>2.0107758430408627</v>
      </c>
      <c r="I13">
        <v>0.91855299101380317</v>
      </c>
      <c r="J13">
        <v>1.1287909689517988</v>
      </c>
      <c r="K13">
        <v>3.9201687052919496</v>
      </c>
      <c r="L13">
        <v>1.3278151834762757</v>
      </c>
      <c r="M13">
        <v>1.57063849849818</v>
      </c>
      <c r="N13">
        <v>3.4780112764495956</v>
      </c>
      <c r="O13">
        <v>3.9462232016570336</v>
      </c>
      <c r="P13">
        <v>2.9684564896091028</v>
      </c>
      <c r="Q13">
        <v>2.0652148193666755</v>
      </c>
      <c r="R13">
        <v>2.2470568395922399</v>
      </c>
      <c r="S13">
        <v>0.95622297210200047</v>
      </c>
    </row>
    <row r="15" spans="1:19" s="1" customFormat="1" x14ac:dyDescent="0.2">
      <c r="A15" s="1" t="s">
        <v>337</v>
      </c>
      <c r="C15" s="1" t="s">
        <v>283</v>
      </c>
      <c r="D15" s="1" t="s">
        <v>283</v>
      </c>
      <c r="E15" s="1" t="s">
        <v>283</v>
      </c>
      <c r="F15" s="1" t="s">
        <v>283</v>
      </c>
      <c r="G15" s="1" t="s">
        <v>283</v>
      </c>
      <c r="H15" s="1" t="s">
        <v>283</v>
      </c>
      <c r="I15" s="1" t="s">
        <v>283</v>
      </c>
      <c r="J15" s="1" t="s">
        <v>283</v>
      </c>
      <c r="K15" s="1" t="s">
        <v>283</v>
      </c>
      <c r="L15" s="1" t="s">
        <v>283</v>
      </c>
      <c r="M15" s="1" t="s">
        <v>283</v>
      </c>
      <c r="N15" s="1" t="s">
        <v>283</v>
      </c>
      <c r="O15" s="1" t="s">
        <v>283</v>
      </c>
      <c r="P15" s="1" t="s">
        <v>283</v>
      </c>
    </row>
    <row r="16" spans="1:19" x14ac:dyDescent="0.2">
      <c r="A16" t="s">
        <v>63</v>
      </c>
      <c r="C16">
        <v>304.36700000000002</v>
      </c>
      <c r="D16">
        <v>369.125</v>
      </c>
      <c r="E16">
        <v>386.613</v>
      </c>
      <c r="F16">
        <v>458.75799999999998</v>
      </c>
      <c r="G16">
        <v>382.51600000000002</v>
      </c>
      <c r="H16">
        <v>405.21899999999999</v>
      </c>
      <c r="I16">
        <v>343.26600000000002</v>
      </c>
      <c r="J16">
        <v>412.71499999999997</v>
      </c>
      <c r="K16">
        <v>429.02</v>
      </c>
      <c r="L16">
        <v>662.28499999999997</v>
      </c>
      <c r="M16">
        <v>330.42200000000003</v>
      </c>
      <c r="N16">
        <v>259.94900000000001</v>
      </c>
      <c r="O16">
        <v>270.387</v>
      </c>
      <c r="P16">
        <v>243.75</v>
      </c>
    </row>
    <row r="17" spans="1:16" x14ac:dyDescent="0.2">
      <c r="A17" t="s">
        <v>62</v>
      </c>
      <c r="C17">
        <v>86.494000000000028</v>
      </c>
      <c r="D17">
        <v>151.25200000000001</v>
      </c>
      <c r="E17">
        <v>168.74</v>
      </c>
      <c r="F17">
        <v>240.88499999999999</v>
      </c>
      <c r="G17">
        <v>164.64300000000003</v>
      </c>
      <c r="H17">
        <v>187.346</v>
      </c>
      <c r="I17">
        <v>125.39300000000003</v>
      </c>
      <c r="J17">
        <v>194.84199999999998</v>
      </c>
      <c r="K17">
        <v>211.14699999999999</v>
      </c>
      <c r="L17">
        <v>444.41199999999998</v>
      </c>
      <c r="M17">
        <v>112.54900000000004</v>
      </c>
      <c r="N17">
        <v>42.076000000000022</v>
      </c>
      <c r="O17">
        <v>52.51400000000001</v>
      </c>
      <c r="P17">
        <v>25.87700000000001</v>
      </c>
    </row>
    <row r="18" spans="1:16" x14ac:dyDescent="0.2">
      <c r="A18" t="s">
        <v>61</v>
      </c>
      <c r="C18">
        <v>1.3460000000000001</v>
      </c>
      <c r="D18">
        <v>1.2749999999999999</v>
      </c>
      <c r="E18">
        <v>1.8919999999999999</v>
      </c>
      <c r="F18">
        <v>2.008</v>
      </c>
      <c r="G18">
        <v>2.5779999999999998</v>
      </c>
      <c r="H18">
        <v>2.85</v>
      </c>
      <c r="I18">
        <v>2.573</v>
      </c>
      <c r="J18">
        <v>3.54</v>
      </c>
      <c r="K18">
        <v>4.1369999999999996</v>
      </c>
      <c r="L18">
        <v>4.0359999999999996</v>
      </c>
      <c r="M18">
        <v>4.1020000000000003</v>
      </c>
      <c r="N18">
        <v>7.9640000000000004</v>
      </c>
      <c r="O18">
        <v>6.7590000000000003</v>
      </c>
      <c r="P18">
        <v>7.6870000000000003</v>
      </c>
    </row>
    <row r="19" spans="1:16" x14ac:dyDescent="0.2">
      <c r="A19" t="s">
        <v>60</v>
      </c>
      <c r="C19">
        <v>2.4107500907393948</v>
      </c>
      <c r="D19">
        <v>2.3718400030356177</v>
      </c>
      <c r="E19">
        <v>2.7531189585631783</v>
      </c>
      <c r="F19">
        <v>2.8340896245531826</v>
      </c>
      <c r="G19">
        <v>3.2628337377194074</v>
      </c>
      <c r="H19">
        <v>3.4817380717107369</v>
      </c>
      <c r="I19">
        <v>3.2588846251440078</v>
      </c>
      <c r="J19">
        <v>4.065907032877166</v>
      </c>
      <c r="K19">
        <v>4.5950809568494</v>
      </c>
      <c r="L19">
        <v>4.5043641060642505</v>
      </c>
      <c r="M19">
        <v>4.5635955123126326</v>
      </c>
      <c r="N19">
        <v>8.2112907633331318</v>
      </c>
      <c r="O19">
        <v>7.0486935668959259</v>
      </c>
      <c r="P19">
        <v>7.9429194255009286</v>
      </c>
    </row>
    <row r="20" spans="1:16" x14ac:dyDescent="0.2">
      <c r="A20" t="s">
        <v>59</v>
      </c>
      <c r="C20">
        <v>0.99275665577163186</v>
      </c>
      <c r="D20">
        <v>1.7360329005338038</v>
      </c>
      <c r="E20">
        <v>1.936755822310277</v>
      </c>
      <c r="F20">
        <v>2.7648182189001487</v>
      </c>
      <c r="G20">
        <v>1.889731473584396</v>
      </c>
      <c r="H20">
        <v>2.1503108704903471</v>
      </c>
      <c r="I20">
        <v>1.4392297192541936</v>
      </c>
      <c r="J20">
        <v>2.2363480972536385</v>
      </c>
      <c r="K20">
        <v>2.4234928387658412</v>
      </c>
      <c r="L20">
        <v>5.1008505896915652</v>
      </c>
      <c r="M20">
        <v>1.2918094763849677</v>
      </c>
      <c r="N20">
        <v>0.48293788064197735</v>
      </c>
      <c r="O20">
        <v>0.60274265291455442</v>
      </c>
      <c r="P20">
        <v>0.29700978081025869</v>
      </c>
    </row>
    <row r="22" spans="1:16" s="1" customFormat="1" x14ac:dyDescent="0.2">
      <c r="A22" s="1" t="s">
        <v>338</v>
      </c>
      <c r="C22" s="1">
        <v>1</v>
      </c>
      <c r="D22" s="1">
        <v>1</v>
      </c>
      <c r="E22" s="1">
        <v>1</v>
      </c>
      <c r="F22" s="1" t="s">
        <v>283</v>
      </c>
      <c r="G22" s="1" t="s">
        <v>283</v>
      </c>
      <c r="H22" s="1" t="s">
        <v>283</v>
      </c>
    </row>
    <row r="23" spans="1:16" x14ac:dyDescent="0.2">
      <c r="A23" t="s">
        <v>63</v>
      </c>
      <c r="C23">
        <v>328.02</v>
      </c>
      <c r="D23">
        <v>304.44900000000001</v>
      </c>
      <c r="E23">
        <v>283.48</v>
      </c>
      <c r="F23">
        <v>276.04700000000003</v>
      </c>
      <c r="G23">
        <v>341.83199999999999</v>
      </c>
      <c r="H23">
        <v>308.16000000000003</v>
      </c>
    </row>
    <row r="24" spans="1:16" x14ac:dyDescent="0.2">
      <c r="A24" t="s">
        <v>62</v>
      </c>
      <c r="C24">
        <v>110.14699999999999</v>
      </c>
      <c r="D24">
        <v>86.576000000000022</v>
      </c>
      <c r="E24">
        <v>65.607000000000028</v>
      </c>
      <c r="F24">
        <v>58.174000000000035</v>
      </c>
      <c r="G24">
        <v>123.959</v>
      </c>
      <c r="H24">
        <v>90.287000000000035</v>
      </c>
    </row>
    <row r="25" spans="1:16" x14ac:dyDescent="0.2">
      <c r="A25" t="s">
        <v>61</v>
      </c>
      <c r="C25">
        <v>7.9420000000000002</v>
      </c>
      <c r="D25">
        <v>6.81</v>
      </c>
      <c r="E25">
        <v>7.6959999999999997</v>
      </c>
      <c r="F25">
        <v>1.97</v>
      </c>
      <c r="G25">
        <v>3.9769999999999999</v>
      </c>
      <c r="H25">
        <v>4.3860000000000001</v>
      </c>
    </row>
    <row r="26" spans="1:16" x14ac:dyDescent="0.2">
      <c r="A26" t="s">
        <v>60</v>
      </c>
      <c r="C26">
        <v>8.4897210790461202</v>
      </c>
      <c r="D26">
        <v>7.4415119431470371</v>
      </c>
      <c r="E26">
        <v>8.260049394525435</v>
      </c>
      <c r="F26">
        <v>3.5889970743927893</v>
      </c>
      <c r="G26">
        <v>4.9816191143041033</v>
      </c>
      <c r="H26">
        <v>5.313849452139193</v>
      </c>
    </row>
    <row r="27" spans="1:16" x14ac:dyDescent="0.2">
      <c r="A27" t="s">
        <v>59</v>
      </c>
      <c r="F27">
        <v>0.66770672755172522</v>
      </c>
      <c r="G27">
        <v>1.4227706233125497</v>
      </c>
      <c r="H27">
        <v>1.0362917679798984</v>
      </c>
    </row>
    <row r="29" spans="1:16" s="1" customFormat="1" x14ac:dyDescent="0.2">
      <c r="A29" s="1" t="s">
        <v>339</v>
      </c>
      <c r="C29" s="1" t="s">
        <v>283</v>
      </c>
      <c r="D29" s="1" t="s">
        <v>283</v>
      </c>
    </row>
    <row r="30" spans="1:16" x14ac:dyDescent="0.2">
      <c r="A30" t="s">
        <v>63</v>
      </c>
      <c r="C30">
        <v>278.69900000000001</v>
      </c>
      <c r="D30">
        <v>240.953</v>
      </c>
    </row>
    <row r="31" spans="1:16" x14ac:dyDescent="0.2">
      <c r="A31" t="s">
        <v>62</v>
      </c>
      <c r="C31">
        <v>60.826000000000022</v>
      </c>
      <c r="D31">
        <v>23.080000000000013</v>
      </c>
    </row>
    <row r="32" spans="1:16" x14ac:dyDescent="0.2">
      <c r="A32" t="s">
        <v>61</v>
      </c>
      <c r="C32">
        <v>7.8460000000000001</v>
      </c>
      <c r="D32">
        <v>11.715999999999999</v>
      </c>
    </row>
    <row r="33" spans="1:5" x14ac:dyDescent="0.2">
      <c r="A33" t="s">
        <v>60</v>
      </c>
      <c r="C33">
        <v>8.806799418631039</v>
      </c>
      <c r="D33">
        <v>12.380010339252548</v>
      </c>
    </row>
    <row r="34" spans="1:5" x14ac:dyDescent="0.2">
      <c r="A34" t="s">
        <v>59</v>
      </c>
      <c r="C34">
        <v>0.69814572506723327</v>
      </c>
      <c r="D34">
        <v>0.26490650929786191</v>
      </c>
    </row>
    <row r="36" spans="1:5" s="1" customFormat="1" x14ac:dyDescent="0.2">
      <c r="A36" s="1" t="s">
        <v>340</v>
      </c>
      <c r="C36" s="1">
        <v>1</v>
      </c>
      <c r="D36" s="1" t="s">
        <v>283</v>
      </c>
      <c r="E36" s="1" t="s">
        <v>283</v>
      </c>
    </row>
    <row r="37" spans="1:5" x14ac:dyDescent="0.2">
      <c r="A37" t="s">
        <v>63</v>
      </c>
      <c r="C37">
        <v>281.47699999999998</v>
      </c>
      <c r="D37">
        <v>392.24599999999998</v>
      </c>
      <c r="E37">
        <v>306.71100000000001</v>
      </c>
    </row>
    <row r="38" spans="1:5" x14ac:dyDescent="0.2">
      <c r="A38" t="s">
        <v>62</v>
      </c>
      <c r="C38">
        <v>63.603999999999985</v>
      </c>
      <c r="D38">
        <v>174.37299999999999</v>
      </c>
      <c r="E38">
        <v>88.838000000000022</v>
      </c>
    </row>
    <row r="39" spans="1:5" x14ac:dyDescent="0.2">
      <c r="A39" t="s">
        <v>61</v>
      </c>
      <c r="C39">
        <v>11.715999999999999</v>
      </c>
      <c r="D39">
        <v>7.62</v>
      </c>
      <c r="E39">
        <v>8.42</v>
      </c>
    </row>
    <row r="40" spans="1:5" x14ac:dyDescent="0.2">
      <c r="A40" t="s">
        <v>60</v>
      </c>
      <c r="C40">
        <v>12.738314488188772</v>
      </c>
      <c r="D40">
        <v>9.1139673029916022</v>
      </c>
      <c r="E40">
        <v>9.7926707286623298</v>
      </c>
    </row>
    <row r="41" spans="1:5" x14ac:dyDescent="0.2">
      <c r="A41" t="s">
        <v>59</v>
      </c>
      <c r="D41">
        <v>2.001409997651475</v>
      </c>
      <c r="E41">
        <v>1.0196605057627144</v>
      </c>
    </row>
    <row r="43" spans="1:5" s="1" customFormat="1" x14ac:dyDescent="0.2">
      <c r="A43" s="1" t="s">
        <v>341</v>
      </c>
      <c r="C43" s="1" t="s">
        <v>283</v>
      </c>
    </row>
    <row r="44" spans="1:5" x14ac:dyDescent="0.2">
      <c r="A44" t="s">
        <v>63</v>
      </c>
      <c r="C44">
        <v>300</v>
      </c>
    </row>
    <row r="45" spans="1:5" x14ac:dyDescent="0.2">
      <c r="A45" t="s">
        <v>62</v>
      </c>
      <c r="C45">
        <v>82.12700000000001</v>
      </c>
    </row>
    <row r="46" spans="1:5" x14ac:dyDescent="0.2">
      <c r="A46" t="s">
        <v>61</v>
      </c>
      <c r="C46">
        <v>7.74</v>
      </c>
    </row>
    <row r="47" spans="1:5" x14ac:dyDescent="0.2">
      <c r="A47" t="s">
        <v>60</v>
      </c>
      <c r="C47">
        <v>9.7932425682201902</v>
      </c>
    </row>
    <row r="48" spans="1:5" x14ac:dyDescent="0.2">
      <c r="A48" t="s">
        <v>59</v>
      </c>
      <c r="C48">
        <v>0.94263331408602669</v>
      </c>
    </row>
    <row r="50" spans="1:12" s="1" customFormat="1" x14ac:dyDescent="0.2">
      <c r="A50" s="1" t="s">
        <v>342</v>
      </c>
      <c r="C50" s="1">
        <v>1</v>
      </c>
      <c r="D50" s="1">
        <v>1</v>
      </c>
      <c r="E50" s="1" t="s">
        <v>283</v>
      </c>
      <c r="F50" s="1" t="s">
        <v>283</v>
      </c>
      <c r="G50" s="1" t="s">
        <v>283</v>
      </c>
      <c r="H50" s="1" t="s">
        <v>283</v>
      </c>
      <c r="I50" s="1" t="s">
        <v>283</v>
      </c>
      <c r="J50" s="1" t="s">
        <v>283</v>
      </c>
      <c r="K50" s="1" t="s">
        <v>283</v>
      </c>
      <c r="L50" s="1" t="s">
        <v>283</v>
      </c>
    </row>
    <row r="51" spans="1:12" x14ac:dyDescent="0.2">
      <c r="A51" t="s">
        <v>63</v>
      </c>
      <c r="C51">
        <v>321.19900000000001</v>
      </c>
      <c r="D51">
        <v>284.56200000000001</v>
      </c>
      <c r="E51">
        <v>537.36300000000006</v>
      </c>
      <c r="F51">
        <v>279.012</v>
      </c>
      <c r="G51">
        <v>367.78500000000003</v>
      </c>
      <c r="H51">
        <v>307.25799999999998</v>
      </c>
      <c r="I51">
        <v>438.34800000000001</v>
      </c>
      <c r="J51">
        <v>501.28500000000003</v>
      </c>
      <c r="K51">
        <v>280.16800000000001</v>
      </c>
      <c r="L51">
        <v>364.58199999999999</v>
      </c>
    </row>
    <row r="52" spans="1:12" x14ac:dyDescent="0.2">
      <c r="A52" t="s">
        <v>62</v>
      </c>
      <c r="C52">
        <v>103.32600000000002</v>
      </c>
      <c r="D52">
        <v>66.689000000000021</v>
      </c>
      <c r="E52">
        <v>319.49000000000007</v>
      </c>
      <c r="F52">
        <v>61.13900000000001</v>
      </c>
      <c r="G52">
        <v>149.91200000000003</v>
      </c>
      <c r="H52">
        <v>89.384999999999991</v>
      </c>
      <c r="I52">
        <v>220.47500000000002</v>
      </c>
      <c r="J52">
        <v>283.41200000000003</v>
      </c>
      <c r="K52">
        <v>62.295000000000016</v>
      </c>
      <c r="L52">
        <v>146.709</v>
      </c>
    </row>
    <row r="53" spans="1:12" x14ac:dyDescent="0.2">
      <c r="A53" t="s">
        <v>61</v>
      </c>
      <c r="C53">
        <v>2.573</v>
      </c>
      <c r="D53">
        <v>2.6240000000000001</v>
      </c>
      <c r="E53">
        <v>2.2559999999999998</v>
      </c>
      <c r="F53">
        <v>5.9720000000000004</v>
      </c>
      <c r="G53">
        <v>2.7010000000000001</v>
      </c>
      <c r="H53">
        <v>2.1539999999999999</v>
      </c>
      <c r="I53">
        <v>2.1</v>
      </c>
      <c r="J53">
        <v>0.67</v>
      </c>
      <c r="K53">
        <v>1.6739999999999999</v>
      </c>
      <c r="L53">
        <v>3.7040000000000002</v>
      </c>
    </row>
    <row r="54" spans="1:12" x14ac:dyDescent="0.2">
      <c r="A54" t="s">
        <v>60</v>
      </c>
      <c r="C54">
        <v>2.7604943397877126</v>
      </c>
      <c r="D54">
        <v>2.8080911666112267</v>
      </c>
      <c r="E54">
        <v>2.4676985229156334</v>
      </c>
      <c r="F54">
        <v>6.0551452501158058</v>
      </c>
      <c r="G54">
        <v>2.880173779479287</v>
      </c>
      <c r="H54">
        <v>2.374808623868458</v>
      </c>
      <c r="I54">
        <v>2.3259406699226015</v>
      </c>
      <c r="J54">
        <v>1.2037026210821342</v>
      </c>
      <c r="K54">
        <v>1.949942563256672</v>
      </c>
      <c r="L54">
        <v>3.8366151748644275</v>
      </c>
    </row>
    <row r="55" spans="1:12" x14ac:dyDescent="0.2">
      <c r="A55" t="s">
        <v>59</v>
      </c>
      <c r="E55">
        <v>3.6670268914893356</v>
      </c>
      <c r="F55">
        <v>0.70173826135017214</v>
      </c>
      <c r="G55">
        <v>1.7206527132522123</v>
      </c>
      <c r="H55">
        <v>1.0259388359440802</v>
      </c>
      <c r="I55">
        <v>2.5305573066484435</v>
      </c>
      <c r="J55">
        <v>3.2529325655600347</v>
      </c>
      <c r="K55">
        <v>0.71500654231847061</v>
      </c>
      <c r="L55">
        <v>1.6838894745485269</v>
      </c>
    </row>
    <row r="57" spans="1:12" s="1" customFormat="1" x14ac:dyDescent="0.2">
      <c r="A57" s="1" t="s">
        <v>343</v>
      </c>
      <c r="C57" s="1">
        <v>1</v>
      </c>
      <c r="D57" s="1">
        <v>1</v>
      </c>
      <c r="E57" s="1">
        <v>1</v>
      </c>
      <c r="F57" s="1" t="s">
        <v>283</v>
      </c>
      <c r="G57" s="1" t="s">
        <v>283</v>
      </c>
      <c r="H57" s="1" t="s">
        <v>283</v>
      </c>
      <c r="I57" s="1" t="s">
        <v>283</v>
      </c>
      <c r="J57" s="1" t="s">
        <v>283</v>
      </c>
      <c r="K57" s="1" t="s">
        <v>283</v>
      </c>
      <c r="L57" s="1" t="s">
        <v>283</v>
      </c>
    </row>
    <row r="58" spans="1:12" x14ac:dyDescent="0.2">
      <c r="A58" t="s">
        <v>63</v>
      </c>
      <c r="C58">
        <v>311.86700000000002</v>
      </c>
      <c r="D58">
        <v>351.77699999999999</v>
      </c>
      <c r="E58">
        <v>329.44499999999999</v>
      </c>
      <c r="F58">
        <v>274.47699999999998</v>
      </c>
      <c r="G58">
        <v>280.70299999999997</v>
      </c>
      <c r="H58">
        <v>286.78100000000001</v>
      </c>
      <c r="I58">
        <v>266.98399999999998</v>
      </c>
      <c r="J58">
        <v>372.39499999999998</v>
      </c>
      <c r="K58">
        <v>405.18</v>
      </c>
      <c r="L58">
        <v>287.96899999999999</v>
      </c>
    </row>
    <row r="59" spans="1:12" x14ac:dyDescent="0.2">
      <c r="A59" t="s">
        <v>62</v>
      </c>
      <c r="C59">
        <v>93.994000000000028</v>
      </c>
      <c r="D59">
        <v>133.904</v>
      </c>
      <c r="E59">
        <v>111.572</v>
      </c>
      <c r="F59">
        <v>56.603999999999985</v>
      </c>
      <c r="G59">
        <v>62.829999999999984</v>
      </c>
      <c r="H59">
        <v>68.908000000000015</v>
      </c>
      <c r="I59">
        <v>49.11099999999999</v>
      </c>
      <c r="J59">
        <v>154.52199999999999</v>
      </c>
      <c r="K59">
        <v>187.30700000000002</v>
      </c>
      <c r="L59">
        <v>70.096000000000004</v>
      </c>
    </row>
    <row r="60" spans="1:12" x14ac:dyDescent="0.2">
      <c r="A60" t="s">
        <v>61</v>
      </c>
      <c r="C60">
        <v>5.2590000000000003</v>
      </c>
      <c r="D60">
        <v>8.5500000000000007</v>
      </c>
      <c r="E60">
        <v>3.6520000000000001</v>
      </c>
      <c r="F60">
        <v>2.58</v>
      </c>
      <c r="G60">
        <v>0.53300000000000003</v>
      </c>
      <c r="H60">
        <v>2.2770000000000001</v>
      </c>
      <c r="I60">
        <v>2.4710000000000001</v>
      </c>
      <c r="J60">
        <v>8.0809999999999995</v>
      </c>
      <c r="K60">
        <v>8.6859999999999999</v>
      </c>
      <c r="L60">
        <v>9.3559999999999999</v>
      </c>
    </row>
    <row r="61" spans="1:12" x14ac:dyDescent="0.2">
      <c r="A61" t="s">
        <v>60</v>
      </c>
      <c r="C61">
        <v>5.6264625654135481</v>
      </c>
      <c r="D61">
        <v>8.7808029245621952</v>
      </c>
      <c r="E61">
        <v>4.1637848167262446</v>
      </c>
      <c r="F61">
        <v>3.2644141894067307</v>
      </c>
      <c r="G61">
        <v>2.0698040970101492</v>
      </c>
      <c r="H61">
        <v>3.0306317823186637</v>
      </c>
      <c r="I61">
        <v>3.1789685434115262</v>
      </c>
      <c r="J61">
        <v>8.3248159739420071</v>
      </c>
      <c r="K61">
        <v>8.9132819993535488</v>
      </c>
      <c r="L61">
        <v>9.567378742372437</v>
      </c>
    </row>
    <row r="62" spans="1:12" x14ac:dyDescent="0.2">
      <c r="A62" t="s">
        <v>59</v>
      </c>
      <c r="F62">
        <v>0.64968665737851661</v>
      </c>
      <c r="G62">
        <v>0.72114713947940423</v>
      </c>
      <c r="H62">
        <v>0.79090891432829558</v>
      </c>
      <c r="I62">
        <v>0.56368386387033298</v>
      </c>
      <c r="J62">
        <v>1.773565148601568</v>
      </c>
      <c r="K62">
        <v>2.1498632381739426</v>
      </c>
      <c r="L62">
        <v>0.80454448335107964</v>
      </c>
    </row>
    <row r="64" spans="1:12" s="1" customFormat="1" x14ac:dyDescent="0.2">
      <c r="A64" s="1" t="s">
        <v>344</v>
      </c>
      <c r="C64" s="1">
        <v>1</v>
      </c>
      <c r="D64" s="1" t="s">
        <v>283</v>
      </c>
      <c r="E64" s="1" t="s">
        <v>283</v>
      </c>
      <c r="F64" s="1" t="s">
        <v>283</v>
      </c>
      <c r="G64" s="1" t="s">
        <v>283</v>
      </c>
      <c r="H64" s="1" t="s">
        <v>283</v>
      </c>
    </row>
    <row r="65" spans="1:8" x14ac:dyDescent="0.2">
      <c r="A65" t="s">
        <v>63</v>
      </c>
      <c r="C65">
        <v>307.988</v>
      </c>
      <c r="D65">
        <v>395.47300000000001</v>
      </c>
      <c r="E65">
        <v>451.55500000000001</v>
      </c>
      <c r="F65">
        <v>419.55500000000001</v>
      </c>
      <c r="G65">
        <v>609.77</v>
      </c>
      <c r="H65">
        <v>323.69099999999997</v>
      </c>
    </row>
    <row r="66" spans="1:8" x14ac:dyDescent="0.2">
      <c r="A66" t="s">
        <v>62</v>
      </c>
      <c r="C66">
        <v>90.115000000000009</v>
      </c>
      <c r="D66">
        <v>177.60000000000002</v>
      </c>
      <c r="E66">
        <v>233.68200000000002</v>
      </c>
      <c r="F66">
        <v>201.68200000000002</v>
      </c>
      <c r="G66">
        <v>391.89699999999999</v>
      </c>
      <c r="H66">
        <v>105.81799999999998</v>
      </c>
    </row>
    <row r="67" spans="1:8" x14ac:dyDescent="0.2">
      <c r="A67" t="s">
        <v>61</v>
      </c>
      <c r="C67">
        <v>2.65</v>
      </c>
      <c r="D67">
        <v>8.6560000000000006</v>
      </c>
      <c r="E67">
        <v>8.375</v>
      </c>
      <c r="F67">
        <v>7.9080000000000004</v>
      </c>
      <c r="G67">
        <v>8.8480000000000008</v>
      </c>
      <c r="H67">
        <v>9.5109999999999992</v>
      </c>
    </row>
    <row r="68" spans="1:8" x14ac:dyDescent="0.2">
      <c r="A68" t="s">
        <v>60</v>
      </c>
      <c r="C68">
        <v>4.0028115119250867</v>
      </c>
      <c r="D68">
        <v>9.1611318078062833</v>
      </c>
      <c r="E68">
        <v>8.8961016743290422</v>
      </c>
      <c r="F68">
        <v>8.457923149331636</v>
      </c>
      <c r="G68">
        <v>9.3427567666080229</v>
      </c>
      <c r="H68">
        <v>9.9729193820064541</v>
      </c>
    </row>
    <row r="69" spans="1:8" x14ac:dyDescent="0.2">
      <c r="A69" t="s">
        <v>59</v>
      </c>
      <c r="D69">
        <v>2.0384487023960247</v>
      </c>
      <c r="E69">
        <v>2.6821439733857426</v>
      </c>
      <c r="F69">
        <v>2.3148559188999722</v>
      </c>
      <c r="G69">
        <v>4.4980964590253087</v>
      </c>
      <c r="H69">
        <v>1.2145527296742258</v>
      </c>
    </row>
    <row r="71" spans="1:8" s="1" customFormat="1" x14ac:dyDescent="0.2">
      <c r="A71" s="1" t="s">
        <v>345</v>
      </c>
      <c r="C71" s="1" t="s">
        <v>283</v>
      </c>
      <c r="D71" s="1" t="s">
        <v>283</v>
      </c>
      <c r="E71" s="1" t="s">
        <v>283</v>
      </c>
    </row>
    <row r="72" spans="1:8" x14ac:dyDescent="0.2">
      <c r="A72" t="s">
        <v>63</v>
      </c>
      <c r="C72">
        <v>293.96899999999999</v>
      </c>
      <c r="D72">
        <v>319.33199999999999</v>
      </c>
      <c r="E72">
        <v>249.703</v>
      </c>
    </row>
    <row r="73" spans="1:8" x14ac:dyDescent="0.2">
      <c r="A73" t="s">
        <v>62</v>
      </c>
      <c r="C73">
        <v>76.096000000000004</v>
      </c>
      <c r="D73">
        <v>101.459</v>
      </c>
      <c r="E73">
        <v>31.830000000000013</v>
      </c>
    </row>
    <row r="74" spans="1:8" x14ac:dyDescent="0.2">
      <c r="A74" t="s">
        <v>61</v>
      </c>
      <c r="C74">
        <v>8.0150000000000006</v>
      </c>
      <c r="D74">
        <v>8.8420000000000005</v>
      </c>
      <c r="E74">
        <v>8.673</v>
      </c>
    </row>
    <row r="75" spans="1:8" x14ac:dyDescent="0.2">
      <c r="A75" t="s">
        <v>60</v>
      </c>
      <c r="C75">
        <v>8.9576908296725666</v>
      </c>
      <c r="D75">
        <v>9.7046877332555113</v>
      </c>
      <c r="E75">
        <v>9.5509648203728617</v>
      </c>
    </row>
    <row r="76" spans="1:8" x14ac:dyDescent="0.2">
      <c r="A76" t="s">
        <v>59</v>
      </c>
      <c r="C76">
        <v>0.87341099356716156</v>
      </c>
      <c r="D76">
        <v>1.1645212100022424</v>
      </c>
      <c r="E76">
        <v>0.36533683669631467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5F38-1D19-C342-A28B-4877E2A464AF}">
  <dimension ref="A1:S30"/>
  <sheetViews>
    <sheetView workbookViewId="0">
      <selection activeCell="V49" sqref="V49"/>
    </sheetView>
  </sheetViews>
  <sheetFormatPr baseColWidth="10" defaultRowHeight="15" x14ac:dyDescent="0.2"/>
  <cols>
    <col min="1" max="1" width="33.33203125" customWidth="1"/>
    <col min="2" max="2" width="17.83203125" customWidth="1"/>
  </cols>
  <sheetData>
    <row r="1" spans="1:19" s="1" customFormat="1" x14ac:dyDescent="0.2">
      <c r="A1" s="1" t="s">
        <v>331</v>
      </c>
      <c r="B1" s="1" t="s">
        <v>70</v>
      </c>
      <c r="C1" s="1">
        <v>1</v>
      </c>
      <c r="D1" s="1" t="s">
        <v>283</v>
      </c>
      <c r="E1" s="1" t="s">
        <v>283</v>
      </c>
      <c r="F1" s="1" t="s">
        <v>283</v>
      </c>
      <c r="G1" s="1" t="s">
        <v>283</v>
      </c>
      <c r="H1" s="1" t="s">
        <v>283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  <c r="N1" s="1" t="s">
        <v>283</v>
      </c>
      <c r="O1" s="1" t="s">
        <v>283</v>
      </c>
      <c r="P1" s="1" t="s">
        <v>283</v>
      </c>
      <c r="Q1" s="1" t="s">
        <v>283</v>
      </c>
      <c r="R1" s="1" t="s">
        <v>283</v>
      </c>
      <c r="S1" s="1" t="s">
        <v>283</v>
      </c>
    </row>
    <row r="2" spans="1:19" x14ac:dyDescent="0.2">
      <c r="A2" t="s">
        <v>63</v>
      </c>
      <c r="B2">
        <v>214.75899999999999</v>
      </c>
      <c r="C2">
        <v>246.19900000000001</v>
      </c>
      <c r="D2">
        <v>247.078</v>
      </c>
      <c r="E2">
        <v>237.30099999999999</v>
      </c>
      <c r="F2">
        <v>231.49199999999999</v>
      </c>
      <c r="G2">
        <v>288</v>
      </c>
      <c r="H2">
        <v>297.14100000000002</v>
      </c>
      <c r="I2">
        <v>228.87100000000001</v>
      </c>
      <c r="J2">
        <v>251.71899999999999</v>
      </c>
      <c r="K2">
        <v>246.387</v>
      </c>
      <c r="L2">
        <v>268.54700000000003</v>
      </c>
      <c r="M2">
        <v>289.30099999999999</v>
      </c>
      <c r="N2">
        <v>252.34800000000001</v>
      </c>
      <c r="O2">
        <v>266.85899999999998</v>
      </c>
      <c r="P2">
        <v>228.09</v>
      </c>
      <c r="Q2">
        <v>264.14499999999998</v>
      </c>
      <c r="R2">
        <v>229.63300000000001</v>
      </c>
      <c r="S2">
        <v>228.31200000000001</v>
      </c>
    </row>
    <row r="3" spans="1:19" x14ac:dyDescent="0.2">
      <c r="A3" t="s">
        <v>62</v>
      </c>
      <c r="C3">
        <v>31.440000000000026</v>
      </c>
      <c r="D3">
        <v>32.319000000000017</v>
      </c>
      <c r="E3">
        <v>22.542000000000002</v>
      </c>
      <c r="F3">
        <v>16.733000000000004</v>
      </c>
      <c r="G3">
        <v>73.241000000000014</v>
      </c>
      <c r="H3">
        <v>82.382000000000033</v>
      </c>
      <c r="I3">
        <v>14.112000000000023</v>
      </c>
      <c r="J3">
        <v>36.960000000000008</v>
      </c>
      <c r="K3">
        <v>31.628000000000014</v>
      </c>
      <c r="L3">
        <v>53.788000000000039</v>
      </c>
      <c r="M3">
        <v>74.542000000000002</v>
      </c>
      <c r="N3">
        <v>37.589000000000027</v>
      </c>
      <c r="O3">
        <v>52.099999999999994</v>
      </c>
      <c r="P3">
        <v>13.331000000000017</v>
      </c>
      <c r="Q3">
        <v>49.385999999999996</v>
      </c>
      <c r="R3">
        <v>14.874000000000024</v>
      </c>
      <c r="S3">
        <v>13.553000000000026</v>
      </c>
    </row>
    <row r="4" spans="1:19" x14ac:dyDescent="0.2">
      <c r="A4" t="s">
        <v>61</v>
      </c>
      <c r="C4">
        <v>0.72699999999999998</v>
      </c>
      <c r="D4">
        <v>1.399</v>
      </c>
      <c r="E4">
        <v>2.0779999999999998</v>
      </c>
      <c r="F4">
        <v>2.2610000000000001</v>
      </c>
      <c r="G4">
        <v>3.2480000000000002</v>
      </c>
      <c r="H4">
        <v>3.5529999999999999</v>
      </c>
      <c r="I4">
        <v>1.486</v>
      </c>
      <c r="J4">
        <v>1.7490000000000001</v>
      </c>
      <c r="K4">
        <v>2.3679999999999999</v>
      </c>
      <c r="L4">
        <v>2.4500000000000002</v>
      </c>
      <c r="M4">
        <v>2.9169999999999998</v>
      </c>
      <c r="N4">
        <v>4.84</v>
      </c>
      <c r="O4">
        <v>5.7030000000000003</v>
      </c>
      <c r="P4">
        <v>6.4139999999999997</v>
      </c>
      <c r="Q4">
        <v>3.6659999999999999</v>
      </c>
      <c r="R4">
        <v>4.4859999999999998</v>
      </c>
      <c r="S4">
        <v>3.5150000000000001</v>
      </c>
    </row>
    <row r="5" spans="1:19" x14ac:dyDescent="0.2">
      <c r="A5" t="s">
        <v>60</v>
      </c>
      <c r="C5">
        <v>0.72699999999999998</v>
      </c>
      <c r="D5">
        <v>1.399</v>
      </c>
      <c r="E5">
        <v>2.0779999999999998</v>
      </c>
      <c r="F5">
        <v>2.2610000000000001</v>
      </c>
      <c r="G5">
        <v>3.2480000000000002</v>
      </c>
      <c r="H5">
        <v>3.5529999999999999</v>
      </c>
      <c r="I5">
        <v>1.486</v>
      </c>
      <c r="J5">
        <v>1.7490000000000001</v>
      </c>
      <c r="K5">
        <v>2.3679999999999999</v>
      </c>
      <c r="L5">
        <v>2.4500000000000002</v>
      </c>
      <c r="M5">
        <v>2.9169999999999998</v>
      </c>
      <c r="N5">
        <v>4.84</v>
      </c>
      <c r="O5">
        <v>5.7030000000000003</v>
      </c>
      <c r="P5">
        <v>6.4139999999999997</v>
      </c>
      <c r="Q5">
        <v>3.6659999999999999</v>
      </c>
      <c r="R5">
        <v>4.4859999999999998</v>
      </c>
      <c r="S5">
        <v>3.5150000000000001</v>
      </c>
    </row>
    <row r="6" spans="1:19" x14ac:dyDescent="0.2">
      <c r="A6" t="s">
        <v>59</v>
      </c>
      <c r="D6">
        <v>1.1347863870576977</v>
      </c>
      <c r="E6">
        <v>0.79149586116694859</v>
      </c>
      <c r="F6">
        <v>0.5875299549687939</v>
      </c>
      <c r="G6">
        <v>2.5716417517402399</v>
      </c>
      <c r="H6">
        <v>2.8926010129826802</v>
      </c>
      <c r="I6">
        <v>0.49550126842285491</v>
      </c>
      <c r="J6">
        <v>1.2977414172979516</v>
      </c>
      <c r="K6">
        <v>1.1105239595860286</v>
      </c>
      <c r="L6">
        <v>1.8886070171434592</v>
      </c>
      <c r="M6">
        <v>2.6173225305255379</v>
      </c>
      <c r="N6">
        <v>1.3198268975869243</v>
      </c>
      <c r="O6">
        <v>1.829337874491971</v>
      </c>
      <c r="P6">
        <v>0.46807875633114204</v>
      </c>
      <c r="Q6">
        <v>1.7340437671719864</v>
      </c>
      <c r="R6">
        <v>0.52225665153922507</v>
      </c>
      <c r="S6">
        <v>0.47587363172725017</v>
      </c>
    </row>
    <row r="8" spans="1:19" s="1" customFormat="1" x14ac:dyDescent="0.2">
      <c r="A8" s="1" t="s">
        <v>332</v>
      </c>
      <c r="C8" s="1">
        <v>1</v>
      </c>
      <c r="D8" s="1">
        <v>1</v>
      </c>
      <c r="E8" s="1" t="s">
        <v>283</v>
      </c>
      <c r="F8" s="1" t="s">
        <v>283</v>
      </c>
      <c r="G8" s="1" t="s">
        <v>283</v>
      </c>
      <c r="H8" s="1" t="s">
        <v>283</v>
      </c>
      <c r="I8" s="1" t="s">
        <v>283</v>
      </c>
      <c r="J8" s="1" t="s">
        <v>283</v>
      </c>
      <c r="K8" s="1" t="s">
        <v>283</v>
      </c>
      <c r="L8" s="1" t="s">
        <v>283</v>
      </c>
      <c r="M8" s="1" t="s">
        <v>283</v>
      </c>
      <c r="N8" s="1" t="s">
        <v>283</v>
      </c>
      <c r="O8" s="1" t="s">
        <v>283</v>
      </c>
      <c r="P8" s="1" t="s">
        <v>283</v>
      </c>
      <c r="Q8" s="1" t="s">
        <v>283</v>
      </c>
    </row>
    <row r="9" spans="1:19" x14ac:dyDescent="0.2">
      <c r="A9" t="s">
        <v>63</v>
      </c>
      <c r="C9">
        <v>251.5</v>
      </c>
      <c r="D9">
        <v>240.035</v>
      </c>
      <c r="E9">
        <v>232.809</v>
      </c>
      <c r="F9">
        <v>255.74600000000001</v>
      </c>
      <c r="G9">
        <v>303.83999999999997</v>
      </c>
      <c r="H9">
        <v>232.453</v>
      </c>
      <c r="I9">
        <v>227.625</v>
      </c>
      <c r="J9">
        <v>223.69499999999999</v>
      </c>
      <c r="K9">
        <v>238.191</v>
      </c>
      <c r="L9">
        <v>236.55500000000001</v>
      </c>
      <c r="M9">
        <v>233.10900000000001</v>
      </c>
      <c r="N9">
        <v>229.72300000000001</v>
      </c>
      <c r="O9">
        <v>225.35900000000001</v>
      </c>
      <c r="P9">
        <v>245.57</v>
      </c>
      <c r="Q9">
        <v>234.75</v>
      </c>
    </row>
    <row r="10" spans="1:19" x14ac:dyDescent="0.2">
      <c r="A10" t="s">
        <v>62</v>
      </c>
      <c r="C10">
        <v>36.741000000000014</v>
      </c>
      <c r="D10">
        <v>25.27600000000001</v>
      </c>
      <c r="E10">
        <v>18.050000000000011</v>
      </c>
      <c r="F10">
        <v>40.987000000000023</v>
      </c>
      <c r="G10">
        <v>89.080999999999989</v>
      </c>
      <c r="H10">
        <v>17.694000000000017</v>
      </c>
      <c r="I10">
        <v>12.866000000000014</v>
      </c>
      <c r="J10">
        <v>8.936000000000007</v>
      </c>
      <c r="K10">
        <v>23.432000000000016</v>
      </c>
      <c r="L10">
        <v>21.796000000000021</v>
      </c>
      <c r="M10">
        <v>18.350000000000023</v>
      </c>
      <c r="N10">
        <v>14.964000000000027</v>
      </c>
      <c r="O10">
        <v>10.600000000000023</v>
      </c>
      <c r="P10">
        <v>30.811000000000007</v>
      </c>
      <c r="Q10">
        <v>19.991000000000014</v>
      </c>
    </row>
    <row r="11" spans="1:19" x14ac:dyDescent="0.2">
      <c r="A11" t="s">
        <v>61</v>
      </c>
      <c r="C11">
        <v>0.72699999999999998</v>
      </c>
      <c r="D11">
        <v>1.399</v>
      </c>
      <c r="E11">
        <v>2.6480000000000001</v>
      </c>
      <c r="F11">
        <v>3.3929999999999998</v>
      </c>
      <c r="G11">
        <v>3.641</v>
      </c>
      <c r="H11">
        <v>4.1959999999999997</v>
      </c>
      <c r="I11">
        <v>4.6879999999999997</v>
      </c>
      <c r="J11">
        <v>1.486</v>
      </c>
      <c r="K11">
        <v>2.3370000000000002</v>
      </c>
      <c r="L11">
        <v>2.91</v>
      </c>
      <c r="M11">
        <v>0.85899999999999999</v>
      </c>
      <c r="N11">
        <v>1.6160000000000001</v>
      </c>
      <c r="O11">
        <v>3.4769999999999999</v>
      </c>
      <c r="P11">
        <v>4.742</v>
      </c>
      <c r="Q11">
        <v>5.484</v>
      </c>
    </row>
    <row r="12" spans="1:19" x14ac:dyDescent="0.2">
      <c r="A12" t="s">
        <v>60</v>
      </c>
      <c r="C12">
        <v>1.2363369281874581</v>
      </c>
      <c r="D12">
        <v>1.7196514181659026</v>
      </c>
      <c r="E12">
        <v>2.8305306922907585</v>
      </c>
      <c r="F12">
        <v>3.5372940222718268</v>
      </c>
      <c r="G12">
        <v>3.7758285183519655</v>
      </c>
      <c r="H12">
        <v>4.3135155036234654</v>
      </c>
      <c r="I12">
        <v>4.7934688900628108</v>
      </c>
      <c r="J12">
        <v>1.7911437686573348</v>
      </c>
      <c r="K12">
        <v>2.5419616440851347</v>
      </c>
      <c r="L12">
        <v>3.0770277866798672</v>
      </c>
      <c r="M12">
        <v>1.3182871462621488</v>
      </c>
      <c r="N12">
        <v>1.9003831192683227</v>
      </c>
      <c r="O12">
        <v>3.6179454114179221</v>
      </c>
      <c r="P12">
        <v>4.846293841689751</v>
      </c>
      <c r="Q12">
        <v>5.5744287599717337</v>
      </c>
    </row>
    <row r="13" spans="1:19" x14ac:dyDescent="0.2">
      <c r="A13" t="s">
        <v>59</v>
      </c>
      <c r="E13">
        <v>0.63377252657543381</v>
      </c>
      <c r="F13">
        <v>1.4391376480192413</v>
      </c>
      <c r="G13">
        <v>3.1278166448679321</v>
      </c>
      <c r="H13">
        <v>0.62127263630059448</v>
      </c>
      <c r="I13">
        <v>0.45175165246091609</v>
      </c>
      <c r="J13">
        <v>0.31376129071900705</v>
      </c>
      <c r="K13">
        <v>0.82274558685404797</v>
      </c>
      <c r="L13">
        <v>0.76530227087192026</v>
      </c>
      <c r="M13">
        <v>0.64430614197557989</v>
      </c>
      <c r="N13">
        <v>0.52541673615926887</v>
      </c>
      <c r="O13">
        <v>0.37218774413848249</v>
      </c>
      <c r="P13">
        <v>1.0818374136462983</v>
      </c>
      <c r="Q13">
        <v>0.70192501821437658</v>
      </c>
    </row>
    <row r="15" spans="1:19" s="1" customFormat="1" x14ac:dyDescent="0.2">
      <c r="A15" s="1" t="s">
        <v>333</v>
      </c>
      <c r="C15" s="1" t="s">
        <v>283</v>
      </c>
      <c r="D15" s="1" t="s">
        <v>283</v>
      </c>
      <c r="E15" s="1" t="s">
        <v>283</v>
      </c>
      <c r="F15" s="1" t="s">
        <v>283</v>
      </c>
    </row>
    <row r="16" spans="1:19" x14ac:dyDescent="0.2">
      <c r="A16" t="s">
        <v>63</v>
      </c>
      <c r="C16">
        <v>218.94900000000001</v>
      </c>
      <c r="D16">
        <v>225.648</v>
      </c>
      <c r="E16">
        <v>233.352</v>
      </c>
      <c r="F16">
        <v>226.15600000000001</v>
      </c>
    </row>
    <row r="17" spans="1:13" x14ac:dyDescent="0.2">
      <c r="A17" t="s">
        <v>62</v>
      </c>
      <c r="C17">
        <v>4.1900000000000261</v>
      </c>
      <c r="D17">
        <v>10.88900000000001</v>
      </c>
      <c r="E17">
        <v>18.593000000000018</v>
      </c>
      <c r="F17">
        <v>11.39700000000002</v>
      </c>
    </row>
    <row r="18" spans="1:13" x14ac:dyDescent="0.2">
      <c r="A18" t="s">
        <v>61</v>
      </c>
      <c r="C18">
        <v>4.7359999999999998</v>
      </c>
      <c r="D18">
        <v>2.44</v>
      </c>
      <c r="E18">
        <v>3.6349999999999998</v>
      </c>
      <c r="F18">
        <v>5.05</v>
      </c>
    </row>
    <row r="19" spans="1:13" x14ac:dyDescent="0.2">
      <c r="A19" t="s">
        <v>60</v>
      </c>
      <c r="C19">
        <v>5.1409820073600718</v>
      </c>
      <c r="D19">
        <v>3.1549326458737594</v>
      </c>
      <c r="E19">
        <v>4.1488823796294829</v>
      </c>
      <c r="F19">
        <v>5.4316203843788635</v>
      </c>
    </row>
    <row r="20" spans="1:13" x14ac:dyDescent="0.2">
      <c r="A20" t="s">
        <v>59</v>
      </c>
      <c r="C20">
        <v>0.14711949508870265</v>
      </c>
      <c r="D20">
        <v>0.38233512697395572</v>
      </c>
      <c r="E20">
        <v>0.65283837044969772</v>
      </c>
      <c r="F20">
        <v>0.40017204905153614</v>
      </c>
    </row>
    <row r="22" spans="1:13" s="1" customFormat="1" x14ac:dyDescent="0.2">
      <c r="A22" s="1" t="s">
        <v>334</v>
      </c>
      <c r="C22" s="1">
        <v>1</v>
      </c>
      <c r="D22" s="1" t="s">
        <v>283</v>
      </c>
      <c r="E22" s="1" t="s">
        <v>283</v>
      </c>
      <c r="F22" s="1" t="s">
        <v>283</v>
      </c>
      <c r="G22" s="1" t="s">
        <v>283</v>
      </c>
      <c r="H22" s="1" t="s">
        <v>283</v>
      </c>
      <c r="I22" s="1" t="s">
        <v>283</v>
      </c>
      <c r="J22" s="1" t="s">
        <v>283</v>
      </c>
      <c r="K22" s="1" t="s">
        <v>283</v>
      </c>
      <c r="L22" s="1" t="s">
        <v>283</v>
      </c>
      <c r="M22" s="1" t="s">
        <v>283</v>
      </c>
    </row>
    <row r="23" spans="1:13" x14ac:dyDescent="0.2">
      <c r="A23" t="s">
        <v>63</v>
      </c>
      <c r="C23">
        <v>235.22300000000001</v>
      </c>
      <c r="D23">
        <v>235.04300000000001</v>
      </c>
      <c r="E23">
        <v>246.22300000000001</v>
      </c>
      <c r="F23">
        <v>219.28100000000001</v>
      </c>
      <c r="G23">
        <v>227.352</v>
      </c>
      <c r="H23">
        <v>241.07400000000001</v>
      </c>
      <c r="I23">
        <v>266.02300000000002</v>
      </c>
      <c r="J23">
        <v>235.60499999999999</v>
      </c>
      <c r="K23">
        <v>245.26599999999999</v>
      </c>
      <c r="L23">
        <v>237.34800000000001</v>
      </c>
      <c r="M23">
        <v>227.46100000000001</v>
      </c>
    </row>
    <row r="24" spans="1:13" x14ac:dyDescent="0.2">
      <c r="A24" t="s">
        <v>62</v>
      </c>
      <c r="C24">
        <v>20.464000000000027</v>
      </c>
      <c r="D24">
        <v>20.28400000000002</v>
      </c>
      <c r="E24">
        <v>31.464000000000027</v>
      </c>
      <c r="F24">
        <v>4.5220000000000198</v>
      </c>
      <c r="G24">
        <v>12.593000000000018</v>
      </c>
      <c r="H24">
        <v>26.315000000000026</v>
      </c>
      <c r="I24">
        <v>51.264000000000038</v>
      </c>
      <c r="J24">
        <v>20.846000000000004</v>
      </c>
      <c r="K24">
        <v>30.507000000000005</v>
      </c>
      <c r="L24">
        <v>22.589000000000027</v>
      </c>
      <c r="M24">
        <v>12.702000000000027</v>
      </c>
    </row>
    <row r="25" spans="1:13" x14ac:dyDescent="0.2">
      <c r="A25" t="s">
        <v>61</v>
      </c>
      <c r="C25">
        <v>0.82299999999999995</v>
      </c>
      <c r="D25">
        <v>3.827</v>
      </c>
      <c r="E25">
        <v>3.6840000000000002</v>
      </c>
      <c r="F25">
        <v>3.68</v>
      </c>
      <c r="G25">
        <v>3.07</v>
      </c>
      <c r="H25">
        <v>3.2919999999999998</v>
      </c>
      <c r="I25">
        <v>5.0679999999999996</v>
      </c>
      <c r="J25">
        <v>4.931</v>
      </c>
      <c r="K25">
        <v>5.7480000000000002</v>
      </c>
      <c r="L25">
        <v>1.7490000000000001</v>
      </c>
      <c r="M25">
        <v>2.38</v>
      </c>
    </row>
    <row r="26" spans="1:13" x14ac:dyDescent="0.2">
      <c r="A26" t="s">
        <v>60</v>
      </c>
      <c r="C26">
        <v>1.2951173691986375</v>
      </c>
      <c r="D26">
        <v>3.95549352167337</v>
      </c>
      <c r="E26">
        <v>3.8173100476644546</v>
      </c>
      <c r="F26">
        <v>3.8134498816688285</v>
      </c>
      <c r="G26">
        <v>3.2287613724151245</v>
      </c>
      <c r="H26">
        <v>3.4405325169223442</v>
      </c>
      <c r="I26">
        <v>5.1657162136532433</v>
      </c>
      <c r="J26">
        <v>5.0313776443435447</v>
      </c>
      <c r="K26">
        <v>5.8343383515185341</v>
      </c>
      <c r="L26">
        <v>2.0146962550220815</v>
      </c>
      <c r="M26">
        <v>2.5815499220429574</v>
      </c>
    </row>
    <row r="27" spans="1:13" x14ac:dyDescent="0.2">
      <c r="A27" t="s">
        <v>59</v>
      </c>
      <c r="D27">
        <v>0.7122128492551858</v>
      </c>
      <c r="E27">
        <v>1.1047655831672827</v>
      </c>
      <c r="F27">
        <v>0.15877669613153034</v>
      </c>
      <c r="G27">
        <v>0.44216606244678364</v>
      </c>
      <c r="H27">
        <v>0.92397363084944861</v>
      </c>
      <c r="I27">
        <v>1.7999841995768999</v>
      </c>
      <c r="J27">
        <v>0.73194582210479153</v>
      </c>
      <c r="K27">
        <v>1.0711633500408173</v>
      </c>
      <c r="L27">
        <v>0.79314612757963898</v>
      </c>
      <c r="M27">
        <v>0.44599327604217021</v>
      </c>
    </row>
    <row r="29" spans="1:13" x14ac:dyDescent="0.2">
      <c r="C29" t="s">
        <v>294</v>
      </c>
    </row>
    <row r="30" spans="1:13" x14ac:dyDescent="0.2">
      <c r="C30">
        <v>87.125076923076932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0B4A-9B27-9042-BA2D-308BD5786AD9}">
  <dimension ref="A1:S30"/>
  <sheetViews>
    <sheetView topLeftCell="A8" workbookViewId="0">
      <selection activeCell="T41" sqref="T41"/>
    </sheetView>
  </sheetViews>
  <sheetFormatPr baseColWidth="10" defaultRowHeight="15" x14ac:dyDescent="0.2"/>
  <cols>
    <col min="1" max="1" width="34.33203125" customWidth="1"/>
  </cols>
  <sheetData>
    <row r="1" spans="1:19" s="1" customFormat="1" x14ac:dyDescent="0.2">
      <c r="A1" s="1" t="s">
        <v>327</v>
      </c>
      <c r="B1" s="1" t="s">
        <v>70</v>
      </c>
      <c r="C1" s="1">
        <v>1</v>
      </c>
      <c r="D1" s="1">
        <v>1</v>
      </c>
      <c r="E1" s="1">
        <v>1</v>
      </c>
      <c r="F1" s="1">
        <v>1</v>
      </c>
      <c r="G1" s="1" t="s">
        <v>283</v>
      </c>
      <c r="H1" s="1" t="s">
        <v>283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  <c r="N1" s="1" t="s">
        <v>283</v>
      </c>
      <c r="O1" s="1" t="s">
        <v>283</v>
      </c>
      <c r="P1" s="1" t="s">
        <v>283</v>
      </c>
      <c r="Q1" s="1" t="s">
        <v>283</v>
      </c>
      <c r="R1" s="1" t="s">
        <v>283</v>
      </c>
      <c r="S1" s="1" t="s">
        <v>283</v>
      </c>
    </row>
    <row r="2" spans="1:19" x14ac:dyDescent="0.2">
      <c r="A2" t="s">
        <v>63</v>
      </c>
      <c r="B2">
        <v>214.184</v>
      </c>
      <c r="C2">
        <v>263.75</v>
      </c>
      <c r="D2">
        <v>250.07</v>
      </c>
      <c r="E2">
        <v>254.523</v>
      </c>
      <c r="F2">
        <v>258.66399999999999</v>
      </c>
      <c r="G2">
        <v>239.398</v>
      </c>
      <c r="H2">
        <v>228.172</v>
      </c>
      <c r="I2">
        <v>227.32</v>
      </c>
      <c r="J2">
        <v>234.94499999999999</v>
      </c>
      <c r="K2">
        <v>272.19099999999997</v>
      </c>
      <c r="L2">
        <v>294.65600000000001</v>
      </c>
      <c r="M2">
        <v>262.18400000000003</v>
      </c>
      <c r="N2">
        <v>249.93</v>
      </c>
      <c r="O2">
        <v>272.613</v>
      </c>
      <c r="P2">
        <v>278.47699999999998</v>
      </c>
      <c r="Q2">
        <v>291.01600000000002</v>
      </c>
      <c r="R2">
        <v>262.46499999999997</v>
      </c>
      <c r="S2">
        <v>232.89099999999999</v>
      </c>
    </row>
    <row r="3" spans="1:19" x14ac:dyDescent="0.2">
      <c r="A3" t="s">
        <v>62</v>
      </c>
      <c r="C3">
        <v>49.566000000000003</v>
      </c>
      <c r="D3">
        <v>35.885999999999996</v>
      </c>
      <c r="E3">
        <v>40.338999999999999</v>
      </c>
      <c r="F3">
        <v>44.47999999999999</v>
      </c>
      <c r="G3">
        <v>25.213999999999999</v>
      </c>
      <c r="H3">
        <v>13.988</v>
      </c>
      <c r="I3">
        <v>13.135999999999996</v>
      </c>
      <c r="J3">
        <v>20.760999999999996</v>
      </c>
      <c r="K3">
        <v>58.006999999999977</v>
      </c>
      <c r="L3">
        <v>80.472000000000008</v>
      </c>
      <c r="M3">
        <v>48.000000000000028</v>
      </c>
      <c r="N3">
        <v>35.746000000000009</v>
      </c>
      <c r="O3">
        <v>58.429000000000002</v>
      </c>
      <c r="P3">
        <v>64.292999999999978</v>
      </c>
      <c r="Q3">
        <v>76.832000000000022</v>
      </c>
      <c r="R3">
        <v>48.280999999999977</v>
      </c>
      <c r="S3">
        <v>18.706999999999994</v>
      </c>
    </row>
    <row r="4" spans="1:19" x14ac:dyDescent="0.2">
      <c r="A4" t="s">
        <v>61</v>
      </c>
      <c r="C4">
        <v>3.0459999999999998</v>
      </c>
      <c r="D4">
        <v>1.444</v>
      </c>
      <c r="E4">
        <v>0.92500000000000004</v>
      </c>
      <c r="F4">
        <v>1.595</v>
      </c>
      <c r="G4">
        <v>2.11</v>
      </c>
      <c r="H4">
        <v>2.8220000000000001</v>
      </c>
      <c r="I4">
        <v>2.4380000000000002</v>
      </c>
      <c r="J4">
        <v>2.0209999999999999</v>
      </c>
      <c r="K4">
        <v>1.732</v>
      </c>
      <c r="L4">
        <v>1.5860000000000001</v>
      </c>
      <c r="M4">
        <v>2.4079999999999999</v>
      </c>
      <c r="N4">
        <v>3.2749999999999999</v>
      </c>
      <c r="O4">
        <v>1.5880000000000001</v>
      </c>
      <c r="P4">
        <v>2.2200000000000002</v>
      </c>
      <c r="Q4">
        <v>2.6789999999999998</v>
      </c>
      <c r="R4">
        <v>1.976</v>
      </c>
      <c r="S4">
        <v>2.7349999999999999</v>
      </c>
    </row>
    <row r="5" spans="1:19" x14ac:dyDescent="0.2">
      <c r="A5" t="s">
        <v>60</v>
      </c>
      <c r="C5">
        <v>3.0459999999999998</v>
      </c>
      <c r="D5">
        <v>1.444</v>
      </c>
      <c r="E5">
        <v>0.92500000000000004</v>
      </c>
      <c r="F5">
        <v>1.595</v>
      </c>
      <c r="G5">
        <v>2.11</v>
      </c>
      <c r="H5">
        <v>2.8220000000000001</v>
      </c>
      <c r="I5">
        <v>2.4380000000000002</v>
      </c>
      <c r="J5">
        <v>2.0209999999999999</v>
      </c>
      <c r="K5">
        <v>1.732</v>
      </c>
      <c r="L5">
        <v>1.5860000000000001</v>
      </c>
      <c r="M5">
        <v>2.4079999999999999</v>
      </c>
      <c r="N5">
        <v>3.2749999999999999</v>
      </c>
      <c r="O5">
        <v>1.5880000000000001</v>
      </c>
      <c r="P5">
        <v>2.2200000000000002</v>
      </c>
      <c r="Q5">
        <v>2.6789999999999998</v>
      </c>
      <c r="R5">
        <v>1.976</v>
      </c>
      <c r="S5">
        <v>2.7349999999999999</v>
      </c>
    </row>
    <row r="6" spans="1:19" x14ac:dyDescent="0.2">
      <c r="A6" t="s">
        <v>59</v>
      </c>
      <c r="G6">
        <v>0.64853533616052628</v>
      </c>
      <c r="H6">
        <v>0.35978870001639729</v>
      </c>
      <c r="I6">
        <v>0.33787420384725431</v>
      </c>
      <c r="J6">
        <v>0.533998656065229</v>
      </c>
      <c r="K6">
        <v>1.49201194751581</v>
      </c>
      <c r="L6">
        <v>2.0698395959193254</v>
      </c>
      <c r="M6">
        <v>1.2346195024869231</v>
      </c>
      <c r="N6">
        <v>0.91943143199786537</v>
      </c>
      <c r="O6">
        <v>1.5028663106418414</v>
      </c>
      <c r="P6">
        <v>1.6536956598623265</v>
      </c>
      <c r="Q6">
        <v>1.976214283647401</v>
      </c>
      <c r="R6">
        <v>1.2418471708243974</v>
      </c>
      <c r="S6">
        <v>0.48116722985464272</v>
      </c>
    </row>
    <row r="8" spans="1:19" s="1" customFormat="1" x14ac:dyDescent="0.2">
      <c r="A8" s="1" t="s">
        <v>328</v>
      </c>
      <c r="C8" s="1">
        <v>1</v>
      </c>
      <c r="D8" s="1">
        <v>1</v>
      </c>
      <c r="E8" s="1">
        <v>1</v>
      </c>
      <c r="F8" s="1" t="s">
        <v>283</v>
      </c>
      <c r="G8" s="1" t="s">
        <v>283</v>
      </c>
      <c r="H8" s="1" t="s">
        <v>283</v>
      </c>
      <c r="I8" s="1" t="s">
        <v>283</v>
      </c>
      <c r="J8" s="1" t="s">
        <v>283</v>
      </c>
      <c r="K8" s="1" t="s">
        <v>283</v>
      </c>
      <c r="L8" s="1" t="s">
        <v>283</v>
      </c>
      <c r="M8" s="1" t="s">
        <v>283</v>
      </c>
      <c r="N8" s="1" t="s">
        <v>283</v>
      </c>
      <c r="O8" s="1" t="s">
        <v>283</v>
      </c>
      <c r="P8" s="1" t="s">
        <v>283</v>
      </c>
      <c r="Q8" s="1" t="s">
        <v>283</v>
      </c>
    </row>
    <row r="9" spans="1:19" x14ac:dyDescent="0.2">
      <c r="A9" t="s">
        <v>63</v>
      </c>
      <c r="C9">
        <v>245.672</v>
      </c>
      <c r="D9">
        <v>251.15199999999999</v>
      </c>
      <c r="E9">
        <v>261.12099999999998</v>
      </c>
      <c r="F9">
        <v>259.875</v>
      </c>
      <c r="G9">
        <v>257.74599999999998</v>
      </c>
      <c r="H9">
        <v>268.64100000000002</v>
      </c>
      <c r="I9">
        <v>257.529</v>
      </c>
      <c r="J9">
        <v>278.65600000000001</v>
      </c>
      <c r="K9">
        <v>260.15600000000001</v>
      </c>
      <c r="L9">
        <v>240.33600000000001</v>
      </c>
      <c r="M9">
        <v>231.89099999999999</v>
      </c>
      <c r="N9">
        <v>266.58600000000001</v>
      </c>
      <c r="O9">
        <v>287.35899999999998</v>
      </c>
      <c r="P9">
        <v>260.20699999999999</v>
      </c>
      <c r="Q9">
        <v>263.68799999999999</v>
      </c>
    </row>
    <row r="10" spans="1:19" x14ac:dyDescent="0.2">
      <c r="A10" t="s">
        <v>62</v>
      </c>
      <c r="C10">
        <v>31.488</v>
      </c>
      <c r="D10">
        <v>36.967999999999989</v>
      </c>
      <c r="E10">
        <v>46.936999999999983</v>
      </c>
      <c r="F10">
        <v>45.691000000000003</v>
      </c>
      <c r="G10">
        <v>43.561999999999983</v>
      </c>
      <c r="H10">
        <v>54.457000000000022</v>
      </c>
      <c r="I10">
        <v>43.344999999999999</v>
      </c>
      <c r="J10">
        <v>64.472000000000008</v>
      </c>
      <c r="K10">
        <v>45.972000000000008</v>
      </c>
      <c r="L10">
        <v>26.152000000000015</v>
      </c>
      <c r="M10">
        <v>17.706999999999994</v>
      </c>
      <c r="N10">
        <v>52.402000000000015</v>
      </c>
      <c r="O10">
        <v>73.174999999999983</v>
      </c>
      <c r="P10">
        <v>46.022999999999996</v>
      </c>
      <c r="Q10">
        <v>49.503999999999991</v>
      </c>
    </row>
    <row r="11" spans="1:19" x14ac:dyDescent="0.2">
      <c r="A11" t="s">
        <v>61</v>
      </c>
      <c r="C11">
        <v>1.0209999999999999</v>
      </c>
      <c r="D11">
        <v>1.4830000000000001</v>
      </c>
      <c r="E11">
        <v>1.7410000000000001</v>
      </c>
      <c r="F11">
        <v>2.8079999999999998</v>
      </c>
      <c r="G11">
        <v>2.4860000000000002</v>
      </c>
      <c r="H11">
        <v>2.798</v>
      </c>
      <c r="I11">
        <v>1.776</v>
      </c>
      <c r="J11">
        <v>1.8540000000000001</v>
      </c>
      <c r="K11">
        <v>2.5830000000000002</v>
      </c>
      <c r="L11">
        <v>1.734</v>
      </c>
      <c r="M11">
        <v>3.0470000000000002</v>
      </c>
      <c r="N11">
        <v>2.5910000000000002</v>
      </c>
      <c r="O11">
        <v>2.794</v>
      </c>
      <c r="P11">
        <v>2.06</v>
      </c>
      <c r="Q11">
        <v>2.8809999999999998</v>
      </c>
    </row>
    <row r="12" spans="1:19" x14ac:dyDescent="0.2">
      <c r="A12" t="s">
        <v>60</v>
      </c>
      <c r="C12">
        <v>1.4291399511594376</v>
      </c>
      <c r="D12">
        <v>1.7886556404182445</v>
      </c>
      <c r="E12">
        <v>2.0077552141633204</v>
      </c>
      <c r="F12">
        <v>2.980748899186243</v>
      </c>
      <c r="G12">
        <v>2.6795887744204334</v>
      </c>
      <c r="H12">
        <v>2.9713303417829531</v>
      </c>
      <c r="I12">
        <v>2.0381795799192965</v>
      </c>
      <c r="J12">
        <v>2.1064937692763301</v>
      </c>
      <c r="K12">
        <v>2.769817503013511</v>
      </c>
      <c r="L12">
        <v>2.0016882874213957</v>
      </c>
      <c r="M12">
        <v>3.2069002167201899</v>
      </c>
      <c r="N12">
        <v>2.7772794241847545</v>
      </c>
      <c r="O12">
        <v>2.9675639841459192</v>
      </c>
      <c r="P12">
        <v>2.2898908270919818</v>
      </c>
      <c r="Q12">
        <v>3.0496165332710272</v>
      </c>
    </row>
    <row r="13" spans="1:19" x14ac:dyDescent="0.2">
      <c r="A13" t="s">
        <v>59</v>
      </c>
      <c r="F13">
        <v>1.1752291601693745</v>
      </c>
      <c r="G13">
        <v>1.120468640986152</v>
      </c>
      <c r="H13">
        <v>1.4007015468110491</v>
      </c>
      <c r="I13">
        <v>1.114887131985326</v>
      </c>
      <c r="J13">
        <v>1.6582997617570181</v>
      </c>
      <c r="K13">
        <v>1.1824568285068502</v>
      </c>
      <c r="L13">
        <v>0.672661858938292</v>
      </c>
      <c r="M13">
        <v>0.4554459902194985</v>
      </c>
      <c r="N13">
        <v>1.3478443993608276</v>
      </c>
      <c r="O13">
        <v>1.8821517103016776</v>
      </c>
      <c r="P13">
        <v>1.1837686117282422</v>
      </c>
      <c r="Q13">
        <v>1.273304246898179</v>
      </c>
    </row>
    <row r="15" spans="1:19" s="1" customFormat="1" x14ac:dyDescent="0.2">
      <c r="A15" s="1" t="s">
        <v>329</v>
      </c>
      <c r="C15" s="1" t="s">
        <v>283</v>
      </c>
      <c r="D15" s="1" t="s">
        <v>283</v>
      </c>
      <c r="E15" s="1" t="s">
        <v>283</v>
      </c>
      <c r="F15" s="1" t="s">
        <v>283</v>
      </c>
      <c r="G15" s="1" t="s">
        <v>283</v>
      </c>
    </row>
    <row r="16" spans="1:19" x14ac:dyDescent="0.2">
      <c r="A16" t="s">
        <v>63</v>
      </c>
      <c r="C16">
        <v>230.17599999999999</v>
      </c>
      <c r="D16">
        <v>233.27699999999999</v>
      </c>
      <c r="E16">
        <v>241.13300000000001</v>
      </c>
      <c r="F16">
        <v>233.898</v>
      </c>
      <c r="G16">
        <v>230.90199999999999</v>
      </c>
    </row>
    <row r="17" spans="1:7" x14ac:dyDescent="0.2">
      <c r="A17" t="s">
        <v>62</v>
      </c>
      <c r="C17">
        <v>15.99199999999999</v>
      </c>
      <c r="D17">
        <v>19.092999999999989</v>
      </c>
      <c r="E17">
        <v>26.949000000000012</v>
      </c>
      <c r="F17">
        <v>19.713999999999999</v>
      </c>
      <c r="G17">
        <v>16.717999999999989</v>
      </c>
    </row>
    <row r="18" spans="1:7" x14ac:dyDescent="0.2">
      <c r="A18" t="s">
        <v>61</v>
      </c>
      <c r="C18">
        <v>2.4079999999999999</v>
      </c>
      <c r="D18">
        <v>1.1080000000000001</v>
      </c>
      <c r="E18">
        <v>2.0840000000000001</v>
      </c>
      <c r="F18">
        <v>2.484</v>
      </c>
      <c r="G18">
        <v>2.9009999999999998</v>
      </c>
    </row>
    <row r="19" spans="1:7" x14ac:dyDescent="0.2">
      <c r="A19" t="s">
        <v>60</v>
      </c>
      <c r="C19">
        <v>3.1302498302851163</v>
      </c>
      <c r="D19">
        <v>2.2864085374228291</v>
      </c>
      <c r="E19">
        <v>2.8884348703060625</v>
      </c>
      <c r="F19">
        <v>3.1890838809915301</v>
      </c>
      <c r="G19">
        <v>3.5236062492849562</v>
      </c>
    </row>
    <row r="20" spans="1:7" x14ac:dyDescent="0.2">
      <c r="A20" t="s">
        <v>59</v>
      </c>
      <c r="C20">
        <v>0.41133406424522606</v>
      </c>
      <c r="D20">
        <v>0.49109562835380827</v>
      </c>
      <c r="E20">
        <v>0.6931616869275018</v>
      </c>
      <c r="F20">
        <v>0.50706851816723308</v>
      </c>
      <c r="G20">
        <v>0.43000768422034075</v>
      </c>
    </row>
    <row r="22" spans="1:7" s="1" customFormat="1" x14ac:dyDescent="0.2">
      <c r="A22" s="1" t="s">
        <v>330</v>
      </c>
      <c r="C22" s="1">
        <v>1</v>
      </c>
      <c r="D22" s="1" t="s">
        <v>283</v>
      </c>
      <c r="E22" s="1" t="s">
        <v>283</v>
      </c>
      <c r="F22" s="1" t="s">
        <v>283</v>
      </c>
    </row>
    <row r="23" spans="1:7" x14ac:dyDescent="0.2">
      <c r="A23" t="s">
        <v>63</v>
      </c>
      <c r="C23">
        <v>239.547</v>
      </c>
      <c r="D23">
        <v>250.797</v>
      </c>
      <c r="E23">
        <v>228.625</v>
      </c>
      <c r="F23">
        <v>244.578</v>
      </c>
    </row>
    <row r="24" spans="1:7" x14ac:dyDescent="0.2">
      <c r="A24" t="s">
        <v>62</v>
      </c>
      <c r="C24">
        <v>25.363</v>
      </c>
      <c r="D24">
        <v>36.613</v>
      </c>
      <c r="E24">
        <v>14.441000000000003</v>
      </c>
      <c r="F24">
        <v>30.394000000000005</v>
      </c>
    </row>
    <row r="25" spans="1:7" x14ac:dyDescent="0.2">
      <c r="A25" t="s">
        <v>61</v>
      </c>
      <c r="C25">
        <v>1.708</v>
      </c>
      <c r="D25">
        <v>1.609</v>
      </c>
      <c r="E25">
        <v>2.431</v>
      </c>
      <c r="F25">
        <v>2.1619999999999999</v>
      </c>
    </row>
    <row r="26" spans="1:7" x14ac:dyDescent="0.2">
      <c r="A26" t="s">
        <v>60</v>
      </c>
      <c r="C26">
        <v>1.97920792237703</v>
      </c>
      <c r="D26">
        <v>1.8944342163295087</v>
      </c>
      <c r="E26">
        <v>2.6286424252834393</v>
      </c>
      <c r="F26">
        <v>2.3820671694979549</v>
      </c>
    </row>
    <row r="27" spans="1:7" x14ac:dyDescent="0.2">
      <c r="A27" t="s">
        <v>59</v>
      </c>
      <c r="D27">
        <v>0.94173174676153515</v>
      </c>
      <c r="E27">
        <v>0.37144042157111767</v>
      </c>
      <c r="F27">
        <v>0.78177135747057347</v>
      </c>
    </row>
    <row r="29" spans="1:7" x14ac:dyDescent="0.2">
      <c r="C29" t="s">
        <v>294</v>
      </c>
    </row>
    <row r="30" spans="1:7" x14ac:dyDescent="0.2">
      <c r="C30">
        <v>28.480250000000019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22C1D-B661-E54C-8379-BEA2A91CD7DB}">
  <dimension ref="A1:AC44"/>
  <sheetViews>
    <sheetView topLeftCell="A7" workbookViewId="0">
      <selection activeCell="L47" sqref="L47"/>
    </sheetView>
  </sheetViews>
  <sheetFormatPr baseColWidth="10" defaultRowHeight="15" x14ac:dyDescent="0.2"/>
  <cols>
    <col min="1" max="1" width="34.1640625" customWidth="1"/>
    <col min="2" max="2" width="20.1640625" customWidth="1"/>
  </cols>
  <sheetData>
    <row r="1" spans="1:26" s="1" customFormat="1" x14ac:dyDescent="0.2">
      <c r="A1" s="1" t="s">
        <v>321</v>
      </c>
      <c r="B1" s="1" t="s">
        <v>70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  <c r="N1" s="1" t="s">
        <v>283</v>
      </c>
      <c r="O1" s="1" t="s">
        <v>283</v>
      </c>
      <c r="P1" s="1" t="s">
        <v>283</v>
      </c>
      <c r="Q1" s="1" t="s">
        <v>283</v>
      </c>
      <c r="R1" s="1" t="s">
        <v>283</v>
      </c>
    </row>
    <row r="2" spans="1:26" x14ac:dyDescent="0.2">
      <c r="A2" t="s">
        <v>63</v>
      </c>
      <c r="B2">
        <v>216.50299999999999</v>
      </c>
      <c r="C2">
        <v>436.08199999999999</v>
      </c>
      <c r="D2">
        <v>494.08199999999999</v>
      </c>
      <c r="E2">
        <v>476.21100000000001</v>
      </c>
      <c r="F2">
        <v>437.5</v>
      </c>
      <c r="G2">
        <v>376.19499999999999</v>
      </c>
      <c r="H2">
        <v>343.43799999999999</v>
      </c>
      <c r="I2">
        <v>315.94099999999997</v>
      </c>
      <c r="J2">
        <v>415.42200000000003</v>
      </c>
      <c r="K2">
        <v>748.04700000000003</v>
      </c>
      <c r="L2">
        <v>298.80900000000003</v>
      </c>
      <c r="M2">
        <v>288.41800000000001</v>
      </c>
      <c r="N2">
        <v>289.58600000000001</v>
      </c>
      <c r="O2">
        <v>287.26600000000002</v>
      </c>
      <c r="P2">
        <v>268.83600000000001</v>
      </c>
      <c r="Q2">
        <v>255.49199999999999</v>
      </c>
      <c r="R2">
        <v>568.10199999999998</v>
      </c>
    </row>
    <row r="3" spans="1:26" x14ac:dyDescent="0.2">
      <c r="A3" t="s">
        <v>62</v>
      </c>
      <c r="C3">
        <v>219.57900000000001</v>
      </c>
      <c r="D3">
        <v>277.57900000000001</v>
      </c>
      <c r="E3">
        <v>259.70800000000003</v>
      </c>
      <c r="F3">
        <v>220.99700000000001</v>
      </c>
      <c r="G3">
        <v>159.69200000000001</v>
      </c>
      <c r="H3">
        <v>126.935</v>
      </c>
      <c r="I3">
        <v>99.437999999999988</v>
      </c>
      <c r="J3">
        <v>198.91900000000004</v>
      </c>
      <c r="K3">
        <v>531.5440000000001</v>
      </c>
      <c r="L3">
        <v>82.30600000000004</v>
      </c>
      <c r="M3">
        <v>71.91500000000002</v>
      </c>
      <c r="N3">
        <v>73.083000000000027</v>
      </c>
      <c r="O3">
        <v>70.763000000000034</v>
      </c>
      <c r="P3">
        <v>52.333000000000027</v>
      </c>
      <c r="Q3">
        <v>38.989000000000004</v>
      </c>
      <c r="R3">
        <v>351.59899999999999</v>
      </c>
    </row>
    <row r="4" spans="1:26" x14ac:dyDescent="0.2">
      <c r="A4" t="s">
        <v>61</v>
      </c>
      <c r="C4">
        <v>0</v>
      </c>
      <c r="D4">
        <v>1.792</v>
      </c>
      <c r="E4">
        <v>2.5449999999999999</v>
      </c>
      <c r="F4">
        <v>3.274</v>
      </c>
      <c r="G4">
        <v>3.0920000000000001</v>
      </c>
      <c r="H4">
        <v>23.588000000000001</v>
      </c>
      <c r="I4">
        <v>1.1539999999999999</v>
      </c>
      <c r="J4">
        <v>1.012</v>
      </c>
      <c r="K4">
        <v>1.5069999999999999</v>
      </c>
      <c r="L4">
        <v>2.1640000000000001</v>
      </c>
      <c r="M4">
        <v>4.4219999999999997</v>
      </c>
      <c r="N4">
        <v>3.669</v>
      </c>
      <c r="O4">
        <v>4.4219999999999997</v>
      </c>
      <c r="P4">
        <v>7.56</v>
      </c>
      <c r="Q4">
        <v>16.234999999999999</v>
      </c>
      <c r="R4">
        <v>2.3860000000000001</v>
      </c>
    </row>
    <row r="5" spans="1:26" x14ac:dyDescent="0.2">
      <c r="A5" t="s">
        <v>60</v>
      </c>
      <c r="C5">
        <v>0</v>
      </c>
      <c r="D5">
        <v>1.792</v>
      </c>
      <c r="E5">
        <v>2.5449999999999999</v>
      </c>
      <c r="F5">
        <v>3.274</v>
      </c>
      <c r="G5">
        <v>3.0920000000000001</v>
      </c>
      <c r="H5">
        <v>23.588000000000001</v>
      </c>
      <c r="I5">
        <v>1.1539999999999999</v>
      </c>
      <c r="J5">
        <v>1.012</v>
      </c>
      <c r="K5">
        <v>1.5069999999999999</v>
      </c>
      <c r="L5">
        <v>2.1640000000000001</v>
      </c>
      <c r="M5">
        <v>4.4219999999999997</v>
      </c>
      <c r="N5">
        <v>3.669</v>
      </c>
      <c r="O5">
        <v>4.4219999999999997</v>
      </c>
      <c r="P5">
        <v>7.56</v>
      </c>
      <c r="Q5">
        <v>16.234999999999999</v>
      </c>
      <c r="R5">
        <v>2.3860000000000001</v>
      </c>
    </row>
    <row r="6" spans="1:26" x14ac:dyDescent="0.2">
      <c r="A6" t="s">
        <v>59</v>
      </c>
      <c r="I6">
        <v>0.57025270851620558</v>
      </c>
      <c r="J6">
        <v>1.1407520115583092</v>
      </c>
      <c r="K6">
        <v>3.0482753645038927</v>
      </c>
      <c r="L6">
        <v>0.47200486159350397</v>
      </c>
      <c r="M6">
        <v>0.41241500767254918</v>
      </c>
      <c r="N6">
        <v>0.41911320316669559</v>
      </c>
      <c r="O6">
        <v>0.40580856828106238</v>
      </c>
      <c r="P6">
        <v>0.30011700753010528</v>
      </c>
      <c r="Q6">
        <v>0.22359241791204917</v>
      </c>
      <c r="R6">
        <v>2.0163346211869646</v>
      </c>
    </row>
    <row r="8" spans="1:26" s="1" customFormat="1" x14ac:dyDescent="0.2">
      <c r="A8" s="1" t="s">
        <v>322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 t="s">
        <v>283</v>
      </c>
      <c r="J8" s="1" t="s">
        <v>283</v>
      </c>
      <c r="K8" s="1" t="s">
        <v>283</v>
      </c>
      <c r="L8" s="1" t="s">
        <v>283</v>
      </c>
      <c r="M8" s="1" t="s">
        <v>283</v>
      </c>
      <c r="N8" s="1" t="s">
        <v>283</v>
      </c>
      <c r="O8" s="1" t="s">
        <v>283</v>
      </c>
      <c r="P8" s="1" t="s">
        <v>283</v>
      </c>
      <c r="Q8" s="1" t="s">
        <v>283</v>
      </c>
      <c r="R8" s="1" t="s">
        <v>283</v>
      </c>
      <c r="S8" s="1" t="s">
        <v>283</v>
      </c>
      <c r="T8" s="1" t="s">
        <v>283</v>
      </c>
      <c r="U8" s="1" t="s">
        <v>283</v>
      </c>
      <c r="V8" s="1" t="s">
        <v>283</v>
      </c>
    </row>
    <row r="9" spans="1:26" x14ac:dyDescent="0.2">
      <c r="A9" t="s">
        <v>63</v>
      </c>
      <c r="C9">
        <v>448.04300000000001</v>
      </c>
      <c r="D9">
        <v>393.52699999999999</v>
      </c>
      <c r="E9">
        <v>406.32400000000001</v>
      </c>
      <c r="F9">
        <v>560.10500000000002</v>
      </c>
      <c r="G9">
        <v>322.35899999999998</v>
      </c>
      <c r="H9">
        <v>312.41399999999999</v>
      </c>
      <c r="I9">
        <v>419.613</v>
      </c>
      <c r="J9">
        <v>517.89800000000002</v>
      </c>
      <c r="K9">
        <v>370.54700000000003</v>
      </c>
      <c r="L9">
        <v>322.90600000000001</v>
      </c>
      <c r="M9">
        <v>336.45299999999997</v>
      </c>
      <c r="N9">
        <v>410.75400000000002</v>
      </c>
      <c r="O9">
        <v>454.14100000000002</v>
      </c>
      <c r="P9">
        <v>537.73800000000006</v>
      </c>
      <c r="Q9">
        <v>332.07400000000001</v>
      </c>
      <c r="R9">
        <v>521.68799999999999</v>
      </c>
      <c r="S9">
        <v>574.625</v>
      </c>
      <c r="T9">
        <v>294.40600000000001</v>
      </c>
      <c r="U9">
        <v>254.113</v>
      </c>
      <c r="V9">
        <v>278.30500000000001</v>
      </c>
    </row>
    <row r="10" spans="1:26" x14ac:dyDescent="0.2">
      <c r="A10" t="s">
        <v>62</v>
      </c>
      <c r="C10">
        <v>231.54000000000002</v>
      </c>
      <c r="D10">
        <v>177.024</v>
      </c>
      <c r="E10">
        <v>189.82100000000003</v>
      </c>
      <c r="F10">
        <v>343.60200000000003</v>
      </c>
      <c r="G10">
        <v>105.85599999999999</v>
      </c>
      <c r="H10">
        <v>95.911000000000001</v>
      </c>
      <c r="I10">
        <v>203.11</v>
      </c>
      <c r="J10">
        <v>301.39500000000004</v>
      </c>
      <c r="K10">
        <v>154.04400000000004</v>
      </c>
      <c r="L10">
        <v>106.40300000000002</v>
      </c>
      <c r="M10">
        <v>119.94999999999999</v>
      </c>
      <c r="N10">
        <v>194.25100000000003</v>
      </c>
      <c r="O10">
        <v>237.63800000000003</v>
      </c>
      <c r="P10">
        <v>321.23500000000007</v>
      </c>
      <c r="Q10">
        <v>115.57100000000003</v>
      </c>
      <c r="R10">
        <v>305.185</v>
      </c>
      <c r="S10">
        <v>358.12200000000001</v>
      </c>
      <c r="T10">
        <v>77.90300000000002</v>
      </c>
      <c r="U10">
        <v>37.610000000000014</v>
      </c>
      <c r="V10">
        <v>61.802000000000021</v>
      </c>
    </row>
    <row r="11" spans="1:26" x14ac:dyDescent="0.2">
      <c r="A11" t="s">
        <v>61</v>
      </c>
      <c r="C11">
        <v>0.96699999999999997</v>
      </c>
      <c r="D11">
        <v>1.165</v>
      </c>
      <c r="E11">
        <v>3.5150000000000001</v>
      </c>
      <c r="F11">
        <v>3.7360000000000002</v>
      </c>
      <c r="G11">
        <v>16.204999999999998</v>
      </c>
      <c r="H11">
        <v>18.494</v>
      </c>
      <c r="I11">
        <v>1.7629999999999999</v>
      </c>
      <c r="J11">
        <v>2.3530000000000002</v>
      </c>
      <c r="K11">
        <v>2.4449999999999998</v>
      </c>
      <c r="L11">
        <v>1.6970000000000001</v>
      </c>
      <c r="M11">
        <v>0.184</v>
      </c>
      <c r="N11">
        <v>1.2</v>
      </c>
      <c r="O11">
        <v>1.6739999999999999</v>
      </c>
      <c r="P11">
        <v>2.2480000000000002</v>
      </c>
      <c r="Q11">
        <v>2.6150000000000002</v>
      </c>
      <c r="R11">
        <v>4.516</v>
      </c>
      <c r="S11">
        <v>4.3819999999999997</v>
      </c>
      <c r="T11">
        <v>7.3579999999999997</v>
      </c>
      <c r="U11">
        <v>15.602</v>
      </c>
      <c r="V11">
        <v>10.843</v>
      </c>
    </row>
    <row r="12" spans="1:26" x14ac:dyDescent="0.2">
      <c r="A12" t="s">
        <v>60</v>
      </c>
      <c r="C12">
        <v>1.3910747643458996</v>
      </c>
      <c r="D12">
        <v>1.5353256983454684</v>
      </c>
      <c r="E12">
        <v>3.6544801271863556</v>
      </c>
      <c r="F12">
        <v>3.8675180671846903</v>
      </c>
      <c r="G12">
        <v>16.23582535629156</v>
      </c>
      <c r="H12">
        <v>18.521016062840612</v>
      </c>
      <c r="I12">
        <v>2.0268618601177537</v>
      </c>
      <c r="J12">
        <v>2.5566792915811716</v>
      </c>
      <c r="K12">
        <v>2.6415951620185858</v>
      </c>
      <c r="L12">
        <v>1.9697230769831582</v>
      </c>
      <c r="M12">
        <v>1.0167870966923214</v>
      </c>
      <c r="N12">
        <v>1.5620499351813308</v>
      </c>
      <c r="O12">
        <v>1.949942563256672</v>
      </c>
      <c r="P12">
        <v>2.4603869614351317</v>
      </c>
      <c r="Q12">
        <v>2.7996830177718337</v>
      </c>
      <c r="R12">
        <v>4.6253925238837841</v>
      </c>
      <c r="S12">
        <v>4.4946550479430565</v>
      </c>
      <c r="T12">
        <v>7.4256423291187401</v>
      </c>
      <c r="U12">
        <v>15.634014327740653</v>
      </c>
      <c r="V12">
        <v>10.889015061060389</v>
      </c>
    </row>
    <row r="13" spans="1:26" x14ac:dyDescent="0.2">
      <c r="A13" t="s">
        <v>59</v>
      </c>
      <c r="I13">
        <v>1.164786375698692</v>
      </c>
      <c r="J13">
        <v>1.7284269100669949</v>
      </c>
      <c r="K13">
        <v>0.8834048173803819</v>
      </c>
      <c r="L13">
        <v>0.61019528695518654</v>
      </c>
      <c r="M13">
        <v>0.68788403212573523</v>
      </c>
      <c r="N13">
        <v>1.1139821686073883</v>
      </c>
      <c r="O13">
        <v>1.3627960452379786</v>
      </c>
      <c r="P13">
        <v>1.8422044773648241</v>
      </c>
      <c r="Q13">
        <v>0.66277153377910281</v>
      </c>
      <c r="R13">
        <v>1.750161636884473</v>
      </c>
      <c r="S13">
        <v>2.053742437289976</v>
      </c>
      <c r="T13">
        <v>0.44675472909288183</v>
      </c>
      <c r="U13">
        <v>0.21568418881408016</v>
      </c>
      <c r="V13">
        <v>0.35441941603530397</v>
      </c>
    </row>
    <row r="15" spans="1:26" s="1" customFormat="1" x14ac:dyDescent="0.2">
      <c r="A15" s="1" t="s">
        <v>323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 t="s">
        <v>283</v>
      </c>
      <c r="I15" s="1" t="s">
        <v>283</v>
      </c>
      <c r="J15" s="1" t="s">
        <v>283</v>
      </c>
      <c r="K15" s="1" t="s">
        <v>283</v>
      </c>
      <c r="L15" s="1" t="s">
        <v>283</v>
      </c>
      <c r="M15" s="1" t="s">
        <v>283</v>
      </c>
      <c r="N15" s="1" t="s">
        <v>283</v>
      </c>
      <c r="O15" s="1" t="s">
        <v>283</v>
      </c>
      <c r="P15" s="1" t="s">
        <v>283</v>
      </c>
      <c r="Q15" s="1" t="s">
        <v>283</v>
      </c>
      <c r="R15" s="1" t="s">
        <v>283</v>
      </c>
      <c r="S15" s="1" t="s">
        <v>283</v>
      </c>
      <c r="T15" s="1" t="s">
        <v>283</v>
      </c>
      <c r="U15" s="1" t="s">
        <v>283</v>
      </c>
      <c r="V15" s="1" t="s">
        <v>283</v>
      </c>
      <c r="W15" s="1" t="s">
        <v>283</v>
      </c>
      <c r="X15" s="1" t="s">
        <v>283</v>
      </c>
      <c r="Y15" s="1" t="s">
        <v>283</v>
      </c>
      <c r="Z15" s="1" t="s">
        <v>283</v>
      </c>
    </row>
    <row r="16" spans="1:26" x14ac:dyDescent="0.2">
      <c r="A16" t="s">
        <v>63</v>
      </c>
      <c r="C16">
        <v>314.04700000000003</v>
      </c>
      <c r="D16">
        <v>431.09</v>
      </c>
      <c r="E16">
        <v>557.54300000000001</v>
      </c>
      <c r="F16">
        <v>439.30099999999999</v>
      </c>
      <c r="G16">
        <v>418.94499999999999</v>
      </c>
      <c r="H16">
        <v>251.215</v>
      </c>
      <c r="I16">
        <v>256.19499999999999</v>
      </c>
      <c r="J16">
        <v>380.625</v>
      </c>
      <c r="K16">
        <v>266.08199999999999</v>
      </c>
      <c r="L16">
        <v>630.46500000000003</v>
      </c>
      <c r="M16">
        <v>673.52300000000002</v>
      </c>
      <c r="N16">
        <v>1066.1479999999999</v>
      </c>
      <c r="O16">
        <v>468.92599999999999</v>
      </c>
      <c r="P16">
        <v>332.09399999999999</v>
      </c>
      <c r="Q16">
        <v>552.60900000000004</v>
      </c>
      <c r="R16">
        <v>854.38699999999994</v>
      </c>
      <c r="S16">
        <v>512.56600000000003</v>
      </c>
      <c r="T16">
        <v>1137.836</v>
      </c>
      <c r="U16">
        <v>525.23800000000006</v>
      </c>
      <c r="V16">
        <v>634.36300000000006</v>
      </c>
      <c r="W16">
        <v>540.55499999999995</v>
      </c>
      <c r="X16">
        <v>545.03099999999995</v>
      </c>
      <c r="Y16">
        <v>609.99599999999998</v>
      </c>
      <c r="Z16">
        <v>329.89100000000002</v>
      </c>
    </row>
    <row r="17" spans="1:29" x14ac:dyDescent="0.2">
      <c r="A17" t="s">
        <v>62</v>
      </c>
      <c r="C17">
        <v>97.54400000000004</v>
      </c>
      <c r="D17">
        <v>214.58699999999999</v>
      </c>
      <c r="E17">
        <v>341.04</v>
      </c>
      <c r="F17">
        <v>222.798</v>
      </c>
      <c r="G17">
        <v>202.44200000000001</v>
      </c>
      <c r="H17">
        <v>34.712000000000018</v>
      </c>
      <c r="I17">
        <v>39.692000000000007</v>
      </c>
      <c r="J17">
        <v>164.12200000000001</v>
      </c>
      <c r="K17">
        <v>49.579000000000008</v>
      </c>
      <c r="L17">
        <v>413.96200000000005</v>
      </c>
      <c r="M17">
        <v>457.02000000000004</v>
      </c>
      <c r="N17">
        <v>849.64499999999998</v>
      </c>
      <c r="O17">
        <v>252.423</v>
      </c>
      <c r="P17">
        <v>115.59100000000001</v>
      </c>
      <c r="Q17">
        <v>336.10600000000005</v>
      </c>
      <c r="R17">
        <v>637.88400000000001</v>
      </c>
      <c r="S17">
        <v>296.06300000000005</v>
      </c>
      <c r="T17">
        <v>921.33300000000008</v>
      </c>
      <c r="U17">
        <v>308.73500000000007</v>
      </c>
      <c r="V17">
        <v>417.86000000000007</v>
      </c>
      <c r="W17">
        <v>324.05199999999996</v>
      </c>
      <c r="X17">
        <v>328.52799999999996</v>
      </c>
      <c r="Y17">
        <v>393.49299999999999</v>
      </c>
      <c r="Z17">
        <v>113.38800000000003</v>
      </c>
    </row>
    <row r="18" spans="1:29" x14ac:dyDescent="0.2">
      <c r="A18" t="s">
        <v>61</v>
      </c>
      <c r="C18">
        <v>15.98</v>
      </c>
      <c r="D18">
        <v>11.286</v>
      </c>
      <c r="E18">
        <v>0.46</v>
      </c>
      <c r="F18">
        <v>1.9339999999999999</v>
      </c>
      <c r="G18">
        <v>3.165</v>
      </c>
      <c r="H18">
        <v>18.635999999999999</v>
      </c>
      <c r="I18">
        <v>16.689</v>
      </c>
      <c r="J18">
        <v>4.8579999999999997</v>
      </c>
      <c r="K18">
        <v>5.569</v>
      </c>
      <c r="L18">
        <v>3.851</v>
      </c>
      <c r="M18">
        <v>4.508</v>
      </c>
      <c r="N18">
        <v>3.9430000000000001</v>
      </c>
      <c r="O18">
        <v>4.4240000000000004</v>
      </c>
      <c r="P18">
        <v>4.9000000000000004</v>
      </c>
      <c r="Q18">
        <v>1.8220000000000001</v>
      </c>
      <c r="R18">
        <v>1.794</v>
      </c>
      <c r="S18">
        <v>2.2839999999999998</v>
      </c>
      <c r="T18">
        <v>2.12</v>
      </c>
      <c r="U18">
        <v>2.56</v>
      </c>
      <c r="V18">
        <v>1.8540000000000001</v>
      </c>
      <c r="W18">
        <v>0.371</v>
      </c>
      <c r="X18">
        <v>0.71399999999999997</v>
      </c>
      <c r="Y18">
        <v>1.2250000000000001</v>
      </c>
      <c r="Z18">
        <v>0.91700000000000004</v>
      </c>
    </row>
    <row r="19" spans="1:29" x14ac:dyDescent="0.2">
      <c r="A19" t="s">
        <v>60</v>
      </c>
      <c r="C19">
        <v>16.104670130120642</v>
      </c>
      <c r="D19">
        <v>11.461840864363802</v>
      </c>
      <c r="E19">
        <v>2.0522183119736552</v>
      </c>
      <c r="F19">
        <v>2.7821495286917992</v>
      </c>
      <c r="G19">
        <v>3.7439584666499708</v>
      </c>
      <c r="H19">
        <v>18.743011924448002</v>
      </c>
      <c r="I19">
        <v>16.80841220936707</v>
      </c>
      <c r="J19">
        <v>5.2535858230355386</v>
      </c>
      <c r="K19">
        <v>5.9172426855757747</v>
      </c>
      <c r="L19">
        <v>4.3393779508127661</v>
      </c>
      <c r="M19">
        <v>4.9317404635686177</v>
      </c>
      <c r="N19">
        <v>4.4212270921091577</v>
      </c>
      <c r="O19">
        <v>4.8550773423293681</v>
      </c>
      <c r="P19">
        <v>5.2924474489596971</v>
      </c>
      <c r="Q19">
        <v>2.7054914525830607</v>
      </c>
      <c r="R19">
        <v>2.6867147224817152</v>
      </c>
      <c r="S19">
        <v>3.0358945963257686</v>
      </c>
      <c r="T19">
        <v>2.9145153971114994</v>
      </c>
      <c r="U19">
        <v>3.2486304806795125</v>
      </c>
      <c r="V19">
        <v>2.7271442939455919</v>
      </c>
      <c r="W19">
        <v>2.0341192197115685</v>
      </c>
      <c r="X19">
        <v>2.1236280276922321</v>
      </c>
      <c r="Y19">
        <v>2.345341126574128</v>
      </c>
      <c r="Z19">
        <v>2.2002020361775871</v>
      </c>
    </row>
    <row r="20" spans="1:29" x14ac:dyDescent="0.2">
      <c r="A20" t="s">
        <v>59</v>
      </c>
      <c r="H20">
        <v>0.19906486471987109</v>
      </c>
      <c r="I20">
        <v>0.2276239516726527</v>
      </c>
      <c r="J20">
        <v>0.94119969254305913</v>
      </c>
      <c r="K20">
        <v>0.2843234883598319</v>
      </c>
      <c r="L20">
        <v>2.3739712355717688</v>
      </c>
      <c r="M20">
        <v>2.6208983773414221</v>
      </c>
      <c r="N20">
        <v>4.8725071152602784</v>
      </c>
      <c r="O20">
        <v>1.447584418851809</v>
      </c>
      <c r="P20">
        <v>0.6628862289074271</v>
      </c>
      <c r="Q20">
        <v>1.9274860400304497</v>
      </c>
      <c r="R20">
        <v>3.6581093618048568</v>
      </c>
      <c r="S20">
        <v>1.6978491888557032</v>
      </c>
      <c r="T20">
        <v>5.2836203332263461</v>
      </c>
      <c r="U20">
        <v>1.7705200221620587</v>
      </c>
      <c r="V20">
        <v>2.3963253160821996</v>
      </c>
      <c r="W20">
        <v>1.8583592861893186</v>
      </c>
      <c r="X20">
        <v>1.8840280559083247</v>
      </c>
      <c r="Y20">
        <v>2.2565865064881367</v>
      </c>
      <c r="Z20">
        <v>0.65025256052249192</v>
      </c>
    </row>
    <row r="22" spans="1:29" s="1" customFormat="1" x14ac:dyDescent="0.2">
      <c r="A22" s="1" t="s">
        <v>324</v>
      </c>
      <c r="C22" s="1">
        <v>1</v>
      </c>
      <c r="D22" s="1">
        <v>1</v>
      </c>
      <c r="E22" s="1">
        <v>1</v>
      </c>
      <c r="F22" s="1">
        <v>1</v>
      </c>
      <c r="G22" s="1" t="s">
        <v>283</v>
      </c>
      <c r="H22" s="1" t="s">
        <v>283</v>
      </c>
      <c r="I22" s="1" t="s">
        <v>283</v>
      </c>
      <c r="J22" s="1" t="s">
        <v>283</v>
      </c>
      <c r="K22" s="1" t="s">
        <v>283</v>
      </c>
      <c r="L22" s="1" t="s">
        <v>283</v>
      </c>
      <c r="M22" s="1" t="s">
        <v>283</v>
      </c>
      <c r="N22" s="1" t="s">
        <v>283</v>
      </c>
      <c r="O22" s="1" t="s">
        <v>283</v>
      </c>
      <c r="P22" s="1" t="s">
        <v>283</v>
      </c>
      <c r="Q22" s="1" t="s">
        <v>283</v>
      </c>
      <c r="R22" s="1" t="s">
        <v>283</v>
      </c>
      <c r="S22" s="1" t="s">
        <v>283</v>
      </c>
      <c r="T22" s="1" t="s">
        <v>283</v>
      </c>
      <c r="U22" s="1" t="s">
        <v>283</v>
      </c>
      <c r="V22" s="1" t="s">
        <v>283</v>
      </c>
      <c r="W22" s="1" t="s">
        <v>283</v>
      </c>
      <c r="X22" s="1" t="s">
        <v>283</v>
      </c>
      <c r="Y22" s="1" t="s">
        <v>283</v>
      </c>
      <c r="Z22" s="1" t="s">
        <v>283</v>
      </c>
      <c r="AA22" s="1" t="s">
        <v>283</v>
      </c>
      <c r="AB22" s="1" t="s">
        <v>283</v>
      </c>
      <c r="AC22" s="1" t="s">
        <v>283</v>
      </c>
    </row>
    <row r="23" spans="1:29" x14ac:dyDescent="0.2">
      <c r="A23" t="s">
        <v>63</v>
      </c>
      <c r="C23">
        <v>352.66</v>
      </c>
      <c r="D23">
        <v>301.50799999999998</v>
      </c>
      <c r="E23">
        <v>433.69900000000001</v>
      </c>
      <c r="F23">
        <v>361.23</v>
      </c>
      <c r="G23">
        <v>268.40199999999999</v>
      </c>
      <c r="H23">
        <v>277.22300000000001</v>
      </c>
      <c r="I23">
        <v>433.61700000000002</v>
      </c>
      <c r="J23">
        <v>445.25400000000002</v>
      </c>
      <c r="K23">
        <v>338.44099999999997</v>
      </c>
      <c r="L23">
        <v>361.99200000000002</v>
      </c>
      <c r="M23">
        <v>1180.0350000000001</v>
      </c>
      <c r="N23">
        <v>953.89499999999998</v>
      </c>
      <c r="O23">
        <v>741.48</v>
      </c>
      <c r="P23">
        <v>341.61700000000002</v>
      </c>
      <c r="Q23">
        <v>889.38300000000004</v>
      </c>
      <c r="R23">
        <v>541.31600000000003</v>
      </c>
      <c r="S23">
        <v>316.72300000000001</v>
      </c>
      <c r="T23">
        <v>624.82000000000005</v>
      </c>
      <c r="U23">
        <v>386.29700000000003</v>
      </c>
      <c r="V23">
        <v>924.86300000000006</v>
      </c>
      <c r="W23">
        <v>828.09</v>
      </c>
      <c r="X23">
        <v>708.47299999999996</v>
      </c>
      <c r="Y23">
        <v>1464.3440000000001</v>
      </c>
      <c r="Z23">
        <v>796.15599999999995</v>
      </c>
      <c r="AA23">
        <v>1205.0429999999999</v>
      </c>
      <c r="AB23">
        <v>754.44100000000003</v>
      </c>
      <c r="AC23">
        <v>267.22300000000001</v>
      </c>
    </row>
    <row r="24" spans="1:29" x14ac:dyDescent="0.2">
      <c r="A24" t="s">
        <v>62</v>
      </c>
      <c r="C24">
        <v>136.15700000000004</v>
      </c>
      <c r="D24">
        <v>85.004999999999995</v>
      </c>
      <c r="E24">
        <v>217.19600000000003</v>
      </c>
      <c r="F24">
        <v>144.72700000000003</v>
      </c>
      <c r="G24">
        <v>51.899000000000001</v>
      </c>
      <c r="H24">
        <v>60.720000000000027</v>
      </c>
      <c r="I24">
        <v>217.11400000000003</v>
      </c>
      <c r="J24">
        <v>228.75100000000003</v>
      </c>
      <c r="K24">
        <v>121.93799999999999</v>
      </c>
      <c r="L24">
        <v>145.48900000000003</v>
      </c>
      <c r="M24">
        <v>963.53200000000015</v>
      </c>
      <c r="N24">
        <v>737.39200000000005</v>
      </c>
      <c r="O24">
        <v>524.97700000000009</v>
      </c>
      <c r="P24">
        <v>125.11400000000003</v>
      </c>
      <c r="Q24">
        <v>672.88000000000011</v>
      </c>
      <c r="R24">
        <v>324.81300000000005</v>
      </c>
      <c r="S24">
        <v>100.22000000000003</v>
      </c>
      <c r="T24">
        <v>408.31700000000006</v>
      </c>
      <c r="U24">
        <v>169.79400000000004</v>
      </c>
      <c r="V24">
        <v>708.36000000000013</v>
      </c>
      <c r="W24">
        <v>611.58699999999999</v>
      </c>
      <c r="X24">
        <v>491.96999999999997</v>
      </c>
      <c r="Y24">
        <v>1247.8410000000001</v>
      </c>
      <c r="Z24">
        <v>579.65300000000002</v>
      </c>
      <c r="AA24">
        <v>988.54</v>
      </c>
      <c r="AB24">
        <v>537.9380000000001</v>
      </c>
      <c r="AC24">
        <v>50.720000000000027</v>
      </c>
    </row>
    <row r="25" spans="1:29" x14ac:dyDescent="0.2">
      <c r="A25" t="s">
        <v>61</v>
      </c>
      <c r="C25">
        <v>16.431999999999999</v>
      </c>
      <c r="D25">
        <v>14.254</v>
      </c>
      <c r="E25">
        <v>11.28</v>
      </c>
      <c r="F25">
        <v>5.66</v>
      </c>
      <c r="G25">
        <v>16.885000000000002</v>
      </c>
      <c r="H25">
        <v>11.178000000000001</v>
      </c>
      <c r="I25">
        <v>5.0010000000000003</v>
      </c>
      <c r="J25">
        <v>4.5650000000000004</v>
      </c>
      <c r="K25">
        <v>4.2679999999999998</v>
      </c>
      <c r="L25">
        <v>3.9830000000000001</v>
      </c>
      <c r="M25">
        <v>4.0650000000000004</v>
      </c>
      <c r="N25">
        <v>4.3410000000000002</v>
      </c>
      <c r="O25">
        <v>3.5179999999999998</v>
      </c>
      <c r="P25">
        <v>1.25</v>
      </c>
      <c r="Q25">
        <v>2.0369999999999999</v>
      </c>
      <c r="R25">
        <v>1.8260000000000001</v>
      </c>
      <c r="S25">
        <v>3.2189999999999999</v>
      </c>
      <c r="T25">
        <v>0.434</v>
      </c>
      <c r="U25">
        <v>1.034</v>
      </c>
      <c r="V25">
        <v>2.0179999999999998</v>
      </c>
      <c r="W25">
        <v>1.615</v>
      </c>
      <c r="X25">
        <v>2.5099999999999998</v>
      </c>
      <c r="Y25">
        <v>2.0750000000000002</v>
      </c>
      <c r="Z25">
        <v>2.8090000000000002</v>
      </c>
      <c r="AA25">
        <v>2.3370000000000002</v>
      </c>
      <c r="AB25">
        <v>2.649</v>
      </c>
      <c r="AC25">
        <v>20.541</v>
      </c>
    </row>
    <row r="26" spans="1:29" x14ac:dyDescent="0.2">
      <c r="A26" t="s">
        <v>60</v>
      </c>
      <c r="C26">
        <v>16.703611106584109</v>
      </c>
      <c r="D26">
        <v>14.566280101659448</v>
      </c>
      <c r="E26">
        <v>11.672120629945528</v>
      </c>
      <c r="F26">
        <v>6.4059035272161262</v>
      </c>
      <c r="G26">
        <v>17.149438037440181</v>
      </c>
      <c r="H26">
        <v>11.573576975162002</v>
      </c>
      <c r="I26">
        <v>5.8318094104660174</v>
      </c>
      <c r="J26">
        <v>5.4625291761234562</v>
      </c>
      <c r="K26">
        <v>5.2168787603316984</v>
      </c>
      <c r="L26">
        <v>4.9864104323651501</v>
      </c>
      <c r="M26">
        <v>5.0521505321991356</v>
      </c>
      <c r="N26">
        <v>5.2767680449305336</v>
      </c>
      <c r="O26">
        <v>4.6234536874505405</v>
      </c>
      <c r="P26">
        <v>3.25</v>
      </c>
      <c r="Q26">
        <v>3.6262058683974354</v>
      </c>
      <c r="R26">
        <v>3.5120187926604265</v>
      </c>
      <c r="S26">
        <v>4.4002228352664146</v>
      </c>
      <c r="T26">
        <v>3.0312301133368282</v>
      </c>
      <c r="U26">
        <v>3.1731933442511817</v>
      </c>
      <c r="V26">
        <v>3.6155668988417293</v>
      </c>
      <c r="W26">
        <v>3.4070845307975559</v>
      </c>
      <c r="X26">
        <v>3.9115342258505166</v>
      </c>
      <c r="Y26">
        <v>3.6476876236870943</v>
      </c>
      <c r="Z26">
        <v>4.1098030366429974</v>
      </c>
      <c r="AA26">
        <v>3.8028369673179525</v>
      </c>
      <c r="AB26">
        <v>4.0021495474307303</v>
      </c>
      <c r="AC26">
        <v>20.758918107647133</v>
      </c>
    </row>
    <row r="27" spans="1:29" x14ac:dyDescent="0.2">
      <c r="A27" t="s">
        <v>59</v>
      </c>
      <c r="G27">
        <v>0.29762812324546511</v>
      </c>
      <c r="H27">
        <v>0.34821440959295263</v>
      </c>
      <c r="I27">
        <v>1.2450959045514542</v>
      </c>
      <c r="J27">
        <v>1.3118312649670205</v>
      </c>
      <c r="K27">
        <v>0.69928472788118312</v>
      </c>
      <c r="L27">
        <v>0.83434397623960932</v>
      </c>
      <c r="M27">
        <v>5.5256213192344656</v>
      </c>
      <c r="N27">
        <v>4.2287635032701978</v>
      </c>
      <c r="O27">
        <v>3.0106152191185678</v>
      </c>
      <c r="P27">
        <v>0.71749831425910193</v>
      </c>
      <c r="Q27">
        <v>3.8588028973469353</v>
      </c>
      <c r="R27">
        <v>1.8627234358220635</v>
      </c>
      <c r="S27">
        <v>0.57473728803369084</v>
      </c>
      <c r="T27">
        <v>2.3415985356022002</v>
      </c>
      <c r="U27">
        <v>0.97372723093586611</v>
      </c>
      <c r="V27">
        <v>4.0622720549944642</v>
      </c>
      <c r="W27">
        <v>3.507302472327487</v>
      </c>
      <c r="X27">
        <v>2.8213281140883533</v>
      </c>
      <c r="Y27">
        <v>7.1560641811739041</v>
      </c>
      <c r="Z27">
        <v>3.3241687609318791</v>
      </c>
      <c r="AA27">
        <v>5.6690361076913245</v>
      </c>
      <c r="AB27">
        <v>3.0849433970292113</v>
      </c>
      <c r="AC27">
        <v>0.29086684543074043</v>
      </c>
    </row>
    <row r="29" spans="1:29" s="1" customFormat="1" x14ac:dyDescent="0.2">
      <c r="A29" s="1" t="s">
        <v>325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 t="s">
        <v>283</v>
      </c>
      <c r="L29" s="1" t="s">
        <v>283</v>
      </c>
      <c r="M29" s="1" t="s">
        <v>283</v>
      </c>
      <c r="N29" s="1" t="s">
        <v>283</v>
      </c>
      <c r="O29" s="1" t="s">
        <v>283</v>
      </c>
      <c r="P29" s="1" t="s">
        <v>283</v>
      </c>
      <c r="Q29" s="1" t="s">
        <v>283</v>
      </c>
      <c r="R29" s="1" t="s">
        <v>283</v>
      </c>
      <c r="S29" s="1" t="s">
        <v>283</v>
      </c>
      <c r="T29" s="1" t="s">
        <v>283</v>
      </c>
      <c r="U29" s="1" t="s">
        <v>283</v>
      </c>
      <c r="V29" s="1" t="s">
        <v>283</v>
      </c>
      <c r="W29" s="1" t="s">
        <v>283</v>
      </c>
      <c r="X29" s="1" t="s">
        <v>283</v>
      </c>
      <c r="Y29" s="1" t="s">
        <v>283</v>
      </c>
    </row>
    <row r="30" spans="1:29" x14ac:dyDescent="0.2">
      <c r="A30" t="s">
        <v>63</v>
      </c>
      <c r="C30">
        <v>267.22300000000001</v>
      </c>
      <c r="D30">
        <v>296.02300000000002</v>
      </c>
      <c r="E30">
        <v>474.03100000000001</v>
      </c>
      <c r="F30">
        <v>314.02</v>
      </c>
      <c r="G30">
        <v>330.37900000000002</v>
      </c>
      <c r="H30">
        <v>289.06599999999997</v>
      </c>
      <c r="I30">
        <v>357.53100000000001</v>
      </c>
      <c r="J30">
        <v>457.54700000000003</v>
      </c>
      <c r="K30">
        <v>308.91800000000001</v>
      </c>
      <c r="L30">
        <v>274.53100000000001</v>
      </c>
      <c r="M30">
        <v>455.32</v>
      </c>
      <c r="N30">
        <v>439.71100000000001</v>
      </c>
      <c r="O30">
        <v>699.88300000000004</v>
      </c>
      <c r="P30">
        <v>574.59799999999996</v>
      </c>
      <c r="Q30">
        <v>607.98800000000006</v>
      </c>
      <c r="R30">
        <v>633.17999999999995</v>
      </c>
      <c r="S30">
        <v>328.875</v>
      </c>
      <c r="T30">
        <v>501.67200000000003</v>
      </c>
      <c r="U30">
        <v>787.95699999999999</v>
      </c>
      <c r="V30">
        <v>761.16</v>
      </c>
      <c r="W30">
        <v>955.07799999999997</v>
      </c>
      <c r="X30">
        <v>405.95699999999999</v>
      </c>
      <c r="Y30">
        <v>370.66</v>
      </c>
    </row>
    <row r="31" spans="1:29" x14ac:dyDescent="0.2">
      <c r="A31" t="s">
        <v>62</v>
      </c>
      <c r="C31">
        <v>50.720000000000027</v>
      </c>
      <c r="D31">
        <v>79.520000000000039</v>
      </c>
      <c r="E31">
        <v>257.52800000000002</v>
      </c>
      <c r="F31">
        <v>97.516999999999996</v>
      </c>
      <c r="G31">
        <v>113.87600000000003</v>
      </c>
      <c r="H31">
        <v>72.562999999999988</v>
      </c>
      <c r="I31">
        <v>141.02800000000002</v>
      </c>
      <c r="J31">
        <v>241.04400000000004</v>
      </c>
      <c r="K31">
        <v>92.41500000000002</v>
      </c>
      <c r="L31">
        <v>58.02800000000002</v>
      </c>
      <c r="M31">
        <v>238.81700000000001</v>
      </c>
      <c r="N31">
        <v>223.20800000000003</v>
      </c>
      <c r="O31">
        <v>483.38000000000005</v>
      </c>
      <c r="P31">
        <v>358.09499999999997</v>
      </c>
      <c r="Q31">
        <v>391.48500000000007</v>
      </c>
      <c r="R31">
        <v>416.67699999999996</v>
      </c>
      <c r="S31">
        <v>112.37200000000001</v>
      </c>
      <c r="T31">
        <v>285.16900000000004</v>
      </c>
      <c r="U31">
        <v>571.45399999999995</v>
      </c>
      <c r="V31">
        <v>544.65699999999993</v>
      </c>
      <c r="W31">
        <v>738.57500000000005</v>
      </c>
      <c r="X31">
        <v>189.45400000000001</v>
      </c>
      <c r="Y31">
        <v>154.15700000000004</v>
      </c>
    </row>
    <row r="32" spans="1:29" x14ac:dyDescent="0.2">
      <c r="A32" t="s">
        <v>61</v>
      </c>
      <c r="C32">
        <v>20.658000000000001</v>
      </c>
      <c r="D32">
        <v>16.946999999999999</v>
      </c>
      <c r="E32">
        <v>14.154</v>
      </c>
      <c r="F32">
        <v>11.454000000000001</v>
      </c>
      <c r="G32">
        <v>7.452</v>
      </c>
      <c r="H32">
        <v>4.7649999999999997</v>
      </c>
      <c r="I32">
        <v>6.649</v>
      </c>
      <c r="J32">
        <v>1.3540000000000001</v>
      </c>
      <c r="K32">
        <v>10.204000000000001</v>
      </c>
      <c r="L32">
        <v>6.5049999999999999</v>
      </c>
      <c r="M32">
        <v>5.226</v>
      </c>
      <c r="N32">
        <v>4.6859999999999999</v>
      </c>
      <c r="O32">
        <v>4.165</v>
      </c>
      <c r="P32">
        <v>3.754</v>
      </c>
      <c r="Q32">
        <v>4.4420000000000002</v>
      </c>
      <c r="R32">
        <v>2.1869999999999998</v>
      </c>
      <c r="S32">
        <v>1.9970000000000001</v>
      </c>
      <c r="T32">
        <v>2.1160000000000001</v>
      </c>
      <c r="U32">
        <v>2.0369999999999999</v>
      </c>
      <c r="V32">
        <v>2.7679999999999998</v>
      </c>
      <c r="W32">
        <v>2.21</v>
      </c>
      <c r="X32">
        <v>2.6110000000000002</v>
      </c>
      <c r="Y32">
        <v>1.7290000000000001</v>
      </c>
    </row>
    <row r="33" spans="1:25" x14ac:dyDescent="0.2">
      <c r="A33" t="s">
        <v>60</v>
      </c>
      <c r="C33">
        <v>21.041695844204195</v>
      </c>
      <c r="D33">
        <v>17.412662317979983</v>
      </c>
      <c r="E33">
        <v>14.708355312542595</v>
      </c>
      <c r="F33">
        <v>12.132358220890117</v>
      </c>
      <c r="G33">
        <v>8.4576772225002763</v>
      </c>
      <c r="H33">
        <v>6.2213523449488051</v>
      </c>
      <c r="I33">
        <v>7.7594588084479188</v>
      </c>
      <c r="J33">
        <v>4.222951100829845</v>
      </c>
      <c r="K33">
        <v>10.960000729926984</v>
      </c>
      <c r="L33">
        <v>7.6364275024385586</v>
      </c>
      <c r="M33">
        <v>6.5811151030809363</v>
      </c>
      <c r="N33">
        <v>6.1610547798246369</v>
      </c>
      <c r="O33">
        <v>5.7747056202026439</v>
      </c>
      <c r="P33">
        <v>5.4856645905487147</v>
      </c>
      <c r="Q33">
        <v>5.9775717477919077</v>
      </c>
      <c r="R33">
        <v>4.5588341711450751</v>
      </c>
      <c r="S33">
        <v>4.4707951194390469</v>
      </c>
      <c r="T33">
        <v>4.5252023159191461</v>
      </c>
      <c r="U33">
        <v>4.4888048520736561</v>
      </c>
      <c r="V33">
        <v>4.864342093233164</v>
      </c>
      <c r="W33">
        <v>4.5699124718094986</v>
      </c>
      <c r="X33">
        <v>4.7767479523206999</v>
      </c>
      <c r="Y33">
        <v>4.3576875748497619</v>
      </c>
    </row>
    <row r="34" spans="1:25" x14ac:dyDescent="0.2">
      <c r="A34" t="s">
        <v>59</v>
      </c>
      <c r="K34">
        <v>0.52997751420508421</v>
      </c>
      <c r="L34">
        <v>0.33277644532048506</v>
      </c>
      <c r="M34">
        <v>1.3695573230527032</v>
      </c>
      <c r="N34">
        <v>1.2800435101519063</v>
      </c>
      <c r="O34">
        <v>2.7720665564730136</v>
      </c>
      <c r="P34">
        <v>2.0535875988667378</v>
      </c>
      <c r="Q34">
        <v>2.2450711156043646</v>
      </c>
      <c r="R34">
        <v>2.3895410992418089</v>
      </c>
      <c r="S34">
        <v>0.64442604800361103</v>
      </c>
      <c r="T34">
        <v>1.6353747524573894</v>
      </c>
      <c r="U34">
        <v>3.2771494930752807</v>
      </c>
      <c r="V34">
        <v>3.1234752253898006</v>
      </c>
      <c r="W34">
        <v>4.2355477201105876</v>
      </c>
      <c r="X34">
        <v>1.0864725420787751</v>
      </c>
      <c r="Y34">
        <v>0.8840528448554148</v>
      </c>
    </row>
    <row r="36" spans="1:25" s="1" customFormat="1" x14ac:dyDescent="0.2">
      <c r="A36" s="1" t="s">
        <v>326</v>
      </c>
      <c r="C36" s="1">
        <v>1</v>
      </c>
      <c r="D36" s="1">
        <v>1</v>
      </c>
      <c r="E36" s="1" t="s">
        <v>283</v>
      </c>
      <c r="F36" s="1" t="s">
        <v>283</v>
      </c>
      <c r="G36" s="1" t="s">
        <v>283</v>
      </c>
      <c r="H36" s="1" t="s">
        <v>283</v>
      </c>
    </row>
    <row r="37" spans="1:25" x14ac:dyDescent="0.2">
      <c r="A37" t="s">
        <v>63</v>
      </c>
      <c r="C37">
        <v>326.36700000000002</v>
      </c>
      <c r="D37">
        <v>388.738</v>
      </c>
      <c r="E37">
        <v>355.238</v>
      </c>
      <c r="F37">
        <v>293.08999999999997</v>
      </c>
      <c r="G37">
        <v>429.12900000000002</v>
      </c>
      <c r="H37">
        <v>317.25</v>
      </c>
    </row>
    <row r="38" spans="1:25" x14ac:dyDescent="0.2">
      <c r="A38" t="s">
        <v>62</v>
      </c>
      <c r="C38">
        <v>109.86400000000003</v>
      </c>
      <c r="D38">
        <v>172.23500000000001</v>
      </c>
      <c r="E38">
        <v>138.73500000000001</v>
      </c>
      <c r="F38">
        <v>76.586999999999989</v>
      </c>
      <c r="G38">
        <v>212.62600000000003</v>
      </c>
      <c r="H38">
        <v>100.74700000000001</v>
      </c>
    </row>
    <row r="39" spans="1:25" x14ac:dyDescent="0.2">
      <c r="A39" t="s">
        <v>61</v>
      </c>
      <c r="C39">
        <v>0.23</v>
      </c>
      <c r="D39">
        <v>2.2890000000000001</v>
      </c>
      <c r="E39">
        <v>2.6669999999999998</v>
      </c>
      <c r="F39">
        <v>1.659</v>
      </c>
      <c r="G39">
        <v>1.5569999999999999</v>
      </c>
      <c r="H39">
        <v>1.0620000000000001</v>
      </c>
    </row>
    <row r="40" spans="1:25" x14ac:dyDescent="0.2">
      <c r="A40" t="s">
        <v>60</v>
      </c>
      <c r="C40">
        <v>1.0261091559868276</v>
      </c>
      <c r="D40">
        <v>2.4979033207872559</v>
      </c>
      <c r="E40">
        <v>2.8483133605697248</v>
      </c>
      <c r="F40">
        <v>1.9370805352385325</v>
      </c>
      <c r="G40">
        <v>1.850472642326819</v>
      </c>
      <c r="H40">
        <v>1.4587131314963886</v>
      </c>
    </row>
    <row r="41" spans="1:25" x14ac:dyDescent="0.2">
      <c r="A41" t="s">
        <v>59</v>
      </c>
      <c r="E41">
        <v>0.79561143140445101</v>
      </c>
      <c r="F41">
        <v>0.43920778964913454</v>
      </c>
      <c r="G41">
        <v>1.2193583177554532</v>
      </c>
      <c r="H41">
        <v>0.57775950466503934</v>
      </c>
    </row>
    <row r="43" spans="1:25" x14ac:dyDescent="0.2">
      <c r="C43" t="s">
        <v>294</v>
      </c>
    </row>
    <row r="44" spans="1:25" x14ac:dyDescent="0.2">
      <c r="C44">
        <v>38.878374999999998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9646-9DF8-6A4B-98F1-17945CD50761}">
  <dimension ref="A1:AD44"/>
  <sheetViews>
    <sheetView workbookViewId="0">
      <selection activeCell="T43" sqref="T43"/>
    </sheetView>
  </sheetViews>
  <sheetFormatPr baseColWidth="10" defaultRowHeight="15" x14ac:dyDescent="0.2"/>
  <cols>
    <col min="1" max="1" width="34.33203125" customWidth="1"/>
    <col min="2" max="2" width="18.1640625" customWidth="1"/>
  </cols>
  <sheetData>
    <row r="1" spans="1:30" s="1" customFormat="1" x14ac:dyDescent="0.2">
      <c r="A1" s="1" t="s">
        <v>315</v>
      </c>
      <c r="B1" s="1" t="s">
        <v>70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 t="s">
        <v>283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  <c r="N1" s="1" t="s">
        <v>283</v>
      </c>
      <c r="O1" s="1" t="s">
        <v>283</v>
      </c>
      <c r="P1" s="1" t="s">
        <v>283</v>
      </c>
      <c r="Q1" s="1" t="s">
        <v>283</v>
      </c>
      <c r="R1" s="1" t="s">
        <v>283</v>
      </c>
      <c r="S1" s="1" t="s">
        <v>283</v>
      </c>
      <c r="T1" s="1" t="s">
        <v>283</v>
      </c>
      <c r="U1" s="1" t="s">
        <v>283</v>
      </c>
      <c r="V1" s="1" t="s">
        <v>283</v>
      </c>
      <c r="W1" s="1" t="s">
        <v>283</v>
      </c>
      <c r="X1" s="1" t="s">
        <v>283</v>
      </c>
      <c r="Y1" s="1" t="s">
        <v>283</v>
      </c>
      <c r="Z1" s="1" t="s">
        <v>283</v>
      </c>
      <c r="AA1" s="1" t="s">
        <v>283</v>
      </c>
      <c r="AB1" s="1" t="s">
        <v>283</v>
      </c>
      <c r="AC1" s="1" t="s">
        <v>283</v>
      </c>
      <c r="AD1" s="1" t="s">
        <v>283</v>
      </c>
    </row>
    <row r="2" spans="1:30" x14ac:dyDescent="0.2">
      <c r="A2" t="s">
        <v>63</v>
      </c>
      <c r="B2">
        <v>222.50899999999999</v>
      </c>
      <c r="C2">
        <v>580.33600000000001</v>
      </c>
      <c r="D2">
        <v>531.18799999999999</v>
      </c>
      <c r="E2">
        <v>621.78099999999995</v>
      </c>
      <c r="F2">
        <v>500.16399999999999</v>
      </c>
      <c r="G2">
        <v>446.16399999999999</v>
      </c>
      <c r="H2">
        <v>918.62099999999998</v>
      </c>
      <c r="I2">
        <v>842.02</v>
      </c>
      <c r="J2">
        <v>823.81200000000001</v>
      </c>
      <c r="K2">
        <v>840.44100000000003</v>
      </c>
      <c r="L2">
        <v>935.94899999999996</v>
      </c>
      <c r="M2">
        <v>1007.3049999999999</v>
      </c>
      <c r="N2">
        <v>933.93</v>
      </c>
      <c r="O2">
        <v>415.99599999999998</v>
      </c>
      <c r="P2">
        <v>499.22699999999998</v>
      </c>
      <c r="Q2">
        <v>625.40200000000004</v>
      </c>
      <c r="R2">
        <v>359.07400000000001</v>
      </c>
      <c r="S2">
        <v>378.69900000000001</v>
      </c>
      <c r="T2">
        <v>890.61300000000006</v>
      </c>
      <c r="U2">
        <v>580.30499999999995</v>
      </c>
      <c r="V2">
        <v>533.43799999999999</v>
      </c>
      <c r="W2">
        <v>830.69899999999996</v>
      </c>
      <c r="X2">
        <v>341.59800000000001</v>
      </c>
      <c r="Y2">
        <v>801.47299999999996</v>
      </c>
      <c r="Z2">
        <v>1014.371</v>
      </c>
      <c r="AA2">
        <v>769.64800000000002</v>
      </c>
      <c r="AB2">
        <v>1339.7070000000001</v>
      </c>
      <c r="AC2">
        <v>1597.4259999999999</v>
      </c>
      <c r="AD2">
        <v>921.42200000000003</v>
      </c>
    </row>
    <row r="3" spans="1:30" x14ac:dyDescent="0.2">
      <c r="A3" t="s">
        <v>62</v>
      </c>
      <c r="C3">
        <v>357.827</v>
      </c>
      <c r="D3">
        <v>308.67899999999997</v>
      </c>
      <c r="E3">
        <v>399.27199999999993</v>
      </c>
      <c r="F3">
        <v>277.65499999999997</v>
      </c>
      <c r="G3">
        <v>223.655</v>
      </c>
      <c r="H3">
        <v>696.11199999999997</v>
      </c>
      <c r="I3">
        <v>619.51099999999997</v>
      </c>
      <c r="J3">
        <v>601.303</v>
      </c>
      <c r="K3">
        <v>617.93200000000002</v>
      </c>
      <c r="L3">
        <v>713.43999999999994</v>
      </c>
      <c r="M3">
        <v>784.79599999999994</v>
      </c>
      <c r="N3">
        <v>711.42099999999994</v>
      </c>
      <c r="O3">
        <v>193.48699999999999</v>
      </c>
      <c r="P3">
        <v>276.71799999999996</v>
      </c>
      <c r="Q3">
        <v>402.89300000000003</v>
      </c>
      <c r="R3">
        <v>136.56500000000003</v>
      </c>
      <c r="S3">
        <v>156.19000000000003</v>
      </c>
      <c r="T3">
        <v>668.10400000000004</v>
      </c>
      <c r="U3">
        <v>357.79599999999994</v>
      </c>
      <c r="V3">
        <v>310.92899999999997</v>
      </c>
      <c r="W3">
        <v>608.18999999999994</v>
      </c>
      <c r="X3">
        <v>119.08900000000003</v>
      </c>
      <c r="Y3">
        <v>578.96399999999994</v>
      </c>
      <c r="Z3">
        <v>791.86199999999997</v>
      </c>
      <c r="AA3">
        <v>547.13900000000001</v>
      </c>
      <c r="AB3">
        <v>1117.1980000000001</v>
      </c>
      <c r="AC3">
        <v>1374.9169999999999</v>
      </c>
      <c r="AD3">
        <v>698.91300000000001</v>
      </c>
    </row>
    <row r="4" spans="1:30" x14ac:dyDescent="0.2">
      <c r="A4" t="s">
        <v>61</v>
      </c>
      <c r="C4">
        <v>1.081</v>
      </c>
      <c r="D4">
        <v>1.0469999999999999</v>
      </c>
      <c r="E4">
        <v>4.0410000000000004</v>
      </c>
      <c r="F4">
        <v>4.3239999999999998</v>
      </c>
      <c r="G4">
        <v>12.792</v>
      </c>
      <c r="H4">
        <v>1.7350000000000001</v>
      </c>
      <c r="I4">
        <v>1.4610000000000001</v>
      </c>
      <c r="J4">
        <v>0.85099999999999998</v>
      </c>
      <c r="K4">
        <v>1.7490000000000001</v>
      </c>
      <c r="L4">
        <v>2.415</v>
      </c>
      <c r="M4">
        <v>2.6850000000000001</v>
      </c>
      <c r="N4">
        <v>2.589</v>
      </c>
      <c r="O4">
        <v>3.5859999999999999</v>
      </c>
      <c r="P4">
        <v>3.867</v>
      </c>
      <c r="Q4">
        <v>6.415</v>
      </c>
      <c r="R4">
        <v>4.0960000000000001</v>
      </c>
      <c r="S4">
        <v>5.0519999999999996</v>
      </c>
      <c r="T4">
        <v>5.2450000000000001</v>
      </c>
      <c r="U4">
        <v>2.7090000000000001</v>
      </c>
      <c r="V4">
        <v>3.0489999999999999</v>
      </c>
      <c r="W4">
        <v>2.5819999999999999</v>
      </c>
      <c r="X4">
        <v>3.8090000000000002</v>
      </c>
      <c r="Y4">
        <v>2.048</v>
      </c>
      <c r="Z4">
        <v>2.6389999999999998</v>
      </c>
      <c r="AA4">
        <v>3.069</v>
      </c>
      <c r="AB4">
        <v>2.173</v>
      </c>
      <c r="AC4">
        <v>2.7879999999999998</v>
      </c>
      <c r="AD4">
        <v>3.5640000000000001</v>
      </c>
    </row>
    <row r="5" spans="1:30" x14ac:dyDescent="0.2">
      <c r="A5" t="s">
        <v>60</v>
      </c>
      <c r="C5">
        <v>1.081</v>
      </c>
      <c r="D5">
        <v>1.0469999999999999</v>
      </c>
      <c r="E5">
        <v>4.0410000000000004</v>
      </c>
      <c r="F5">
        <v>4.3239999999999998</v>
      </c>
      <c r="G5">
        <v>12.792</v>
      </c>
      <c r="H5">
        <v>1.7350000000000001</v>
      </c>
      <c r="I5">
        <v>1.4610000000000001</v>
      </c>
      <c r="J5">
        <v>0.85099999999999998</v>
      </c>
      <c r="K5">
        <v>1.7490000000000001</v>
      </c>
      <c r="L5">
        <v>2.415</v>
      </c>
      <c r="M5">
        <v>2.6850000000000001</v>
      </c>
      <c r="N5">
        <v>2.589</v>
      </c>
      <c r="O5">
        <v>3.5859999999999999</v>
      </c>
      <c r="P5">
        <v>3.867</v>
      </c>
      <c r="Q5">
        <v>6.415</v>
      </c>
      <c r="R5">
        <v>4.0960000000000001</v>
      </c>
      <c r="S5">
        <v>5.0519999999999996</v>
      </c>
      <c r="T5">
        <v>5.2450000000000001</v>
      </c>
      <c r="U5">
        <v>2.7090000000000001</v>
      </c>
      <c r="V5">
        <v>3.0489999999999999</v>
      </c>
      <c r="W5">
        <v>2.5819999999999999</v>
      </c>
      <c r="X5">
        <v>3.8090000000000002</v>
      </c>
      <c r="Y5">
        <v>2.048</v>
      </c>
      <c r="Z5">
        <v>2.6389999999999998</v>
      </c>
      <c r="AA5">
        <v>3.069</v>
      </c>
      <c r="AB5">
        <v>2.173</v>
      </c>
      <c r="AC5">
        <v>2.7879999999999998</v>
      </c>
      <c r="AD5">
        <v>3.5640000000000001</v>
      </c>
    </row>
    <row r="6" spans="1:30" x14ac:dyDescent="0.2">
      <c r="A6" t="s">
        <v>59</v>
      </c>
      <c r="H6">
        <v>1.9860786446908851</v>
      </c>
      <c r="I6">
        <v>1.7675281668051908</v>
      </c>
      <c r="J6">
        <v>1.7155788828357554</v>
      </c>
      <c r="K6">
        <v>1.7630231185084126</v>
      </c>
      <c r="L6">
        <v>2.0355171987672458</v>
      </c>
      <c r="M6">
        <v>2.2391031558697851</v>
      </c>
      <c r="N6">
        <v>2.0297567855239302</v>
      </c>
      <c r="O6">
        <v>0.55203817593333449</v>
      </c>
      <c r="P6">
        <v>0.78950472108162528</v>
      </c>
      <c r="Q6">
        <v>1.1494948850119591</v>
      </c>
      <c r="R6">
        <v>0.38963389528152192</v>
      </c>
      <c r="S6">
        <v>0.44562602499923781</v>
      </c>
      <c r="T6">
        <v>1.9061689596394822</v>
      </c>
      <c r="U6">
        <v>1.0208285372983368</v>
      </c>
      <c r="V6">
        <v>0.88711219877705338</v>
      </c>
      <c r="W6">
        <v>1.7352281973512156</v>
      </c>
      <c r="X6">
        <v>0.33977308208678042</v>
      </c>
      <c r="Y6">
        <v>1.6518434338796251</v>
      </c>
      <c r="Z6">
        <v>2.2592631756703141</v>
      </c>
      <c r="AA6">
        <v>1.5610434579170109</v>
      </c>
      <c r="AB6">
        <v>3.1874800171400115</v>
      </c>
      <c r="AC6">
        <v>3.922778650450585</v>
      </c>
      <c r="AD6">
        <v>1.9940701838164558</v>
      </c>
    </row>
    <row r="8" spans="1:30" s="1" customFormat="1" x14ac:dyDescent="0.2">
      <c r="A8" s="1" t="s">
        <v>316</v>
      </c>
      <c r="C8" s="1">
        <v>1</v>
      </c>
      <c r="D8" s="1">
        <v>1</v>
      </c>
      <c r="E8" s="1">
        <v>1</v>
      </c>
      <c r="F8" s="1">
        <v>1</v>
      </c>
      <c r="G8" s="1" t="s">
        <v>283</v>
      </c>
      <c r="H8" s="1" t="s">
        <v>283</v>
      </c>
      <c r="I8" s="1" t="s">
        <v>283</v>
      </c>
      <c r="J8" s="1" t="s">
        <v>283</v>
      </c>
      <c r="K8" s="1" t="s">
        <v>283</v>
      </c>
      <c r="L8" s="1" t="s">
        <v>283</v>
      </c>
      <c r="M8" s="1" t="s">
        <v>283</v>
      </c>
      <c r="N8" s="1" t="s">
        <v>283</v>
      </c>
      <c r="O8" s="1" t="s">
        <v>283</v>
      </c>
      <c r="P8" s="1" t="s">
        <v>283</v>
      </c>
      <c r="Q8" s="1" t="s">
        <v>283</v>
      </c>
      <c r="R8" s="1" t="s">
        <v>283</v>
      </c>
      <c r="S8" s="1" t="s">
        <v>283</v>
      </c>
      <c r="T8" s="1" t="s">
        <v>283</v>
      </c>
      <c r="U8" s="1" t="s">
        <v>283</v>
      </c>
    </row>
    <row r="9" spans="1:30" x14ac:dyDescent="0.2">
      <c r="A9" t="s">
        <v>63</v>
      </c>
      <c r="C9">
        <v>819.16800000000001</v>
      </c>
      <c r="D9">
        <v>553.52</v>
      </c>
      <c r="E9">
        <v>652.85199999999998</v>
      </c>
      <c r="F9">
        <v>587.19100000000003</v>
      </c>
      <c r="G9">
        <v>670</v>
      </c>
      <c r="H9">
        <v>621.31200000000001</v>
      </c>
      <c r="I9">
        <v>678.79300000000001</v>
      </c>
      <c r="J9">
        <v>1026.777</v>
      </c>
      <c r="K9">
        <v>684.125</v>
      </c>
      <c r="L9">
        <v>1025.1369999999999</v>
      </c>
      <c r="M9">
        <v>623.13300000000004</v>
      </c>
      <c r="N9">
        <v>391.03100000000001</v>
      </c>
      <c r="O9">
        <v>681.20299999999997</v>
      </c>
      <c r="P9">
        <v>997.43799999999999</v>
      </c>
      <c r="Q9">
        <v>501.49200000000002</v>
      </c>
      <c r="R9">
        <v>927.96500000000003</v>
      </c>
      <c r="S9">
        <v>492.12900000000002</v>
      </c>
      <c r="T9">
        <v>484.71100000000001</v>
      </c>
      <c r="U9">
        <v>478.70299999999997</v>
      </c>
    </row>
    <row r="10" spans="1:30" x14ac:dyDescent="0.2">
      <c r="A10" t="s">
        <v>62</v>
      </c>
      <c r="C10">
        <v>596.65899999999999</v>
      </c>
      <c r="D10">
        <v>331.01099999999997</v>
      </c>
      <c r="E10">
        <v>430.34299999999996</v>
      </c>
      <c r="F10">
        <v>364.68200000000002</v>
      </c>
      <c r="G10">
        <v>447.49099999999999</v>
      </c>
      <c r="H10">
        <v>398.803</v>
      </c>
      <c r="I10">
        <v>456.28399999999999</v>
      </c>
      <c r="J10">
        <v>804.26800000000003</v>
      </c>
      <c r="K10">
        <v>461.61599999999999</v>
      </c>
      <c r="L10">
        <v>802.62799999999993</v>
      </c>
      <c r="M10">
        <v>400.62400000000002</v>
      </c>
      <c r="N10">
        <v>168.52200000000002</v>
      </c>
      <c r="O10">
        <v>458.69399999999996</v>
      </c>
      <c r="P10">
        <v>774.92899999999997</v>
      </c>
      <c r="Q10">
        <v>278.98300000000006</v>
      </c>
      <c r="R10">
        <v>705.45600000000002</v>
      </c>
      <c r="S10">
        <v>269.62</v>
      </c>
      <c r="T10">
        <v>262.202</v>
      </c>
      <c r="U10">
        <v>256.19399999999996</v>
      </c>
    </row>
    <row r="11" spans="1:30" x14ac:dyDescent="0.2">
      <c r="A11" t="s">
        <v>61</v>
      </c>
      <c r="C11">
        <v>1.5860000000000001</v>
      </c>
      <c r="D11">
        <v>3.5710000000000002</v>
      </c>
      <c r="E11">
        <v>2.8170000000000002</v>
      </c>
      <c r="F11">
        <v>2.1389999999999998</v>
      </c>
      <c r="G11">
        <v>3.952</v>
      </c>
      <c r="H11">
        <v>4.077</v>
      </c>
      <c r="I11">
        <v>3.2629999999999999</v>
      </c>
      <c r="J11">
        <v>2.38</v>
      </c>
      <c r="K11">
        <v>3.202</v>
      </c>
      <c r="L11">
        <v>2.7</v>
      </c>
      <c r="M11">
        <v>3.5619999999999998</v>
      </c>
      <c r="N11">
        <v>4.9029999999999996</v>
      </c>
      <c r="O11">
        <v>5.3639999999999999</v>
      </c>
      <c r="P11">
        <v>2.9239999999999999</v>
      </c>
      <c r="Q11">
        <v>3.7160000000000002</v>
      </c>
      <c r="R11">
        <v>2.9540000000000002</v>
      </c>
      <c r="S11">
        <v>1.8859999999999999</v>
      </c>
      <c r="T11">
        <v>2.359</v>
      </c>
      <c r="U11">
        <v>3.2229999999999999</v>
      </c>
    </row>
    <row r="12" spans="1:30" x14ac:dyDescent="0.2">
      <c r="A12" t="s">
        <v>60</v>
      </c>
      <c r="C12">
        <v>1.8749389323388643</v>
      </c>
      <c r="D12">
        <v>3.7083744417197142</v>
      </c>
      <c r="E12">
        <v>2.9892288303172778</v>
      </c>
      <c r="F12">
        <v>2.3612117651748221</v>
      </c>
      <c r="G12">
        <v>4.0765554086753193</v>
      </c>
      <c r="H12">
        <v>4.1978481392256199</v>
      </c>
      <c r="I12">
        <v>3.412794895683009</v>
      </c>
      <c r="J12">
        <v>2.5815499220429574</v>
      </c>
      <c r="K12">
        <v>3.3545199358477511</v>
      </c>
      <c r="L12">
        <v>2.879236009777594</v>
      </c>
      <c r="M12">
        <v>3.6997086371767165</v>
      </c>
      <c r="N12">
        <v>5.0039393481536116</v>
      </c>
      <c r="O12">
        <v>5.4564178725607153</v>
      </c>
      <c r="P12">
        <v>3.0902711855110709</v>
      </c>
      <c r="Q12">
        <v>3.8482016579176306</v>
      </c>
      <c r="R12">
        <v>3.1186721533370578</v>
      </c>
      <c r="S12">
        <v>2.1347121585825102</v>
      </c>
      <c r="T12">
        <v>2.5622023729596379</v>
      </c>
      <c r="U12">
        <v>3.3745709356894542</v>
      </c>
    </row>
    <row r="13" spans="1:30" x14ac:dyDescent="0.2">
      <c r="A13" t="s">
        <v>59</v>
      </c>
      <c r="G13">
        <v>1.2767375347521217</v>
      </c>
      <c r="H13">
        <v>1.1378256972134644</v>
      </c>
      <c r="I13">
        <v>1.3018248619678097</v>
      </c>
      <c r="J13">
        <v>2.2946587609583644</v>
      </c>
      <c r="K13">
        <v>1.317037602638121</v>
      </c>
      <c r="L13">
        <v>2.2899796734303615</v>
      </c>
      <c r="M13">
        <v>1.1430211962308383</v>
      </c>
      <c r="N13">
        <v>0.48081048072809751</v>
      </c>
      <c r="O13">
        <v>1.3087008381522525</v>
      </c>
      <c r="P13">
        <v>2.2109515969436857</v>
      </c>
      <c r="Q13">
        <v>0.79596699745414157</v>
      </c>
      <c r="R13">
        <v>2.0127380311918963</v>
      </c>
      <c r="S13">
        <v>0.76925340201225734</v>
      </c>
      <c r="T13">
        <v>0.74808909025449855</v>
      </c>
      <c r="U13">
        <v>0.73094765252996152</v>
      </c>
    </row>
    <row r="15" spans="1:30" s="1" customFormat="1" x14ac:dyDescent="0.2">
      <c r="A15" s="1" t="s">
        <v>317</v>
      </c>
      <c r="C15" s="1">
        <v>1</v>
      </c>
      <c r="D15" s="1">
        <v>1</v>
      </c>
      <c r="E15" s="1" t="s">
        <v>283</v>
      </c>
      <c r="F15" s="1" t="s">
        <v>283</v>
      </c>
      <c r="G15" s="1" t="s">
        <v>283</v>
      </c>
    </row>
    <row r="16" spans="1:30" x14ac:dyDescent="0.2">
      <c r="A16" t="s">
        <v>63</v>
      </c>
      <c r="C16">
        <v>543.27300000000002</v>
      </c>
      <c r="D16">
        <v>730.24599999999998</v>
      </c>
      <c r="E16">
        <v>470.04300000000001</v>
      </c>
      <c r="F16">
        <v>425.33199999999999</v>
      </c>
      <c r="G16">
        <v>438.38299999999998</v>
      </c>
    </row>
    <row r="17" spans="1:26" x14ac:dyDescent="0.2">
      <c r="A17" t="s">
        <v>62</v>
      </c>
      <c r="C17">
        <v>320.76400000000001</v>
      </c>
      <c r="D17">
        <v>507.73699999999997</v>
      </c>
      <c r="E17">
        <v>247.53400000000002</v>
      </c>
      <c r="F17">
        <v>202.82300000000001</v>
      </c>
      <c r="G17">
        <v>215.874</v>
      </c>
    </row>
    <row r="18" spans="1:26" x14ac:dyDescent="0.2">
      <c r="A18" t="s">
        <v>61</v>
      </c>
      <c r="C18">
        <v>1.7989999999999999</v>
      </c>
      <c r="D18">
        <v>3.1059999999999999</v>
      </c>
      <c r="E18">
        <v>1.82</v>
      </c>
      <c r="F18">
        <v>2.556</v>
      </c>
      <c r="G18">
        <v>3.8170000000000002</v>
      </c>
    </row>
    <row r="19" spans="1:26" x14ac:dyDescent="0.2">
      <c r="A19" t="s">
        <v>60</v>
      </c>
      <c r="C19">
        <v>2.6900559473735859</v>
      </c>
      <c r="D19">
        <v>3.6942165610586502</v>
      </c>
      <c r="E19">
        <v>2.7041449665282369</v>
      </c>
      <c r="F19">
        <v>3.2454793174506595</v>
      </c>
      <c r="G19">
        <v>4.3092329943970311</v>
      </c>
    </row>
    <row r="20" spans="1:26" x14ac:dyDescent="0.2">
      <c r="A20" t="s">
        <v>59</v>
      </c>
      <c r="E20">
        <v>0.70623978790038622</v>
      </c>
      <c r="F20">
        <v>0.5786747376171355</v>
      </c>
      <c r="G20">
        <v>0.61591057379272318</v>
      </c>
    </row>
    <row r="22" spans="1:26" s="1" customFormat="1" x14ac:dyDescent="0.2">
      <c r="A22" s="1" t="s">
        <v>318</v>
      </c>
      <c r="C22" s="1">
        <v>1</v>
      </c>
      <c r="D22" s="1">
        <v>1</v>
      </c>
      <c r="E22" s="1">
        <v>1</v>
      </c>
      <c r="F22" s="1">
        <v>1</v>
      </c>
      <c r="G22" s="1" t="s">
        <v>283</v>
      </c>
      <c r="H22" s="1" t="s">
        <v>283</v>
      </c>
      <c r="I22" s="1" t="s">
        <v>283</v>
      </c>
      <c r="J22" s="1" t="s">
        <v>283</v>
      </c>
      <c r="K22" s="1" t="s">
        <v>283</v>
      </c>
      <c r="L22" s="1" t="s">
        <v>283</v>
      </c>
      <c r="M22" s="1" t="s">
        <v>283</v>
      </c>
      <c r="N22" s="1" t="s">
        <v>283</v>
      </c>
      <c r="O22" s="1" t="s">
        <v>283</v>
      </c>
      <c r="P22" s="1" t="s">
        <v>283</v>
      </c>
      <c r="Q22" s="1" t="s">
        <v>283</v>
      </c>
      <c r="R22" s="1" t="s">
        <v>283</v>
      </c>
      <c r="S22" s="1" t="s">
        <v>283</v>
      </c>
      <c r="T22" s="1" t="s">
        <v>283</v>
      </c>
      <c r="U22" s="1" t="s">
        <v>283</v>
      </c>
      <c r="V22" s="1" t="s">
        <v>283</v>
      </c>
      <c r="W22" s="1" t="s">
        <v>283</v>
      </c>
      <c r="X22" s="1" t="s">
        <v>283</v>
      </c>
      <c r="Y22" s="1" t="s">
        <v>283</v>
      </c>
      <c r="Z22" s="1" t="s">
        <v>283</v>
      </c>
    </row>
    <row r="23" spans="1:26" x14ac:dyDescent="0.2">
      <c r="A23" t="s">
        <v>63</v>
      </c>
      <c r="C23">
        <v>458.43400000000003</v>
      </c>
      <c r="D23">
        <v>443.34800000000001</v>
      </c>
      <c r="E23">
        <v>455.47699999999998</v>
      </c>
      <c r="F23">
        <v>605.49199999999996</v>
      </c>
      <c r="G23">
        <v>417.77300000000002</v>
      </c>
      <c r="H23">
        <v>406.27300000000002</v>
      </c>
      <c r="I23">
        <v>370.84800000000001</v>
      </c>
      <c r="J23">
        <v>351.78500000000003</v>
      </c>
      <c r="K23">
        <v>397.82</v>
      </c>
      <c r="L23">
        <v>466.89800000000002</v>
      </c>
      <c r="M23">
        <v>311.65199999999999</v>
      </c>
      <c r="N23">
        <v>375.39100000000002</v>
      </c>
      <c r="O23">
        <v>1013.168</v>
      </c>
      <c r="P23">
        <v>734.69500000000005</v>
      </c>
      <c r="Q23">
        <v>886.02700000000004</v>
      </c>
      <c r="R23">
        <v>906.17600000000004</v>
      </c>
      <c r="S23">
        <v>848.07799999999997</v>
      </c>
      <c r="T23">
        <v>678</v>
      </c>
      <c r="U23">
        <v>921.68799999999999</v>
      </c>
      <c r="V23">
        <v>788.85500000000002</v>
      </c>
      <c r="W23">
        <v>704.69500000000005</v>
      </c>
      <c r="X23">
        <v>1500.1369999999999</v>
      </c>
      <c r="Y23">
        <v>1521.1410000000001</v>
      </c>
      <c r="Z23">
        <v>644.16399999999999</v>
      </c>
    </row>
    <row r="24" spans="1:26" x14ac:dyDescent="0.2">
      <c r="A24" t="s">
        <v>62</v>
      </c>
      <c r="C24">
        <v>235.92500000000004</v>
      </c>
      <c r="D24">
        <v>220.83900000000003</v>
      </c>
      <c r="E24">
        <v>232.96799999999999</v>
      </c>
      <c r="F24">
        <v>382.98299999999995</v>
      </c>
      <c r="G24">
        <v>195.26400000000004</v>
      </c>
      <c r="H24">
        <v>183.76400000000004</v>
      </c>
      <c r="I24">
        <v>148.33900000000003</v>
      </c>
      <c r="J24">
        <v>129.27600000000004</v>
      </c>
      <c r="K24">
        <v>175.31100000000001</v>
      </c>
      <c r="L24">
        <v>244.38900000000004</v>
      </c>
      <c r="M24">
        <v>89.143000000000001</v>
      </c>
      <c r="N24">
        <v>152.88200000000003</v>
      </c>
      <c r="O24">
        <v>790.65899999999999</v>
      </c>
      <c r="P24">
        <v>512.18600000000004</v>
      </c>
      <c r="Q24">
        <v>663.51800000000003</v>
      </c>
      <c r="R24">
        <v>683.66700000000003</v>
      </c>
      <c r="S24">
        <v>625.56899999999996</v>
      </c>
      <c r="T24">
        <v>455.49099999999999</v>
      </c>
      <c r="U24">
        <v>699.17899999999997</v>
      </c>
      <c r="V24">
        <v>566.346</v>
      </c>
      <c r="W24">
        <v>482.18600000000004</v>
      </c>
      <c r="X24">
        <v>1277.6279999999999</v>
      </c>
      <c r="Y24">
        <v>1298.6320000000001</v>
      </c>
      <c r="Z24">
        <v>421.65499999999997</v>
      </c>
    </row>
    <row r="25" spans="1:26" x14ac:dyDescent="0.2">
      <c r="A25" t="s">
        <v>61</v>
      </c>
      <c r="C25">
        <v>14.208</v>
      </c>
      <c r="D25">
        <v>12.606999999999999</v>
      </c>
      <c r="E25">
        <v>1</v>
      </c>
      <c r="F25">
        <v>1.0309999999999999</v>
      </c>
      <c r="G25">
        <v>6.4950000000000001</v>
      </c>
      <c r="H25">
        <v>2.7029999999999998</v>
      </c>
      <c r="I25">
        <v>4.0309999999999997</v>
      </c>
      <c r="J25">
        <v>5.399</v>
      </c>
      <c r="K25">
        <v>3.9540000000000002</v>
      </c>
      <c r="L25">
        <v>2.778</v>
      </c>
      <c r="M25">
        <v>4.2169999999999996</v>
      </c>
      <c r="N25">
        <v>3.6829999999999998</v>
      </c>
      <c r="O25">
        <v>2.1419999999999999</v>
      </c>
      <c r="P25">
        <v>1.4119999999999999</v>
      </c>
      <c r="Q25">
        <v>0.88500000000000001</v>
      </c>
      <c r="R25">
        <v>1.4279999999999999</v>
      </c>
      <c r="S25">
        <v>1.2509999999999999</v>
      </c>
      <c r="T25">
        <v>1.3680000000000001</v>
      </c>
      <c r="U25">
        <v>2.16</v>
      </c>
      <c r="V25">
        <v>2.6789999999999998</v>
      </c>
      <c r="W25">
        <v>3.169</v>
      </c>
      <c r="X25">
        <v>2.7970000000000002</v>
      </c>
      <c r="Y25">
        <v>2.0670000000000002</v>
      </c>
      <c r="Z25">
        <v>2.3039999999999998</v>
      </c>
    </row>
    <row r="26" spans="1:26" x14ac:dyDescent="0.2">
      <c r="A26" t="s">
        <v>60</v>
      </c>
      <c r="C26">
        <v>14.243147966654002</v>
      </c>
      <c r="D26">
        <v>12.64659831733419</v>
      </c>
      <c r="E26">
        <v>1.4142135623730951</v>
      </c>
      <c r="F26">
        <v>1.4363011522657774</v>
      </c>
      <c r="G26">
        <v>6.5715314044749116</v>
      </c>
      <c r="H26">
        <v>2.8820494444058378</v>
      </c>
      <c r="I26">
        <v>4.1531868486741601</v>
      </c>
      <c r="J26">
        <v>5.4908288081126697</v>
      </c>
      <c r="K26">
        <v>4.0784943300193515</v>
      </c>
      <c r="L26">
        <v>2.952504699403542</v>
      </c>
      <c r="M26">
        <v>4.3339461233384062</v>
      </c>
      <c r="N26">
        <v>3.8163449791652742</v>
      </c>
      <c r="O26">
        <v>2.3639297789909075</v>
      </c>
      <c r="P26">
        <v>1.7302439134411078</v>
      </c>
      <c r="Q26">
        <v>1.3353744793128255</v>
      </c>
      <c r="R26">
        <v>1.7433255576627102</v>
      </c>
      <c r="S26">
        <v>1.6015620499999366</v>
      </c>
      <c r="T26">
        <v>1.6945276628016435</v>
      </c>
      <c r="U26">
        <v>2.3802520874898945</v>
      </c>
      <c r="V26">
        <v>2.8595525873814593</v>
      </c>
      <c r="W26">
        <v>3.3230349080321142</v>
      </c>
      <c r="X26">
        <v>2.9703886951037237</v>
      </c>
      <c r="Y26">
        <v>2.2961901053701981</v>
      </c>
      <c r="Z26">
        <v>2.5116560274050266</v>
      </c>
    </row>
    <row r="27" spans="1:26" x14ac:dyDescent="0.2">
      <c r="A27" t="s">
        <v>59</v>
      </c>
      <c r="G27">
        <v>0.55710813845605467</v>
      </c>
      <c r="H27">
        <v>0.52429746371701091</v>
      </c>
      <c r="I27">
        <v>0.42322632001000021</v>
      </c>
      <c r="J27">
        <v>0.36883763370127071</v>
      </c>
      <c r="K27">
        <v>0.50018019123273816</v>
      </c>
      <c r="L27">
        <v>0.69726678163479561</v>
      </c>
      <c r="M27">
        <v>0.25433408506631056</v>
      </c>
      <c r="N27">
        <v>0.43618796308299812</v>
      </c>
      <c r="O27">
        <v>2.2558308937823952</v>
      </c>
      <c r="P27">
        <v>1.4613189784253766</v>
      </c>
      <c r="Q27">
        <v>1.8930846331739819</v>
      </c>
      <c r="R27">
        <v>1.9505717884189375</v>
      </c>
      <c r="S27">
        <v>1.7848122596372886</v>
      </c>
      <c r="T27">
        <v>1.2995623519618911</v>
      </c>
      <c r="U27">
        <v>1.9948291089886805</v>
      </c>
      <c r="V27">
        <v>1.6158429909355163</v>
      </c>
      <c r="W27">
        <v>1.375725913888741</v>
      </c>
      <c r="X27">
        <v>3.6452031952604269</v>
      </c>
      <c r="Y27">
        <v>3.7051297528446772</v>
      </c>
      <c r="Z27">
        <v>1.203024787573171</v>
      </c>
    </row>
    <row r="29" spans="1:26" s="1" customFormat="1" x14ac:dyDescent="0.2">
      <c r="A29" s="1" t="s">
        <v>319</v>
      </c>
      <c r="C29" s="1">
        <v>1</v>
      </c>
      <c r="D29" s="1" t="s">
        <v>283</v>
      </c>
      <c r="E29" s="1" t="s">
        <v>283</v>
      </c>
      <c r="F29" s="1" t="s">
        <v>283</v>
      </c>
      <c r="G29" s="1" t="s">
        <v>283</v>
      </c>
      <c r="H29" s="1" t="s">
        <v>283</v>
      </c>
    </row>
    <row r="30" spans="1:26" x14ac:dyDescent="0.2">
      <c r="A30" t="s">
        <v>63</v>
      </c>
      <c r="C30">
        <v>639.44100000000003</v>
      </c>
      <c r="D30">
        <v>992.73400000000004</v>
      </c>
      <c r="E30">
        <v>720.13300000000004</v>
      </c>
      <c r="F30">
        <v>664.39800000000002</v>
      </c>
      <c r="G30">
        <v>456.16399999999999</v>
      </c>
      <c r="H30">
        <v>378.60199999999998</v>
      </c>
    </row>
    <row r="31" spans="1:26" x14ac:dyDescent="0.2">
      <c r="A31" t="s">
        <v>62</v>
      </c>
      <c r="C31">
        <v>416.93200000000002</v>
      </c>
      <c r="D31">
        <v>770.22500000000002</v>
      </c>
      <c r="E31">
        <v>497.62400000000002</v>
      </c>
      <c r="F31">
        <v>441.88900000000001</v>
      </c>
      <c r="G31">
        <v>233.655</v>
      </c>
      <c r="H31">
        <v>156.09299999999999</v>
      </c>
    </row>
    <row r="32" spans="1:26" x14ac:dyDescent="0.2">
      <c r="A32" t="s">
        <v>61</v>
      </c>
      <c r="C32">
        <v>3.7749999999999999</v>
      </c>
      <c r="D32">
        <v>2.8330000000000002</v>
      </c>
      <c r="E32">
        <v>2.218</v>
      </c>
      <c r="F32">
        <v>1.252</v>
      </c>
      <c r="G32">
        <v>1.8260000000000001</v>
      </c>
      <c r="H32">
        <v>14.315</v>
      </c>
    </row>
    <row r="33" spans="1:8" x14ac:dyDescent="0.2">
      <c r="A33" t="s">
        <v>60</v>
      </c>
      <c r="C33">
        <v>4.2720750227494833</v>
      </c>
      <c r="D33">
        <v>3.4678363571541264</v>
      </c>
      <c r="E33">
        <v>2.9865572152563895</v>
      </c>
      <c r="F33">
        <v>2.3595558904166691</v>
      </c>
      <c r="G33">
        <v>2.7081868473205466</v>
      </c>
      <c r="H33">
        <v>14.454038363031973</v>
      </c>
    </row>
    <row r="34" spans="1:8" x14ac:dyDescent="0.2">
      <c r="A34" t="s">
        <v>59</v>
      </c>
      <c r="D34">
        <v>2.1975306044243412</v>
      </c>
      <c r="E34">
        <v>1.4197721048992937</v>
      </c>
      <c r="F34">
        <v>1.2607544565009805</v>
      </c>
      <c r="G34">
        <v>0.66664158314358724</v>
      </c>
      <c r="H34">
        <v>0.44534927409056924</v>
      </c>
    </row>
    <row r="36" spans="1:8" s="1" customFormat="1" x14ac:dyDescent="0.2">
      <c r="A36" s="1" t="s">
        <v>320</v>
      </c>
      <c r="C36" s="1" t="s">
        <v>283</v>
      </c>
      <c r="D36" s="1" t="s">
        <v>283</v>
      </c>
    </row>
    <row r="37" spans="1:8" x14ac:dyDescent="0.2">
      <c r="A37" t="s">
        <v>63</v>
      </c>
      <c r="C37">
        <v>442.05099999999999</v>
      </c>
      <c r="D37">
        <v>348.53500000000003</v>
      </c>
    </row>
    <row r="38" spans="1:8" x14ac:dyDescent="0.2">
      <c r="A38" t="s">
        <v>62</v>
      </c>
      <c r="C38">
        <v>219.542</v>
      </c>
      <c r="D38">
        <v>126.02600000000004</v>
      </c>
    </row>
    <row r="39" spans="1:8" x14ac:dyDescent="0.2">
      <c r="A39" t="s">
        <v>61</v>
      </c>
      <c r="C39">
        <v>2.6179999999999999</v>
      </c>
      <c r="D39">
        <v>3.57</v>
      </c>
    </row>
    <row r="40" spans="1:8" x14ac:dyDescent="0.2">
      <c r="A40" t="s">
        <v>60</v>
      </c>
      <c r="C40">
        <v>3.9816986324934236</v>
      </c>
      <c r="D40">
        <v>4.6631427170954138</v>
      </c>
    </row>
    <row r="41" spans="1:8" x14ac:dyDescent="0.2">
      <c r="A41" t="s">
        <v>59</v>
      </c>
      <c r="C41">
        <v>0.6263757524834026</v>
      </c>
      <c r="D41">
        <v>0.35956505170980185</v>
      </c>
    </row>
    <row r="43" spans="1:8" x14ac:dyDescent="0.2">
      <c r="C43" t="s">
        <v>294</v>
      </c>
    </row>
    <row r="44" spans="1:8" x14ac:dyDescent="0.2">
      <c r="C44">
        <v>125.44908333333335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9986-E20F-5648-8267-F52F134E2D14}">
  <dimension ref="A1:V93"/>
  <sheetViews>
    <sheetView topLeftCell="A15" workbookViewId="0">
      <selection activeCell="T41" sqref="T41"/>
    </sheetView>
  </sheetViews>
  <sheetFormatPr baseColWidth="10" defaultRowHeight="15" x14ac:dyDescent="0.2"/>
  <cols>
    <col min="1" max="1" width="36.83203125" customWidth="1"/>
  </cols>
  <sheetData>
    <row r="1" spans="1:22" s="1" customFormat="1" x14ac:dyDescent="0.2">
      <c r="A1" s="1" t="s">
        <v>296</v>
      </c>
      <c r="B1" s="1" t="s">
        <v>70</v>
      </c>
      <c r="C1" s="1" t="s">
        <v>283</v>
      </c>
      <c r="D1" s="1" t="s">
        <v>283</v>
      </c>
      <c r="E1" s="1" t="s">
        <v>283</v>
      </c>
      <c r="F1" s="1" t="s">
        <v>283</v>
      </c>
      <c r="G1" s="1" t="s">
        <v>283</v>
      </c>
      <c r="H1" s="1" t="s">
        <v>283</v>
      </c>
      <c r="I1" s="1" t="s">
        <v>283</v>
      </c>
      <c r="J1" s="1" t="s">
        <v>283</v>
      </c>
      <c r="K1" s="1" t="s">
        <v>283</v>
      </c>
      <c r="L1" s="1" t="s">
        <v>283</v>
      </c>
      <c r="M1" s="1" t="s">
        <v>283</v>
      </c>
      <c r="N1" s="1" t="s">
        <v>283</v>
      </c>
      <c r="O1" s="1" t="s">
        <v>283</v>
      </c>
      <c r="P1" s="1" t="s">
        <v>283</v>
      </c>
      <c r="Q1" s="1" t="s">
        <v>283</v>
      </c>
      <c r="R1" s="1" t="s">
        <v>283</v>
      </c>
      <c r="S1" s="1" t="s">
        <v>283</v>
      </c>
      <c r="T1" s="1" t="s">
        <v>283</v>
      </c>
      <c r="U1" s="1" t="s">
        <v>283</v>
      </c>
      <c r="V1" s="1" t="s">
        <v>283</v>
      </c>
    </row>
    <row r="2" spans="1:22" x14ac:dyDescent="0.2">
      <c r="A2" t="s">
        <v>63</v>
      </c>
      <c r="B2">
        <v>218.024</v>
      </c>
      <c r="C2">
        <v>1158.5119999999999</v>
      </c>
      <c r="D2">
        <v>828.75800000000004</v>
      </c>
      <c r="E2">
        <v>1612.7149999999999</v>
      </c>
      <c r="F2">
        <v>578.42999999999995</v>
      </c>
      <c r="G2">
        <v>1789.047</v>
      </c>
      <c r="H2">
        <v>1597.105</v>
      </c>
      <c r="I2">
        <v>772.94500000000005</v>
      </c>
      <c r="J2">
        <v>752.15599999999995</v>
      </c>
      <c r="K2">
        <v>688.01599999999996</v>
      </c>
      <c r="L2">
        <v>407.99599999999998</v>
      </c>
      <c r="M2">
        <v>361.32799999999997</v>
      </c>
      <c r="N2">
        <v>338.48399999999998</v>
      </c>
      <c r="O2">
        <v>1084.152</v>
      </c>
      <c r="P2">
        <v>574.71100000000001</v>
      </c>
      <c r="Q2">
        <v>913.16</v>
      </c>
      <c r="R2">
        <v>843.34400000000005</v>
      </c>
      <c r="S2">
        <v>1456.5229999999999</v>
      </c>
      <c r="T2">
        <v>567.88699999999994</v>
      </c>
      <c r="U2">
        <v>771.78899999999999</v>
      </c>
      <c r="V2">
        <v>510.19900000000001</v>
      </c>
    </row>
    <row r="3" spans="1:22" x14ac:dyDescent="0.2">
      <c r="A3" t="s">
        <v>62</v>
      </c>
      <c r="C3">
        <v>940.48799999999994</v>
      </c>
      <c r="D3">
        <v>610.73400000000004</v>
      </c>
      <c r="E3">
        <v>1394.6909999999998</v>
      </c>
      <c r="F3">
        <v>360.40599999999995</v>
      </c>
      <c r="G3">
        <v>1571.0230000000001</v>
      </c>
      <c r="H3">
        <v>1379.0810000000001</v>
      </c>
      <c r="I3">
        <v>554.92100000000005</v>
      </c>
      <c r="J3">
        <v>534.13199999999995</v>
      </c>
      <c r="K3">
        <v>469.99199999999996</v>
      </c>
      <c r="L3">
        <v>189.97199999999998</v>
      </c>
      <c r="M3">
        <v>143.30399999999997</v>
      </c>
      <c r="N3">
        <v>120.45999999999998</v>
      </c>
      <c r="O3">
        <v>866.12800000000004</v>
      </c>
      <c r="P3">
        <v>356.68700000000001</v>
      </c>
      <c r="Q3">
        <v>695.13599999999997</v>
      </c>
      <c r="R3">
        <v>625.32000000000005</v>
      </c>
      <c r="S3">
        <v>1238.4989999999998</v>
      </c>
      <c r="T3">
        <v>349.86299999999994</v>
      </c>
      <c r="U3">
        <v>553.76499999999999</v>
      </c>
      <c r="V3">
        <v>292.17500000000001</v>
      </c>
    </row>
    <row r="4" spans="1:22" x14ac:dyDescent="0.2">
      <c r="A4" t="s">
        <v>61</v>
      </c>
      <c r="C4">
        <v>1.9059999999999999</v>
      </c>
      <c r="D4">
        <v>2.2709999999999999</v>
      </c>
      <c r="E4">
        <v>1.38</v>
      </c>
      <c r="F4">
        <v>0.72699999999999998</v>
      </c>
      <c r="G4">
        <v>1.851</v>
      </c>
      <c r="H4">
        <v>1.0860000000000001</v>
      </c>
      <c r="I4">
        <v>2.0819999999999999</v>
      </c>
      <c r="J4">
        <v>1.399</v>
      </c>
      <c r="K4">
        <v>0.879</v>
      </c>
      <c r="L4">
        <v>1.9830000000000001</v>
      </c>
      <c r="M4">
        <v>2.863</v>
      </c>
      <c r="N4">
        <v>6.8079999999999998</v>
      </c>
      <c r="O4">
        <v>1.7030000000000001</v>
      </c>
      <c r="P4">
        <v>2.1440000000000001</v>
      </c>
      <c r="Q4">
        <v>1.1140000000000001</v>
      </c>
      <c r="R4">
        <v>1.776</v>
      </c>
      <c r="S4">
        <v>2.258</v>
      </c>
      <c r="T4">
        <v>3.0910000000000002</v>
      </c>
      <c r="U4">
        <v>2.14</v>
      </c>
      <c r="V4">
        <v>1.444</v>
      </c>
    </row>
    <row r="5" spans="1:22" x14ac:dyDescent="0.2">
      <c r="A5" t="s">
        <v>60</v>
      </c>
      <c r="C5">
        <v>1.9059999999999999</v>
      </c>
      <c r="D5">
        <v>2.2709999999999999</v>
      </c>
      <c r="E5">
        <v>1.38</v>
      </c>
      <c r="F5">
        <v>0.72699999999999998</v>
      </c>
      <c r="G5">
        <v>1.851</v>
      </c>
      <c r="H5">
        <v>1.0860000000000001</v>
      </c>
      <c r="I5">
        <v>2.0819999999999999</v>
      </c>
      <c r="J5">
        <v>1.399</v>
      </c>
      <c r="K5">
        <v>0.879</v>
      </c>
      <c r="L5">
        <v>1.9830000000000001</v>
      </c>
      <c r="M5">
        <v>2.863</v>
      </c>
      <c r="N5">
        <v>6.8079999999999998</v>
      </c>
      <c r="O5">
        <v>1.7030000000000001</v>
      </c>
      <c r="P5">
        <v>2.1440000000000001</v>
      </c>
      <c r="Q5">
        <v>1.1140000000000001</v>
      </c>
      <c r="R5">
        <v>1.776</v>
      </c>
      <c r="S5">
        <v>2.258</v>
      </c>
      <c r="T5">
        <v>3.0910000000000002</v>
      </c>
      <c r="U5">
        <v>2.14</v>
      </c>
      <c r="V5">
        <v>1.444</v>
      </c>
    </row>
    <row r="6" spans="1:22" x14ac:dyDescent="0.2">
      <c r="A6" t="s">
        <v>59</v>
      </c>
      <c r="C6">
        <v>4.1381586213177934</v>
      </c>
      <c r="D6">
        <v>2.6872370167741657</v>
      </c>
      <c r="E6">
        <v>6.1366573371742481</v>
      </c>
      <c r="F6">
        <v>1.5857907767825434</v>
      </c>
      <c r="G6">
        <v>6.9125202785559683</v>
      </c>
      <c r="H6">
        <v>6.0679731476058869</v>
      </c>
      <c r="I6">
        <v>2.4416591389792233</v>
      </c>
      <c r="J6">
        <v>2.3501872865169102</v>
      </c>
      <c r="K6">
        <v>2.0679705075986003</v>
      </c>
      <c r="L6">
        <v>0.83587910702633517</v>
      </c>
      <c r="M6">
        <v>0.63053934028857894</v>
      </c>
      <c r="N6">
        <v>0.5300254628702773</v>
      </c>
      <c r="O6">
        <v>3.8109737182874617</v>
      </c>
      <c r="P6">
        <v>1.569427131618883</v>
      </c>
      <c r="Q6">
        <v>3.0586068417548824</v>
      </c>
      <c r="R6">
        <v>2.7514155939070388</v>
      </c>
      <c r="S6">
        <v>5.4494106403733653</v>
      </c>
      <c r="T6">
        <v>1.5394014487479979</v>
      </c>
      <c r="U6">
        <v>2.4365727249407203</v>
      </c>
      <c r="V6">
        <v>1.2855735481829929</v>
      </c>
    </row>
    <row r="8" spans="1:22" s="1" customFormat="1" x14ac:dyDescent="0.2">
      <c r="A8" s="1" t="s">
        <v>297</v>
      </c>
      <c r="C8" s="1">
        <v>1</v>
      </c>
      <c r="D8" s="1" t="s">
        <v>283</v>
      </c>
      <c r="E8" s="1" t="s">
        <v>283</v>
      </c>
      <c r="F8" s="1" t="s">
        <v>283</v>
      </c>
      <c r="G8" s="1" t="s">
        <v>283</v>
      </c>
      <c r="H8" s="1" t="s">
        <v>283</v>
      </c>
      <c r="I8" s="1" t="s">
        <v>283</v>
      </c>
      <c r="J8" s="1" t="s">
        <v>283</v>
      </c>
      <c r="K8" s="1" t="s">
        <v>283</v>
      </c>
      <c r="L8" s="1" t="s">
        <v>283</v>
      </c>
      <c r="M8" s="1" t="s">
        <v>283</v>
      </c>
      <c r="N8" s="1" t="s">
        <v>283</v>
      </c>
      <c r="O8" s="1" t="s">
        <v>283</v>
      </c>
      <c r="P8" s="1" t="s">
        <v>283</v>
      </c>
      <c r="Q8" s="1" t="s">
        <v>283</v>
      </c>
      <c r="R8" s="1" t="s">
        <v>283</v>
      </c>
      <c r="S8" s="1" t="s">
        <v>283</v>
      </c>
      <c r="T8" s="1" t="s">
        <v>283</v>
      </c>
      <c r="U8" s="1" t="s">
        <v>283</v>
      </c>
    </row>
    <row r="9" spans="1:22" x14ac:dyDescent="0.2">
      <c r="A9" t="s">
        <v>63</v>
      </c>
      <c r="C9">
        <v>446.51600000000002</v>
      </c>
      <c r="D9">
        <v>811.10500000000002</v>
      </c>
      <c r="E9">
        <v>931.21900000000005</v>
      </c>
      <c r="F9">
        <v>585.51599999999996</v>
      </c>
      <c r="G9">
        <v>1023.965</v>
      </c>
      <c r="H9">
        <v>750.56600000000003</v>
      </c>
      <c r="I9">
        <v>520.07399999999996</v>
      </c>
      <c r="J9">
        <v>1286.6289999999999</v>
      </c>
      <c r="K9">
        <v>545.39800000000002</v>
      </c>
      <c r="L9">
        <v>451.69099999999997</v>
      </c>
      <c r="M9">
        <v>1160.1289999999999</v>
      </c>
      <c r="N9">
        <v>1352.0940000000001</v>
      </c>
      <c r="O9">
        <v>765.01199999999994</v>
      </c>
      <c r="P9">
        <v>1329.3710000000001</v>
      </c>
      <c r="Q9">
        <v>946.12099999999998</v>
      </c>
      <c r="R9">
        <v>674.76199999999994</v>
      </c>
      <c r="S9">
        <v>975.62099999999998</v>
      </c>
      <c r="T9">
        <v>901.73400000000004</v>
      </c>
      <c r="U9">
        <v>272.42599999999999</v>
      </c>
    </row>
    <row r="10" spans="1:22" x14ac:dyDescent="0.2">
      <c r="A10" t="s">
        <v>62</v>
      </c>
      <c r="C10">
        <v>228.49200000000002</v>
      </c>
      <c r="D10">
        <v>593.08100000000002</v>
      </c>
      <c r="E10">
        <v>713.19500000000005</v>
      </c>
      <c r="F10">
        <v>367.49199999999996</v>
      </c>
      <c r="G10">
        <v>805.94100000000003</v>
      </c>
      <c r="H10">
        <v>532.54200000000003</v>
      </c>
      <c r="I10">
        <v>302.04999999999995</v>
      </c>
      <c r="J10">
        <v>1068.605</v>
      </c>
      <c r="K10">
        <v>327.37400000000002</v>
      </c>
      <c r="L10">
        <v>233.66699999999997</v>
      </c>
      <c r="M10">
        <v>942.1049999999999</v>
      </c>
      <c r="N10">
        <v>1134.0700000000002</v>
      </c>
      <c r="O10">
        <v>546.98799999999994</v>
      </c>
      <c r="P10">
        <v>1111.3470000000002</v>
      </c>
      <c r="Q10">
        <v>728.09699999999998</v>
      </c>
      <c r="R10">
        <v>456.73799999999994</v>
      </c>
      <c r="S10">
        <v>757.59699999999998</v>
      </c>
      <c r="T10">
        <v>683.71</v>
      </c>
      <c r="U10">
        <v>54.401999999999987</v>
      </c>
    </row>
    <row r="11" spans="1:22" x14ac:dyDescent="0.2">
      <c r="A11" t="s">
        <v>61</v>
      </c>
      <c r="C11">
        <v>3.883</v>
      </c>
      <c r="D11">
        <v>2.6920000000000002</v>
      </c>
      <c r="E11">
        <v>2.1179999999999999</v>
      </c>
      <c r="F11">
        <v>2.4329999999999998</v>
      </c>
      <c r="G11">
        <v>1.77</v>
      </c>
      <c r="H11">
        <v>1.583</v>
      </c>
      <c r="I11">
        <v>2.1930000000000001</v>
      </c>
      <c r="J11">
        <v>1.3009999999999999</v>
      </c>
      <c r="K11">
        <v>0.50800000000000001</v>
      </c>
      <c r="L11">
        <v>1.7090000000000001</v>
      </c>
      <c r="M11">
        <v>1.0620000000000001</v>
      </c>
      <c r="N11">
        <v>1.6259999999999999</v>
      </c>
      <c r="O11">
        <v>2.1800000000000002</v>
      </c>
      <c r="P11">
        <v>1.1080000000000001</v>
      </c>
      <c r="Q11">
        <v>1.9350000000000001</v>
      </c>
      <c r="R11">
        <v>1.1040000000000001</v>
      </c>
      <c r="S11">
        <v>2.1859999999999999</v>
      </c>
      <c r="T11">
        <v>1.5229999999999999</v>
      </c>
      <c r="U11">
        <v>7.74</v>
      </c>
    </row>
    <row r="12" spans="1:22" x14ac:dyDescent="0.2">
      <c r="A12" t="s">
        <v>60</v>
      </c>
      <c r="C12">
        <v>4.0096993652891237</v>
      </c>
      <c r="D12">
        <v>2.8717353638523173</v>
      </c>
      <c r="E12">
        <v>2.3422049440644601</v>
      </c>
      <c r="F12">
        <v>2.6304921592736217</v>
      </c>
      <c r="G12">
        <v>2.032953516438583</v>
      </c>
      <c r="H12">
        <v>1.8724019333465771</v>
      </c>
      <c r="I12">
        <v>2.4102383699543082</v>
      </c>
      <c r="J12">
        <v>1.6409146839491686</v>
      </c>
      <c r="K12">
        <v>1.1216345215800021</v>
      </c>
      <c r="L12">
        <v>1.9800709583244738</v>
      </c>
      <c r="M12">
        <v>1.4587131314963886</v>
      </c>
      <c r="N12">
        <v>1.9088939205728535</v>
      </c>
      <c r="O12">
        <v>2.3984161440417302</v>
      </c>
      <c r="P12">
        <v>1.492536096715922</v>
      </c>
      <c r="Q12">
        <v>2.1781241929697215</v>
      </c>
      <c r="R12">
        <v>1.4895690651997309</v>
      </c>
      <c r="S12">
        <v>2.4038710447942084</v>
      </c>
      <c r="T12">
        <v>1.8219574638283957</v>
      </c>
      <c r="U12">
        <v>7.8043321302978903</v>
      </c>
    </row>
    <row r="13" spans="1:22" x14ac:dyDescent="0.2">
      <c r="A13" t="s">
        <v>59</v>
      </c>
      <c r="D13">
        <v>2.609563602395542</v>
      </c>
      <c r="E13">
        <v>3.1380666610639842</v>
      </c>
      <c r="F13">
        <v>1.6169692628351648</v>
      </c>
      <c r="G13">
        <v>3.5461501873745167</v>
      </c>
      <c r="H13">
        <v>2.3431912672078972</v>
      </c>
      <c r="I13">
        <v>1.3290236681053236</v>
      </c>
      <c r="J13">
        <v>4.7018749771749357</v>
      </c>
      <c r="K13">
        <v>1.4404495756408286</v>
      </c>
      <c r="L13">
        <v>1.0281376376598796</v>
      </c>
      <c r="M13">
        <v>4.1452734409546954</v>
      </c>
      <c r="N13">
        <v>4.9899217721840907</v>
      </c>
      <c r="O13">
        <v>2.406753842640605</v>
      </c>
      <c r="P13">
        <v>4.889940296235217</v>
      </c>
      <c r="Q13">
        <v>3.2036356420343712</v>
      </c>
      <c r="R13">
        <v>2.0096527466415801</v>
      </c>
      <c r="S13">
        <v>3.3334360002833598</v>
      </c>
      <c r="T13">
        <v>3.0083323029971556</v>
      </c>
      <c r="U13">
        <v>0.23936946065971132</v>
      </c>
    </row>
    <row r="15" spans="1:22" s="1" customFormat="1" x14ac:dyDescent="0.2">
      <c r="A15" s="1" t="s">
        <v>298</v>
      </c>
      <c r="C15" s="1">
        <v>1</v>
      </c>
      <c r="D15" s="1">
        <v>1</v>
      </c>
      <c r="E15" s="1" t="s">
        <v>283</v>
      </c>
      <c r="F15" s="1" t="s">
        <v>283</v>
      </c>
      <c r="G15" s="1" t="s">
        <v>283</v>
      </c>
      <c r="H15" s="1" t="s">
        <v>283</v>
      </c>
      <c r="I15" s="1" t="s">
        <v>283</v>
      </c>
      <c r="J15" s="1" t="s">
        <v>283</v>
      </c>
      <c r="K15" s="1" t="s">
        <v>283</v>
      </c>
    </row>
    <row r="16" spans="1:22" x14ac:dyDescent="0.2">
      <c r="A16" t="s">
        <v>63</v>
      </c>
      <c r="C16">
        <v>524.58600000000001</v>
      </c>
      <c r="D16">
        <v>355.30500000000001</v>
      </c>
      <c r="E16">
        <v>333.68799999999999</v>
      </c>
      <c r="F16">
        <v>598.16</v>
      </c>
      <c r="G16">
        <v>778.56200000000001</v>
      </c>
      <c r="H16">
        <v>620.28899999999999</v>
      </c>
      <c r="I16">
        <v>570.76199999999994</v>
      </c>
      <c r="J16">
        <v>465.88299999999998</v>
      </c>
      <c r="K16">
        <v>356.47699999999998</v>
      </c>
    </row>
    <row r="17" spans="1:11" x14ac:dyDescent="0.2">
      <c r="A17" t="s">
        <v>62</v>
      </c>
      <c r="C17">
        <v>306.56200000000001</v>
      </c>
      <c r="D17">
        <v>137.28100000000001</v>
      </c>
      <c r="E17">
        <v>115.66399999999999</v>
      </c>
      <c r="F17">
        <v>380.13599999999997</v>
      </c>
      <c r="G17">
        <v>560.53800000000001</v>
      </c>
      <c r="H17">
        <v>402.26499999999999</v>
      </c>
      <c r="I17">
        <v>352.73799999999994</v>
      </c>
      <c r="J17">
        <v>247.85899999999998</v>
      </c>
      <c r="K17">
        <v>138.45299999999997</v>
      </c>
    </row>
    <row r="18" spans="1:11" x14ac:dyDescent="0.2">
      <c r="A18" t="s">
        <v>61</v>
      </c>
      <c r="C18">
        <v>7.9029999999999996</v>
      </c>
      <c r="D18">
        <v>3.2530000000000001</v>
      </c>
      <c r="E18">
        <v>3.7759999999999998</v>
      </c>
      <c r="F18">
        <v>2.58</v>
      </c>
      <c r="G18">
        <v>2.17</v>
      </c>
      <c r="H18">
        <v>1.093</v>
      </c>
      <c r="I18">
        <v>1.6890000000000001</v>
      </c>
      <c r="J18">
        <v>1.3180000000000001</v>
      </c>
      <c r="K18">
        <v>1.7769999999999999</v>
      </c>
    </row>
    <row r="19" spans="1:11" x14ac:dyDescent="0.2">
      <c r="A19" t="s">
        <v>60</v>
      </c>
      <c r="C19">
        <v>8.1521413751234704</v>
      </c>
      <c r="D19">
        <v>3.8186396792575232</v>
      </c>
      <c r="E19">
        <v>4.2729586939262587</v>
      </c>
      <c r="F19">
        <v>3.2644141894067307</v>
      </c>
      <c r="G19">
        <v>2.9510845463998487</v>
      </c>
      <c r="H19">
        <v>2.2791772638388617</v>
      </c>
      <c r="I19">
        <v>2.6177702343788694</v>
      </c>
      <c r="J19">
        <v>2.395229425336955</v>
      </c>
      <c r="K19">
        <v>2.6753932421234827</v>
      </c>
    </row>
    <row r="20" spans="1:11" x14ac:dyDescent="0.2">
      <c r="A20" t="s">
        <v>59</v>
      </c>
      <c r="E20">
        <v>0.50892300462749263</v>
      </c>
      <c r="F20">
        <v>1.6726030163843246</v>
      </c>
      <c r="G20">
        <v>2.4663740071922593</v>
      </c>
      <c r="H20">
        <v>1.7699708851196425</v>
      </c>
      <c r="I20">
        <v>1.5520514836620942</v>
      </c>
      <c r="J20">
        <v>1.0905826100080034</v>
      </c>
      <c r="K20">
        <v>0.60919488137787237</v>
      </c>
    </row>
    <row r="22" spans="1:11" s="1" customFormat="1" x14ac:dyDescent="0.2">
      <c r="A22" s="1" t="s">
        <v>299</v>
      </c>
      <c r="C22" s="1">
        <v>1</v>
      </c>
      <c r="D22" s="1">
        <v>1</v>
      </c>
      <c r="E22" s="1" t="s">
        <v>283</v>
      </c>
      <c r="F22" s="1" t="s">
        <v>283</v>
      </c>
      <c r="G22" s="1" t="s">
        <v>283</v>
      </c>
      <c r="H22" s="1" t="s">
        <v>283</v>
      </c>
      <c r="I22" s="1" t="s">
        <v>283</v>
      </c>
    </row>
    <row r="23" spans="1:11" x14ac:dyDescent="0.2">
      <c r="A23" t="s">
        <v>63</v>
      </c>
      <c r="C23">
        <v>383.41800000000001</v>
      </c>
      <c r="D23">
        <v>339.66</v>
      </c>
      <c r="E23">
        <v>729.38699999999994</v>
      </c>
      <c r="F23">
        <v>692.60500000000002</v>
      </c>
      <c r="G23">
        <v>756.54300000000001</v>
      </c>
      <c r="H23">
        <v>406.94900000000001</v>
      </c>
      <c r="I23">
        <v>343.32</v>
      </c>
    </row>
    <row r="24" spans="1:11" x14ac:dyDescent="0.2">
      <c r="A24" t="s">
        <v>62</v>
      </c>
      <c r="C24">
        <v>165.39400000000001</v>
      </c>
      <c r="D24">
        <v>121.63600000000002</v>
      </c>
      <c r="E24">
        <v>511.36299999999994</v>
      </c>
      <c r="F24">
        <v>474.58100000000002</v>
      </c>
      <c r="G24">
        <v>538.51900000000001</v>
      </c>
      <c r="H24">
        <v>188.92500000000001</v>
      </c>
      <c r="I24">
        <v>125.29599999999999</v>
      </c>
    </row>
    <row r="25" spans="1:11" x14ac:dyDescent="0.2">
      <c r="A25" t="s">
        <v>61</v>
      </c>
      <c r="C25">
        <v>7.93</v>
      </c>
      <c r="D25">
        <v>3.2530000000000001</v>
      </c>
      <c r="E25">
        <v>1.895</v>
      </c>
      <c r="F25">
        <v>2.2650000000000001</v>
      </c>
      <c r="G25">
        <v>1.667</v>
      </c>
      <c r="H25">
        <v>0.75900000000000001</v>
      </c>
      <c r="I25">
        <v>2.0670000000000002</v>
      </c>
    </row>
    <row r="26" spans="1:11" x14ac:dyDescent="0.2">
      <c r="A26" t="s">
        <v>60</v>
      </c>
      <c r="C26">
        <v>8.4784963289488999</v>
      </c>
      <c r="D26">
        <v>4.425156381417497</v>
      </c>
      <c r="E26">
        <v>3.5483834347488434</v>
      </c>
      <c r="F26">
        <v>3.7590191539815274</v>
      </c>
      <c r="G26">
        <v>3.4320386070089595</v>
      </c>
      <c r="H26">
        <v>3.0945243576355965</v>
      </c>
      <c r="I26">
        <v>3.6431427367041223</v>
      </c>
    </row>
    <row r="27" spans="1:11" x14ac:dyDescent="0.2">
      <c r="A27" t="s">
        <v>59</v>
      </c>
      <c r="E27">
        <v>2.2500034100094108</v>
      </c>
      <c r="F27">
        <v>2.0881621633275702</v>
      </c>
      <c r="G27">
        <v>2.3694901397927852</v>
      </c>
      <c r="H27">
        <v>0.83127229431153216</v>
      </c>
      <c r="I27">
        <v>0.55130392159882347</v>
      </c>
    </row>
    <row r="29" spans="1:11" s="1" customFormat="1" x14ac:dyDescent="0.2">
      <c r="A29" s="1" t="s">
        <v>300</v>
      </c>
      <c r="C29" s="1" t="s">
        <v>283</v>
      </c>
    </row>
    <row r="30" spans="1:11" x14ac:dyDescent="0.2">
      <c r="A30" t="s">
        <v>63</v>
      </c>
      <c r="C30">
        <v>355.15600000000001</v>
      </c>
    </row>
    <row r="31" spans="1:11" x14ac:dyDescent="0.2">
      <c r="A31" t="s">
        <v>62</v>
      </c>
      <c r="C31">
        <v>137.13200000000001</v>
      </c>
    </row>
    <row r="32" spans="1:11" x14ac:dyDescent="0.2">
      <c r="A32" t="s">
        <v>61</v>
      </c>
      <c r="C32">
        <v>1.63</v>
      </c>
    </row>
    <row r="33" spans="1:4" x14ac:dyDescent="0.2">
      <c r="A33" t="s">
        <v>60</v>
      </c>
      <c r="C33">
        <v>4.3193633790177923</v>
      </c>
    </row>
    <row r="34" spans="1:4" x14ac:dyDescent="0.2">
      <c r="A34" t="s">
        <v>59</v>
      </c>
      <c r="C34">
        <v>0.60338246533560425</v>
      </c>
    </row>
    <row r="36" spans="1:4" s="1" customFormat="1" x14ac:dyDescent="0.2">
      <c r="A36" s="1" t="s">
        <v>301</v>
      </c>
      <c r="C36" s="1">
        <v>1</v>
      </c>
      <c r="D36" s="1">
        <v>1</v>
      </c>
    </row>
    <row r="37" spans="1:4" x14ac:dyDescent="0.2">
      <c r="A37" t="s">
        <v>63</v>
      </c>
      <c r="C37">
        <v>360.238</v>
      </c>
      <c r="D37">
        <v>339.20299999999997</v>
      </c>
    </row>
    <row r="38" spans="1:4" x14ac:dyDescent="0.2">
      <c r="A38" t="s">
        <v>62</v>
      </c>
      <c r="C38">
        <v>142.214</v>
      </c>
      <c r="D38">
        <v>121.17899999999997</v>
      </c>
    </row>
    <row r="39" spans="1:4" x14ac:dyDescent="0.2">
      <c r="A39" t="s">
        <v>61</v>
      </c>
      <c r="C39">
        <v>11.436999999999999</v>
      </c>
      <c r="D39">
        <v>12.513999999999999</v>
      </c>
    </row>
    <row r="40" spans="1:4" x14ac:dyDescent="0.2">
      <c r="A40" t="s">
        <v>60</v>
      </c>
      <c r="C40">
        <v>12.482186066551003</v>
      </c>
      <c r="D40">
        <v>13.47591169457562</v>
      </c>
    </row>
    <row r="41" spans="1:4" x14ac:dyDescent="0.2">
      <c r="A41" t="s">
        <v>59</v>
      </c>
    </row>
    <row r="43" spans="1:4" s="1" customFormat="1" x14ac:dyDescent="0.2">
      <c r="A43" s="1" t="s">
        <v>302</v>
      </c>
      <c r="C43" s="1" t="s">
        <v>283</v>
      </c>
    </row>
    <row r="44" spans="1:4" x14ac:dyDescent="0.2">
      <c r="A44" t="s">
        <v>63</v>
      </c>
      <c r="C44">
        <v>532.95699999999999</v>
      </c>
    </row>
    <row r="45" spans="1:4" x14ac:dyDescent="0.2">
      <c r="A45" t="s">
        <v>62</v>
      </c>
      <c r="C45">
        <v>314.93299999999999</v>
      </c>
    </row>
    <row r="46" spans="1:4" x14ac:dyDescent="0.2">
      <c r="A46" t="s">
        <v>61</v>
      </c>
      <c r="C46">
        <v>11.994999999999999</v>
      </c>
    </row>
    <row r="47" spans="1:4" x14ac:dyDescent="0.2">
      <c r="A47" t="s">
        <v>60</v>
      </c>
      <c r="C47">
        <v>13.411935915444868</v>
      </c>
    </row>
    <row r="48" spans="1:4" x14ac:dyDescent="0.2">
      <c r="A48" t="s">
        <v>59</v>
      </c>
      <c r="C48">
        <v>1.3857090245569075</v>
      </c>
    </row>
    <row r="50" spans="1:14" s="1" customFormat="1" x14ac:dyDescent="0.2">
      <c r="A50" s="1" t="s">
        <v>303</v>
      </c>
      <c r="C50" s="1">
        <v>1</v>
      </c>
      <c r="D50" s="1">
        <v>1</v>
      </c>
      <c r="E50" s="1">
        <v>1</v>
      </c>
      <c r="F50" s="1" t="s">
        <v>283</v>
      </c>
      <c r="G50" s="1" t="s">
        <v>283</v>
      </c>
      <c r="H50" s="1" t="s">
        <v>283</v>
      </c>
      <c r="I50" s="1" t="s">
        <v>283</v>
      </c>
      <c r="J50" s="1" t="s">
        <v>283</v>
      </c>
      <c r="K50" s="1" t="s">
        <v>283</v>
      </c>
      <c r="L50" s="1" t="s">
        <v>283</v>
      </c>
      <c r="M50" s="1" t="s">
        <v>283</v>
      </c>
      <c r="N50" s="1" t="s">
        <v>283</v>
      </c>
    </row>
    <row r="51" spans="1:14" x14ac:dyDescent="0.2">
      <c r="A51" t="s">
        <v>63</v>
      </c>
      <c r="C51">
        <v>518.77700000000004</v>
      </c>
      <c r="D51">
        <v>473.02</v>
      </c>
      <c r="E51">
        <v>458.83199999999999</v>
      </c>
      <c r="F51">
        <v>339.90600000000001</v>
      </c>
      <c r="G51">
        <v>862.26199999999994</v>
      </c>
      <c r="H51">
        <v>451.96499999999997</v>
      </c>
      <c r="I51">
        <v>495.77300000000002</v>
      </c>
      <c r="J51">
        <v>1179.566</v>
      </c>
      <c r="K51">
        <v>775.77700000000004</v>
      </c>
      <c r="L51">
        <v>2171.5430000000001</v>
      </c>
      <c r="M51">
        <v>1772.6479999999999</v>
      </c>
      <c r="N51">
        <v>1135.4449999999999</v>
      </c>
    </row>
    <row r="52" spans="1:14" x14ac:dyDescent="0.2">
      <c r="A52" t="s">
        <v>62</v>
      </c>
      <c r="C52">
        <v>300.75300000000004</v>
      </c>
      <c r="D52">
        <v>254.99599999999998</v>
      </c>
      <c r="E52">
        <v>240.80799999999999</v>
      </c>
      <c r="F52">
        <v>121.88200000000001</v>
      </c>
      <c r="G52">
        <v>644.23799999999994</v>
      </c>
      <c r="H52">
        <v>233.94099999999997</v>
      </c>
      <c r="I52">
        <v>277.74900000000002</v>
      </c>
      <c r="J52">
        <v>961.54200000000003</v>
      </c>
      <c r="K52">
        <v>557.75300000000004</v>
      </c>
      <c r="L52">
        <v>1953.5190000000002</v>
      </c>
      <c r="M52">
        <v>1554.6239999999998</v>
      </c>
      <c r="N52">
        <v>917.42099999999994</v>
      </c>
    </row>
    <row r="53" spans="1:14" x14ac:dyDescent="0.2">
      <c r="A53" t="s">
        <v>61</v>
      </c>
      <c r="C53">
        <v>7.93</v>
      </c>
      <c r="D53">
        <v>3.2530000000000001</v>
      </c>
      <c r="E53">
        <v>2.3460000000000001</v>
      </c>
      <c r="F53">
        <v>1.895</v>
      </c>
      <c r="G53">
        <v>1.8420000000000001</v>
      </c>
      <c r="H53">
        <v>1.3680000000000001</v>
      </c>
      <c r="I53">
        <v>2.3439999999999999</v>
      </c>
      <c r="J53">
        <v>1.524</v>
      </c>
      <c r="K53">
        <v>2.2709999999999999</v>
      </c>
      <c r="L53">
        <v>1.702</v>
      </c>
      <c r="M53">
        <v>1.256</v>
      </c>
      <c r="N53">
        <v>1.61</v>
      </c>
    </row>
    <row r="54" spans="1:14" x14ac:dyDescent="0.2">
      <c r="A54" t="s">
        <v>60</v>
      </c>
      <c r="C54">
        <v>7.9928030127108718</v>
      </c>
      <c r="D54">
        <v>3.4032350785686258</v>
      </c>
      <c r="E54">
        <v>2.5502384202266266</v>
      </c>
      <c r="F54">
        <v>2.1426677297238599</v>
      </c>
      <c r="G54">
        <v>2.0959398846340989</v>
      </c>
      <c r="H54">
        <v>1.6945276628016435</v>
      </c>
      <c r="I54">
        <v>2.5483987129175842</v>
      </c>
      <c r="J54">
        <v>1.8227934605983203</v>
      </c>
      <c r="K54">
        <v>2.4814191504056704</v>
      </c>
      <c r="L54">
        <v>1.9740324212129849</v>
      </c>
      <c r="M54">
        <v>1.6054706475049614</v>
      </c>
      <c r="N54">
        <v>1.8952836199366048</v>
      </c>
    </row>
    <row r="55" spans="1:14" x14ac:dyDescent="0.2">
      <c r="A55" t="s">
        <v>59</v>
      </c>
      <c r="F55">
        <v>0.53628228013909307</v>
      </c>
      <c r="G55">
        <v>2.8346550236478643</v>
      </c>
      <c r="H55">
        <v>1.0293432409873449</v>
      </c>
      <c r="I55">
        <v>1.2220989729931653</v>
      </c>
      <c r="J55">
        <v>4.2307964769982753</v>
      </c>
      <c r="K55">
        <v>2.4541199733711263</v>
      </c>
      <c r="L55">
        <v>8.5955073236002129</v>
      </c>
      <c r="M55">
        <v>6.8403644794059604</v>
      </c>
      <c r="N55">
        <v>4.0366635411913725</v>
      </c>
    </row>
    <row r="57" spans="1:14" s="1" customFormat="1" x14ac:dyDescent="0.2">
      <c r="A57" s="1" t="s">
        <v>304</v>
      </c>
      <c r="C57" s="1">
        <v>1</v>
      </c>
      <c r="D57" s="1">
        <v>1</v>
      </c>
      <c r="E57" s="1">
        <v>1</v>
      </c>
      <c r="F57" s="1" t="s">
        <v>283</v>
      </c>
      <c r="G57" s="1" t="s">
        <v>283</v>
      </c>
      <c r="H57" s="1" t="s">
        <v>283</v>
      </c>
      <c r="I57" s="1" t="s">
        <v>283</v>
      </c>
    </row>
    <row r="58" spans="1:14" x14ac:dyDescent="0.2">
      <c r="A58" t="s">
        <v>63</v>
      </c>
      <c r="C58">
        <v>640.90200000000004</v>
      </c>
      <c r="D58">
        <v>358.39499999999998</v>
      </c>
      <c r="E58">
        <v>617.45699999999999</v>
      </c>
      <c r="F58">
        <v>507.19900000000001</v>
      </c>
      <c r="G58">
        <v>809.68399999999997</v>
      </c>
      <c r="H58">
        <v>523.07600000000002</v>
      </c>
      <c r="I58">
        <v>389.34800000000001</v>
      </c>
    </row>
    <row r="59" spans="1:14" x14ac:dyDescent="0.2">
      <c r="A59" t="s">
        <v>62</v>
      </c>
      <c r="C59">
        <v>422.87800000000004</v>
      </c>
      <c r="D59">
        <v>140.37099999999998</v>
      </c>
      <c r="E59">
        <v>399.43299999999999</v>
      </c>
      <c r="F59">
        <v>289.17500000000001</v>
      </c>
      <c r="G59">
        <v>591.66</v>
      </c>
      <c r="H59">
        <v>305.05200000000002</v>
      </c>
      <c r="I59">
        <v>171.32400000000001</v>
      </c>
    </row>
    <row r="60" spans="1:14" x14ac:dyDescent="0.2">
      <c r="A60" t="s">
        <v>61</v>
      </c>
      <c r="C60">
        <v>7.0430000000000001</v>
      </c>
      <c r="D60">
        <v>7.0590000000000002</v>
      </c>
      <c r="E60">
        <v>2.4449999999999998</v>
      </c>
      <c r="F60">
        <v>1.542</v>
      </c>
      <c r="G60">
        <v>1.804</v>
      </c>
      <c r="H60">
        <v>1.1060000000000001</v>
      </c>
      <c r="I60">
        <v>1.9330000000000001</v>
      </c>
    </row>
    <row r="61" spans="1:14" x14ac:dyDescent="0.2">
      <c r="A61" t="s">
        <v>60</v>
      </c>
      <c r="C61">
        <v>7.3214649490385462</v>
      </c>
      <c r="D61">
        <v>7.3368577061300568</v>
      </c>
      <c r="E61">
        <v>3.1588011966567313</v>
      </c>
      <c r="F61">
        <v>2.5254235288363018</v>
      </c>
      <c r="G61">
        <v>2.6934023093477886</v>
      </c>
      <c r="H61">
        <v>2.2854400014001679</v>
      </c>
      <c r="I61">
        <v>2.7814544756296122</v>
      </c>
    </row>
    <row r="62" spans="1:14" x14ac:dyDescent="0.2">
      <c r="A62" t="s">
        <v>59</v>
      </c>
      <c r="F62">
        <v>1.2723735117508921</v>
      </c>
      <c r="G62">
        <v>2.6033111851388702</v>
      </c>
      <c r="H62">
        <v>1.3422325045617123</v>
      </c>
      <c r="I62">
        <v>0.75382768056439819</v>
      </c>
    </row>
    <row r="64" spans="1:14" s="1" customFormat="1" x14ac:dyDescent="0.2">
      <c r="A64" s="1" t="s">
        <v>305</v>
      </c>
      <c r="C64" s="1">
        <v>1</v>
      </c>
      <c r="D64" s="1" t="s">
        <v>283</v>
      </c>
      <c r="E64" s="1" t="s">
        <v>283</v>
      </c>
      <c r="F64" s="1" t="s">
        <v>283</v>
      </c>
      <c r="G64" s="1" t="s">
        <v>283</v>
      </c>
      <c r="H64" s="1" t="s">
        <v>283</v>
      </c>
      <c r="I64" s="1" t="s">
        <v>283</v>
      </c>
    </row>
    <row r="65" spans="1:9" x14ac:dyDescent="0.2">
      <c r="A65" t="s">
        <v>63</v>
      </c>
      <c r="C65">
        <v>517.92200000000003</v>
      </c>
      <c r="D65">
        <v>331.77300000000002</v>
      </c>
      <c r="E65">
        <v>296.27</v>
      </c>
      <c r="F65">
        <v>352.00799999999998</v>
      </c>
      <c r="G65">
        <v>441.68</v>
      </c>
      <c r="H65">
        <v>261.44499999999999</v>
      </c>
      <c r="I65">
        <v>922.93</v>
      </c>
    </row>
    <row r="66" spans="1:9" x14ac:dyDescent="0.2">
      <c r="A66" t="s">
        <v>62</v>
      </c>
      <c r="C66">
        <v>299.89800000000002</v>
      </c>
      <c r="D66">
        <v>113.74900000000002</v>
      </c>
      <c r="E66">
        <v>78.245999999999981</v>
      </c>
      <c r="F66">
        <v>133.98399999999998</v>
      </c>
      <c r="G66">
        <v>223.65600000000001</v>
      </c>
      <c r="H66">
        <v>43.420999999999992</v>
      </c>
      <c r="I66">
        <v>704.90599999999995</v>
      </c>
    </row>
    <row r="67" spans="1:9" x14ac:dyDescent="0.2">
      <c r="A67" t="s">
        <v>61</v>
      </c>
      <c r="C67">
        <v>4.1189999999999998</v>
      </c>
      <c r="D67">
        <v>5.431</v>
      </c>
      <c r="E67">
        <v>5.3810000000000002</v>
      </c>
      <c r="F67">
        <v>2.4590000000000001</v>
      </c>
      <c r="G67">
        <v>1.2949999999999999</v>
      </c>
      <c r="H67">
        <v>7.0590000000000002</v>
      </c>
      <c r="I67">
        <v>7.2610000000000001</v>
      </c>
    </row>
    <row r="68" spans="1:9" x14ac:dyDescent="0.2">
      <c r="A68" t="s">
        <v>60</v>
      </c>
      <c r="C68">
        <v>5.0957002462860785</v>
      </c>
      <c r="D68">
        <v>6.204495225237908</v>
      </c>
      <c r="E68">
        <v>6.1607760063160875</v>
      </c>
      <c r="F68">
        <v>3.8790051559646064</v>
      </c>
      <c r="G68">
        <v>3.2675717283634342</v>
      </c>
      <c r="H68">
        <v>7.6700378747435138</v>
      </c>
      <c r="I68">
        <v>7.8563427241942545</v>
      </c>
    </row>
    <row r="69" spans="1:9" x14ac:dyDescent="0.2">
      <c r="A69" t="s">
        <v>59</v>
      </c>
      <c r="D69">
        <v>0.50049698137166854</v>
      </c>
      <c r="E69">
        <v>0.34428335022204642</v>
      </c>
      <c r="F69">
        <v>0.58953122710618655</v>
      </c>
      <c r="G69">
        <v>0.98408911608596017</v>
      </c>
      <c r="H69">
        <v>0.19105292730607928</v>
      </c>
      <c r="I69">
        <v>3.1015949604020898</v>
      </c>
    </row>
    <row r="71" spans="1:9" s="1" customFormat="1" x14ac:dyDescent="0.2">
      <c r="A71" s="1" t="s">
        <v>306</v>
      </c>
      <c r="C71" s="1">
        <v>1</v>
      </c>
      <c r="D71" s="1" t="s">
        <v>283</v>
      </c>
      <c r="E71" s="1" t="s">
        <v>283</v>
      </c>
      <c r="F71" s="1" t="s">
        <v>283</v>
      </c>
      <c r="G71" s="1" t="s">
        <v>283</v>
      </c>
    </row>
    <row r="72" spans="1:9" x14ac:dyDescent="0.2">
      <c r="A72" t="s">
        <v>63</v>
      </c>
      <c r="C72">
        <v>449.363</v>
      </c>
      <c r="D72">
        <v>742.47299999999996</v>
      </c>
      <c r="E72">
        <v>871.86300000000006</v>
      </c>
      <c r="F72">
        <v>314.863</v>
      </c>
      <c r="G72">
        <v>343.64499999999998</v>
      </c>
    </row>
    <row r="73" spans="1:9" x14ac:dyDescent="0.2">
      <c r="A73" t="s">
        <v>62</v>
      </c>
      <c r="C73">
        <v>231.339</v>
      </c>
      <c r="D73">
        <v>524.44899999999996</v>
      </c>
      <c r="E73">
        <v>653.83900000000006</v>
      </c>
      <c r="F73">
        <v>96.838999999999999</v>
      </c>
      <c r="G73">
        <v>125.62099999999998</v>
      </c>
    </row>
    <row r="74" spans="1:9" x14ac:dyDescent="0.2">
      <c r="A74" t="s">
        <v>61</v>
      </c>
      <c r="C74">
        <v>5.4779999999999998</v>
      </c>
      <c r="D74">
        <v>5.3879999999999999</v>
      </c>
      <c r="E74">
        <v>5.4550000000000001</v>
      </c>
      <c r="F74">
        <v>7.0940000000000003</v>
      </c>
      <c r="G74">
        <v>4.0919999999999996</v>
      </c>
    </row>
    <row r="75" spans="1:9" x14ac:dyDescent="0.2">
      <c r="A75" t="s">
        <v>60</v>
      </c>
      <c r="C75">
        <v>6.7829554030673087</v>
      </c>
      <c r="D75">
        <v>6.7104801616575847</v>
      </c>
      <c r="E75">
        <v>6.7643939122437269</v>
      </c>
      <c r="F75">
        <v>8.1440061394868799</v>
      </c>
      <c r="G75">
        <v>5.7222778681220987</v>
      </c>
    </row>
    <row r="76" spans="1:9" x14ac:dyDescent="0.2">
      <c r="A76" t="s">
        <v>59</v>
      </c>
      <c r="D76">
        <v>2.3075819689262334</v>
      </c>
      <c r="E76">
        <v>2.8768995402427309</v>
      </c>
      <c r="F76">
        <v>0.42609277601606171</v>
      </c>
      <c r="G76">
        <v>0.55273392554563427</v>
      </c>
    </row>
    <row r="78" spans="1:9" s="1" customFormat="1" x14ac:dyDescent="0.2">
      <c r="A78" s="1" t="s">
        <v>307</v>
      </c>
      <c r="C78" s="1">
        <v>1</v>
      </c>
      <c r="D78" s="1">
        <v>1</v>
      </c>
      <c r="E78" s="1">
        <v>1</v>
      </c>
      <c r="F78" s="1" t="s">
        <v>283</v>
      </c>
      <c r="G78" s="1" t="s">
        <v>283</v>
      </c>
    </row>
    <row r="79" spans="1:9" x14ac:dyDescent="0.2">
      <c r="A79" t="s">
        <v>63</v>
      </c>
      <c r="C79">
        <v>460.24200000000002</v>
      </c>
      <c r="D79">
        <v>493.32799999999997</v>
      </c>
      <c r="E79">
        <v>372.91800000000001</v>
      </c>
      <c r="F79">
        <v>303.54700000000003</v>
      </c>
      <c r="G79">
        <v>358.27</v>
      </c>
    </row>
    <row r="80" spans="1:9" x14ac:dyDescent="0.2">
      <c r="A80" t="s">
        <v>62</v>
      </c>
      <c r="C80">
        <v>242.21800000000002</v>
      </c>
      <c r="D80">
        <v>275.30399999999997</v>
      </c>
      <c r="E80">
        <v>154.89400000000001</v>
      </c>
      <c r="F80">
        <v>85.523000000000025</v>
      </c>
      <c r="G80">
        <v>140.24599999999998</v>
      </c>
    </row>
    <row r="81" spans="1:7" x14ac:dyDescent="0.2">
      <c r="A81" t="s">
        <v>61</v>
      </c>
      <c r="C81">
        <v>5.798</v>
      </c>
      <c r="D81">
        <v>5.5129999999999999</v>
      </c>
      <c r="E81">
        <v>4.2290000000000001</v>
      </c>
      <c r="F81">
        <v>4.8390000000000004</v>
      </c>
      <c r="G81">
        <v>4.1749999999999998</v>
      </c>
    </row>
    <row r="82" spans="1:7" x14ac:dyDescent="0.2">
      <c r="A82" t="s">
        <v>60</v>
      </c>
      <c r="C82">
        <v>7.6561611790766264</v>
      </c>
      <c r="D82">
        <v>7.442658731931755</v>
      </c>
      <c r="E82">
        <v>6.5486213052825102</v>
      </c>
      <c r="F82">
        <v>6.9581549997107714</v>
      </c>
      <c r="G82">
        <v>6.5138794124546084</v>
      </c>
    </row>
    <row r="83" spans="1:7" x14ac:dyDescent="0.2">
      <c r="A83" t="s">
        <v>59</v>
      </c>
      <c r="E83">
        <v>0.68153548103792749</v>
      </c>
      <c r="F83">
        <v>0.37630223859417855</v>
      </c>
      <c r="G83">
        <v>0.61708410315212447</v>
      </c>
    </row>
    <row r="85" spans="1:7" s="1" customFormat="1" x14ac:dyDescent="0.2">
      <c r="A85" s="1" t="s">
        <v>308</v>
      </c>
      <c r="C85" s="1">
        <v>1</v>
      </c>
      <c r="D85" s="1">
        <v>1</v>
      </c>
      <c r="E85" s="1" t="s">
        <v>283</v>
      </c>
      <c r="F85" s="1" t="s">
        <v>283</v>
      </c>
    </row>
    <row r="86" spans="1:7" x14ac:dyDescent="0.2">
      <c r="A86" t="s">
        <v>63</v>
      </c>
      <c r="C86">
        <v>443.137</v>
      </c>
      <c r="D86">
        <v>352.70299999999997</v>
      </c>
      <c r="E86">
        <v>288.37900000000002</v>
      </c>
      <c r="F86">
        <v>323.08199999999999</v>
      </c>
    </row>
    <row r="87" spans="1:7" x14ac:dyDescent="0.2">
      <c r="A87" t="s">
        <v>62</v>
      </c>
      <c r="C87">
        <v>225.113</v>
      </c>
      <c r="D87">
        <v>134.67899999999997</v>
      </c>
      <c r="E87">
        <v>70.355000000000018</v>
      </c>
      <c r="F87">
        <v>105.05799999999999</v>
      </c>
    </row>
    <row r="88" spans="1:7" x14ac:dyDescent="0.2">
      <c r="A88" t="s">
        <v>61</v>
      </c>
      <c r="C88">
        <v>3.8969999999999998</v>
      </c>
      <c r="D88">
        <v>4.2290000000000001</v>
      </c>
      <c r="E88">
        <v>5.4119999999999999</v>
      </c>
      <c r="F88">
        <v>14.218999999999999</v>
      </c>
    </row>
    <row r="89" spans="1:7" x14ac:dyDescent="0.2">
      <c r="A89" t="s">
        <v>60</v>
      </c>
      <c r="C89">
        <v>7.1544817422368192</v>
      </c>
      <c r="D89">
        <v>7.3406022232511692</v>
      </c>
      <c r="E89">
        <v>8.0802069280433653</v>
      </c>
      <c r="F89">
        <v>15.43308008791505</v>
      </c>
    </row>
    <row r="90" spans="1:7" x14ac:dyDescent="0.2">
      <c r="A90" t="s">
        <v>59</v>
      </c>
      <c r="E90">
        <v>0.30956285439347814</v>
      </c>
      <c r="F90">
        <v>0.46225647582787316</v>
      </c>
    </row>
    <row r="92" spans="1:7" x14ac:dyDescent="0.2">
      <c r="C92" t="s">
        <v>294</v>
      </c>
    </row>
    <row r="93" spans="1:7" x14ac:dyDescent="0.2">
      <c r="C93">
        <v>131.80020000000002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C82A-AFEB-BE44-97C2-9FF9DCC3A3D1}">
  <dimension ref="A1:U66"/>
  <sheetViews>
    <sheetView workbookViewId="0">
      <selection activeCell="F15" sqref="F15"/>
    </sheetView>
  </sheetViews>
  <sheetFormatPr baseColWidth="10" defaultColWidth="8.83203125" defaultRowHeight="15" x14ac:dyDescent="0.2"/>
  <cols>
    <col min="1" max="1" width="18.5" customWidth="1"/>
    <col min="2" max="2" width="19.1640625" customWidth="1"/>
    <col min="3" max="3" width="11.33203125" customWidth="1"/>
    <col min="4" max="4" width="12.33203125" customWidth="1"/>
    <col min="5" max="5" width="11.1640625" customWidth="1"/>
  </cols>
  <sheetData>
    <row r="1" spans="1:12" x14ac:dyDescent="0.2">
      <c r="A1" t="s">
        <v>257</v>
      </c>
    </row>
    <row r="2" spans="1:12" s="1" customFormat="1" x14ac:dyDescent="0.2">
      <c r="A2" s="1" t="s">
        <v>1</v>
      </c>
      <c r="B2" s="1" t="s">
        <v>256</v>
      </c>
      <c r="C2" s="1" t="s">
        <v>23</v>
      </c>
      <c r="D2" s="1" t="s">
        <v>254</v>
      </c>
    </row>
    <row r="3" spans="1:12" x14ac:dyDescent="0.2">
      <c r="A3" t="s">
        <v>253</v>
      </c>
      <c r="B3">
        <v>213.405</v>
      </c>
      <c r="C3">
        <v>232.32400000000001</v>
      </c>
      <c r="D3">
        <v>288.83600000000001</v>
      </c>
      <c r="E3">
        <v>339.96899999999999</v>
      </c>
    </row>
    <row r="4" spans="1:12" x14ac:dyDescent="0.2">
      <c r="A4" t="s">
        <v>252</v>
      </c>
      <c r="C4">
        <f>C3-B3</f>
        <v>18.919000000000011</v>
      </c>
      <c r="D4">
        <f>D3-B3</f>
        <v>75.431000000000012</v>
      </c>
      <c r="E4">
        <f>E3-B3</f>
        <v>126.56399999999999</v>
      </c>
    </row>
    <row r="5" spans="1:12" x14ac:dyDescent="0.2">
      <c r="A5" t="s">
        <v>31</v>
      </c>
      <c r="C5">
        <v>6.88</v>
      </c>
      <c r="D5">
        <v>5.7309999999999999</v>
      </c>
      <c r="E5">
        <v>4.7569999999999997</v>
      </c>
    </row>
    <row r="6" spans="1:12" x14ac:dyDescent="0.2">
      <c r="A6" t="s">
        <v>17</v>
      </c>
      <c r="C6">
        <f>SQRT(25+C5^2)</f>
        <v>8.5049632568283329</v>
      </c>
      <c r="D6">
        <f>SQRT(25+D5^2)</f>
        <v>7.6055480407397331</v>
      </c>
      <c r="E6">
        <f>SQRT(25+E5^2)</f>
        <v>6.9013802242739821</v>
      </c>
    </row>
    <row r="7" spans="1:12" x14ac:dyDescent="0.2">
      <c r="A7" t="s">
        <v>251</v>
      </c>
      <c r="D7">
        <f>D4/21.8383</f>
        <v>3.4540692270002706</v>
      </c>
      <c r="E7">
        <f>E4/21.8383</f>
        <v>5.7955060604534232</v>
      </c>
    </row>
    <row r="9" spans="1:12" s="1" customFormat="1" x14ac:dyDescent="0.2">
      <c r="A9" s="1" t="s">
        <v>8</v>
      </c>
      <c r="B9" s="1" t="s">
        <v>2</v>
      </c>
      <c r="C9" s="1" t="s">
        <v>23</v>
      </c>
      <c r="D9" s="1" t="s">
        <v>255</v>
      </c>
    </row>
    <row r="10" spans="1:12" x14ac:dyDescent="0.2">
      <c r="A10" t="s">
        <v>253</v>
      </c>
      <c r="B10">
        <v>213.405</v>
      </c>
      <c r="C10">
        <v>241.77</v>
      </c>
      <c r="D10">
        <v>228.60900000000001</v>
      </c>
      <c r="E10">
        <v>237.93</v>
      </c>
      <c r="F10">
        <v>260.50799999999998</v>
      </c>
      <c r="G10">
        <v>245.19499999999999</v>
      </c>
      <c r="H10">
        <v>232</v>
      </c>
      <c r="I10">
        <v>233.965</v>
      </c>
      <c r="J10">
        <v>260.63299999999998</v>
      </c>
      <c r="K10">
        <v>234.29499999999999</v>
      </c>
      <c r="L10">
        <v>232.316</v>
      </c>
    </row>
    <row r="11" spans="1:12" x14ac:dyDescent="0.2">
      <c r="A11" t="s">
        <v>252</v>
      </c>
      <c r="C11">
        <f>C10-B10</f>
        <v>28.365000000000009</v>
      </c>
      <c r="D11">
        <f>D10-B10</f>
        <v>15.204000000000008</v>
      </c>
      <c r="E11">
        <f>E10-B10</f>
        <v>24.525000000000006</v>
      </c>
      <c r="F11">
        <f>F10-B10</f>
        <v>47.10299999999998</v>
      </c>
      <c r="G11">
        <f>G10-B10</f>
        <v>31.789999999999992</v>
      </c>
      <c r="H11">
        <f>H10-B10</f>
        <v>18.594999999999999</v>
      </c>
      <c r="I11">
        <f>I10-B10</f>
        <v>20.560000000000002</v>
      </c>
      <c r="J11">
        <f>J10-B10</f>
        <v>47.22799999999998</v>
      </c>
      <c r="K11">
        <f>K10-B10</f>
        <v>20.889999999999986</v>
      </c>
      <c r="L11">
        <f>L10-B10</f>
        <v>18.911000000000001</v>
      </c>
    </row>
    <row r="12" spans="1:12" x14ac:dyDescent="0.2">
      <c r="A12" t="s">
        <v>31</v>
      </c>
      <c r="C12">
        <v>6.8380000000000001</v>
      </c>
      <c r="D12">
        <v>4.7770000000000001</v>
      </c>
      <c r="E12">
        <v>1.956</v>
      </c>
      <c r="F12">
        <v>1.851</v>
      </c>
      <c r="G12">
        <v>3.0419999999999998</v>
      </c>
      <c r="H12">
        <v>1.786</v>
      </c>
      <c r="I12">
        <v>2.052</v>
      </c>
      <c r="J12">
        <v>2.6059999999999999</v>
      </c>
      <c r="K12">
        <v>2.012</v>
      </c>
      <c r="L12">
        <v>1.61</v>
      </c>
    </row>
    <row r="13" spans="1:12" x14ac:dyDescent="0.2">
      <c r="A13" t="s">
        <v>17</v>
      </c>
      <c r="C13">
        <f t="shared" ref="C13:L13" si="0">SQRT(9+C12^2)</f>
        <v>7.467144300199374</v>
      </c>
      <c r="D13">
        <f t="shared" si="0"/>
        <v>5.6408978895207813</v>
      </c>
      <c r="E13">
        <f t="shared" si="0"/>
        <v>3.5813315959290897</v>
      </c>
      <c r="F13">
        <f t="shared" si="0"/>
        <v>3.5250817011808393</v>
      </c>
      <c r="G13">
        <f t="shared" si="0"/>
        <v>4.2724423928240389</v>
      </c>
      <c r="H13">
        <f t="shared" si="0"/>
        <v>3.4913888354063345</v>
      </c>
      <c r="I13">
        <f t="shared" si="0"/>
        <v>3.6346532159203302</v>
      </c>
      <c r="J13">
        <f t="shared" si="0"/>
        <v>3.9738188182150429</v>
      </c>
      <c r="K13">
        <f t="shared" si="0"/>
        <v>3.6122214771522523</v>
      </c>
      <c r="L13">
        <f t="shared" si="0"/>
        <v>3.4047173157253452</v>
      </c>
    </row>
    <row r="14" spans="1:12" x14ac:dyDescent="0.2">
      <c r="A14" t="s">
        <v>251</v>
      </c>
      <c r="D14">
        <f t="shared" ref="D14:L14" si="1">D11/21.8383</f>
        <v>0.6962080381714697</v>
      </c>
      <c r="E14">
        <f t="shared" si="1"/>
        <v>1.1230269755429683</v>
      </c>
      <c r="F14">
        <f t="shared" si="1"/>
        <v>2.1568986596942059</v>
      </c>
      <c r="G14">
        <f t="shared" si="1"/>
        <v>1.4556993905203239</v>
      </c>
      <c r="H14">
        <f t="shared" si="1"/>
        <v>0.85148569256764484</v>
      </c>
      <c r="I14">
        <f t="shared" si="1"/>
        <v>0.94146522394142407</v>
      </c>
      <c r="J14">
        <f t="shared" si="1"/>
        <v>2.1626225484584412</v>
      </c>
      <c r="K14">
        <f t="shared" si="1"/>
        <v>0.95657629027900459</v>
      </c>
      <c r="L14">
        <f t="shared" si="1"/>
        <v>0.86595568336363182</v>
      </c>
    </row>
    <row r="16" spans="1:12" s="1" customFormat="1" x14ac:dyDescent="0.2">
      <c r="A16" s="1" t="s">
        <v>11</v>
      </c>
      <c r="B16" s="1" t="s">
        <v>2</v>
      </c>
      <c r="C16" s="1" t="s">
        <v>254</v>
      </c>
    </row>
    <row r="17" spans="1:21" x14ac:dyDescent="0.2">
      <c r="A17" t="s">
        <v>253</v>
      </c>
      <c r="B17">
        <v>213.405</v>
      </c>
      <c r="C17">
        <v>256.89800000000002</v>
      </c>
      <c r="D17">
        <v>253.20699999999999</v>
      </c>
      <c r="E17">
        <v>306.82</v>
      </c>
      <c r="F17">
        <v>373.59</v>
      </c>
      <c r="G17">
        <v>311.66000000000003</v>
      </c>
      <c r="H17">
        <v>274.09800000000001</v>
      </c>
      <c r="I17">
        <v>271.60899999999998</v>
      </c>
      <c r="J17">
        <v>243.62100000000001</v>
      </c>
      <c r="K17">
        <v>257.00400000000002</v>
      </c>
      <c r="L17">
        <v>315.95299999999997</v>
      </c>
      <c r="M17">
        <v>243.00399999999999</v>
      </c>
      <c r="N17">
        <v>341.05099999999999</v>
      </c>
      <c r="O17">
        <v>235.262</v>
      </c>
    </row>
    <row r="18" spans="1:21" x14ac:dyDescent="0.2">
      <c r="A18" t="s">
        <v>252</v>
      </c>
      <c r="C18">
        <f>C17-B17</f>
        <v>43.493000000000023</v>
      </c>
      <c r="D18">
        <f>D17-B17</f>
        <v>39.801999999999992</v>
      </c>
      <c r="E18">
        <f>E17-B17</f>
        <v>93.414999999999992</v>
      </c>
      <c r="F18">
        <f>F17-B17</f>
        <v>160.18499999999997</v>
      </c>
      <c r="G18">
        <f>G17-B17</f>
        <v>98.255000000000024</v>
      </c>
      <c r="H18">
        <f>H17-B17</f>
        <v>60.693000000000012</v>
      </c>
      <c r="I18">
        <f>I17-B17</f>
        <v>58.203999999999979</v>
      </c>
      <c r="J18">
        <f>J17-B17</f>
        <v>30.216000000000008</v>
      </c>
      <c r="K18">
        <f>K17-B17</f>
        <v>43.599000000000018</v>
      </c>
      <c r="L18">
        <f>L17-B17</f>
        <v>102.54799999999997</v>
      </c>
      <c r="M18">
        <f>M17-B17</f>
        <v>29.59899999999999</v>
      </c>
      <c r="N18">
        <f>N17-B17</f>
        <v>127.64599999999999</v>
      </c>
      <c r="O18">
        <f>O17-B17</f>
        <v>21.856999999999999</v>
      </c>
    </row>
    <row r="19" spans="1:21" x14ac:dyDescent="0.2">
      <c r="A19" t="s">
        <v>31</v>
      </c>
      <c r="C19">
        <v>3.0289999999999999</v>
      </c>
      <c r="D19">
        <v>2.31</v>
      </c>
      <c r="E19">
        <v>1.897</v>
      </c>
      <c r="F19">
        <v>3.1440000000000001</v>
      </c>
      <c r="G19">
        <v>2.1869999999999998</v>
      </c>
      <c r="H19">
        <v>1.4750000000000001</v>
      </c>
      <c r="I19">
        <v>0.874</v>
      </c>
      <c r="J19">
        <v>1.5069999999999999</v>
      </c>
      <c r="K19">
        <v>2.278</v>
      </c>
      <c r="L19">
        <v>1.77</v>
      </c>
      <c r="M19">
        <v>2.2999999999999998</v>
      </c>
      <c r="N19">
        <v>2.855</v>
      </c>
      <c r="O19">
        <v>2.2130000000000001</v>
      </c>
    </row>
    <row r="20" spans="1:21" x14ac:dyDescent="0.2">
      <c r="A20" t="s">
        <v>17</v>
      </c>
      <c r="C20">
        <f t="shared" ref="C20:O20" si="2">SQRT(4+C19^2)</f>
        <v>3.6297163801046493</v>
      </c>
      <c r="D20">
        <f t="shared" si="2"/>
        <v>3.055503231875234</v>
      </c>
      <c r="E20">
        <f t="shared" si="2"/>
        <v>2.7565574545073424</v>
      </c>
      <c r="F20">
        <f t="shared" si="2"/>
        <v>3.7262227523324474</v>
      </c>
      <c r="G20">
        <f t="shared" si="2"/>
        <v>2.9636074301432029</v>
      </c>
      <c r="H20">
        <f t="shared" si="2"/>
        <v>2.4850804815941072</v>
      </c>
      <c r="I20">
        <f t="shared" si="2"/>
        <v>2.1826305230157486</v>
      </c>
      <c r="J20">
        <f t="shared" si="2"/>
        <v>2.5042062614728842</v>
      </c>
      <c r="K20">
        <f t="shared" si="2"/>
        <v>3.0313831826412181</v>
      </c>
      <c r="L20">
        <f t="shared" si="2"/>
        <v>2.670748958625651</v>
      </c>
      <c r="M20">
        <f t="shared" si="2"/>
        <v>3.047950130825634</v>
      </c>
      <c r="N20">
        <f t="shared" si="2"/>
        <v>3.4858320384091948</v>
      </c>
      <c r="O20">
        <f t="shared" si="2"/>
        <v>2.9828457888399127</v>
      </c>
    </row>
    <row r="21" spans="1:21" x14ac:dyDescent="0.2">
      <c r="A21" t="s">
        <v>251</v>
      </c>
      <c r="C21">
        <f t="shared" ref="C21:O21" si="3">C18/21.8383</f>
        <v>1.9915927521830923</v>
      </c>
      <c r="D21">
        <f t="shared" si="3"/>
        <v>1.8225777647527506</v>
      </c>
      <c r="E21">
        <f t="shared" si="3"/>
        <v>4.2775765512883321</v>
      </c>
      <c r="F21">
        <f t="shared" si="3"/>
        <v>7.3350489735922659</v>
      </c>
      <c r="G21">
        <f t="shared" si="3"/>
        <v>4.4992055242395255</v>
      </c>
      <c r="H21">
        <f t="shared" si="3"/>
        <v>2.7791998461418705</v>
      </c>
      <c r="I21">
        <f t="shared" si="3"/>
        <v>2.6652257730684155</v>
      </c>
      <c r="J21">
        <f t="shared" si="3"/>
        <v>1.3836241832010736</v>
      </c>
      <c r="K21">
        <f t="shared" si="3"/>
        <v>1.9964466098551634</v>
      </c>
      <c r="L21">
        <f t="shared" si="3"/>
        <v>4.6957867599584207</v>
      </c>
      <c r="M21">
        <f t="shared" si="3"/>
        <v>1.3553710682608073</v>
      </c>
      <c r="N21">
        <f t="shared" si="3"/>
        <v>5.8450520415966434</v>
      </c>
      <c r="O21">
        <f t="shared" si="3"/>
        <v>1.0008562937591297</v>
      </c>
    </row>
    <row r="23" spans="1:21" s="1" customFormat="1" x14ac:dyDescent="0.2">
      <c r="A23" s="1" t="s">
        <v>29</v>
      </c>
      <c r="B23" s="1" t="s">
        <v>2</v>
      </c>
      <c r="C23" s="1" t="s">
        <v>254</v>
      </c>
    </row>
    <row r="24" spans="1:21" x14ac:dyDescent="0.2">
      <c r="A24" t="s">
        <v>253</v>
      </c>
      <c r="B24">
        <v>213.405</v>
      </c>
      <c r="C24">
        <v>306.13299999999998</v>
      </c>
      <c r="D24">
        <v>381.54700000000003</v>
      </c>
      <c r="E24">
        <v>409.54700000000003</v>
      </c>
      <c r="F24">
        <v>475.04700000000003</v>
      </c>
      <c r="G24">
        <v>333.42200000000003</v>
      </c>
      <c r="H24">
        <v>319.75</v>
      </c>
      <c r="I24">
        <v>299.75400000000002</v>
      </c>
      <c r="J24">
        <v>294.44499999999999</v>
      </c>
      <c r="K24">
        <v>302.863</v>
      </c>
      <c r="L24">
        <v>250.66399999999999</v>
      </c>
      <c r="M24">
        <v>249.81200000000001</v>
      </c>
      <c r="N24">
        <v>301.22300000000001</v>
      </c>
      <c r="O24">
        <v>310.40600000000001</v>
      </c>
      <c r="P24">
        <v>305.33600000000001</v>
      </c>
      <c r="Q24">
        <v>267.05900000000003</v>
      </c>
      <c r="R24">
        <v>443.20299999999997</v>
      </c>
      <c r="S24">
        <v>351.82400000000001</v>
      </c>
      <c r="T24">
        <v>272.63299999999998</v>
      </c>
      <c r="U24">
        <v>272.22699999999998</v>
      </c>
    </row>
    <row r="25" spans="1:21" x14ac:dyDescent="0.2">
      <c r="A25" t="s">
        <v>252</v>
      </c>
      <c r="C25">
        <f>C24-B24</f>
        <v>92.72799999999998</v>
      </c>
      <c r="D25">
        <f>D24-B24</f>
        <v>168.14200000000002</v>
      </c>
      <c r="E25">
        <f>E24-B24</f>
        <v>196.14200000000002</v>
      </c>
      <c r="F25">
        <f>F24-B24</f>
        <v>261.64200000000005</v>
      </c>
      <c r="G25">
        <f>G24-B24</f>
        <v>120.01700000000002</v>
      </c>
      <c r="H25">
        <f>H24-B24</f>
        <v>106.345</v>
      </c>
      <c r="I25">
        <f>I24-B24</f>
        <v>86.349000000000018</v>
      </c>
      <c r="J25">
        <f>J24-B24</f>
        <v>81.039999999999992</v>
      </c>
      <c r="K25">
        <f>K24-B24</f>
        <v>89.457999999999998</v>
      </c>
      <c r="L25">
        <f>L24-B24</f>
        <v>37.258999999999986</v>
      </c>
      <c r="M25">
        <f>M24-B24</f>
        <v>36.407000000000011</v>
      </c>
      <c r="N25">
        <f>N24-B24</f>
        <v>87.818000000000012</v>
      </c>
      <c r="O25">
        <f>O24-B24</f>
        <v>97.001000000000005</v>
      </c>
      <c r="P25">
        <f>P24-B24</f>
        <v>91.931000000000012</v>
      </c>
      <c r="Q25">
        <f>Q24-B24</f>
        <v>53.654000000000025</v>
      </c>
      <c r="R25">
        <f>R24-B24</f>
        <v>229.79799999999997</v>
      </c>
      <c r="S25">
        <f>S24-B24</f>
        <v>138.41900000000001</v>
      </c>
      <c r="T25">
        <f>T24-B24</f>
        <v>59.22799999999998</v>
      </c>
      <c r="U25">
        <f>U24-B24</f>
        <v>58.821999999999974</v>
      </c>
    </row>
    <row r="26" spans="1:21" x14ac:dyDescent="0.2">
      <c r="A26" t="s">
        <v>31</v>
      </c>
      <c r="C26">
        <v>2.9620000000000002</v>
      </c>
      <c r="D26">
        <v>2.1480000000000001</v>
      </c>
      <c r="E26">
        <v>1.391</v>
      </c>
      <c r="F26">
        <v>1.8779999999999999</v>
      </c>
      <c r="G26">
        <v>1.6870000000000001</v>
      </c>
      <c r="H26">
        <v>1.5649999999999999</v>
      </c>
      <c r="I26">
        <v>0.69199999999999995</v>
      </c>
      <c r="J26">
        <v>1.61</v>
      </c>
      <c r="K26">
        <v>2.0259999999999998</v>
      </c>
      <c r="L26">
        <v>1.6879999999999999</v>
      </c>
      <c r="M26">
        <v>2.1280000000000001</v>
      </c>
      <c r="N26">
        <v>2.4860000000000002</v>
      </c>
      <c r="O26">
        <v>1.8879999999999999</v>
      </c>
      <c r="P26">
        <v>1.7609999999999999</v>
      </c>
      <c r="Q26">
        <v>2.633</v>
      </c>
      <c r="R26">
        <v>3.1040000000000001</v>
      </c>
      <c r="S26">
        <v>2.4380000000000002</v>
      </c>
      <c r="T26">
        <v>2.2999999999999998</v>
      </c>
      <c r="U26">
        <v>1.8240000000000001</v>
      </c>
    </row>
    <row r="27" spans="1:21" x14ac:dyDescent="0.2">
      <c r="A27" t="s">
        <v>17</v>
      </c>
      <c r="C27">
        <f t="shared" ref="C27:U27" si="4">SQRT(1+C26^2)</f>
        <v>3.1262507896840268</v>
      </c>
      <c r="D27">
        <f t="shared" si="4"/>
        <v>2.3693678481822955</v>
      </c>
      <c r="E27">
        <f t="shared" si="4"/>
        <v>1.7131494388990121</v>
      </c>
      <c r="F27">
        <f t="shared" si="4"/>
        <v>2.1276475271999353</v>
      </c>
      <c r="G27">
        <f t="shared" si="4"/>
        <v>1.9611142241083257</v>
      </c>
      <c r="H27">
        <f t="shared" si="4"/>
        <v>1.8572089273961612</v>
      </c>
      <c r="I27">
        <f t="shared" si="4"/>
        <v>1.216085523308291</v>
      </c>
      <c r="J27">
        <f t="shared" si="4"/>
        <v>1.8952836199366048</v>
      </c>
      <c r="K27">
        <f t="shared" si="4"/>
        <v>2.2593530047338772</v>
      </c>
      <c r="L27">
        <f t="shared" si="4"/>
        <v>1.9619745156346959</v>
      </c>
      <c r="M27">
        <f t="shared" si="4"/>
        <v>2.351251581604997</v>
      </c>
      <c r="N27">
        <f t="shared" si="4"/>
        <v>2.6795887744204334</v>
      </c>
      <c r="O27">
        <f t="shared" si="4"/>
        <v>2.1364793469631294</v>
      </c>
      <c r="P27">
        <f t="shared" si="4"/>
        <v>2.0251224654326463</v>
      </c>
      <c r="Q27">
        <f t="shared" si="4"/>
        <v>2.8165029735471609</v>
      </c>
      <c r="R27">
        <f t="shared" si="4"/>
        <v>3.2611065606631136</v>
      </c>
      <c r="S27">
        <f t="shared" si="4"/>
        <v>2.6351174546877414</v>
      </c>
      <c r="T27">
        <f t="shared" si="4"/>
        <v>2.5079872407968904</v>
      </c>
      <c r="U27">
        <f t="shared" si="4"/>
        <v>2.0801384569302113</v>
      </c>
    </row>
    <row r="28" spans="1:21" x14ac:dyDescent="0.2">
      <c r="A28" t="s">
        <v>251</v>
      </c>
      <c r="C28">
        <f t="shared" ref="C28:U28" si="5">C25/21.8383</f>
        <v>4.2461180586400946</v>
      </c>
      <c r="D28">
        <f t="shared" si="5"/>
        <v>7.6994088367684306</v>
      </c>
      <c r="E28">
        <f t="shared" si="5"/>
        <v>8.9815599199571405</v>
      </c>
      <c r="F28">
        <f t="shared" si="5"/>
        <v>11.980877632416444</v>
      </c>
      <c r="G28">
        <f t="shared" si="5"/>
        <v>5.4957116625378362</v>
      </c>
      <c r="H28">
        <f t="shared" si="5"/>
        <v>4.8696556050608333</v>
      </c>
      <c r="I28">
        <f t="shared" si="5"/>
        <v>3.9540165672236398</v>
      </c>
      <c r="J28">
        <f t="shared" si="5"/>
        <v>3.7109115636290366</v>
      </c>
      <c r="K28">
        <f t="shared" si="5"/>
        <v>4.0963811285676996</v>
      </c>
      <c r="L28">
        <f t="shared" si="5"/>
        <v>1.706130971733147</v>
      </c>
      <c r="M28">
        <f t="shared" si="5"/>
        <v>1.6671169459161204</v>
      </c>
      <c r="N28">
        <f t="shared" si="5"/>
        <v>4.0212837079809329</v>
      </c>
      <c r="O28">
        <f t="shared" si="5"/>
        <v>4.4417834721567155</v>
      </c>
      <c r="P28">
        <f t="shared" si="5"/>
        <v>4.2096225438793313</v>
      </c>
      <c r="Q28">
        <f t="shared" si="5"/>
        <v>2.4568762220502522</v>
      </c>
      <c r="R28">
        <f t="shared" si="5"/>
        <v>10.522705521949968</v>
      </c>
      <c r="S28">
        <f t="shared" si="5"/>
        <v>6.3383596708535013</v>
      </c>
      <c r="T28">
        <f t="shared" si="5"/>
        <v>2.7121158698250314</v>
      </c>
      <c r="U28">
        <f t="shared" si="5"/>
        <v>2.6935246791187946</v>
      </c>
    </row>
    <row r="30" spans="1:21" s="1" customFormat="1" x14ac:dyDescent="0.2">
      <c r="A30" s="1" t="s">
        <v>46</v>
      </c>
      <c r="B30" s="1" t="s">
        <v>30</v>
      </c>
      <c r="C30" s="1" t="s">
        <v>254</v>
      </c>
    </row>
    <row r="31" spans="1:21" x14ac:dyDescent="0.2">
      <c r="A31" t="s">
        <v>253</v>
      </c>
      <c r="B31">
        <v>213.405</v>
      </c>
      <c r="C31">
        <v>322.60500000000002</v>
      </c>
      <c r="D31">
        <v>423.65600000000001</v>
      </c>
      <c r="E31">
        <v>389.22300000000001</v>
      </c>
      <c r="F31">
        <v>281.62900000000002</v>
      </c>
      <c r="G31">
        <v>311.41000000000003</v>
      </c>
      <c r="H31">
        <v>354.50400000000002</v>
      </c>
      <c r="I31">
        <v>312.14100000000002</v>
      </c>
      <c r="J31">
        <v>288.03500000000003</v>
      </c>
      <c r="K31">
        <v>266.57799999999997</v>
      </c>
      <c r="L31">
        <v>308.87099999999998</v>
      </c>
      <c r="M31">
        <v>318.94900000000001</v>
      </c>
      <c r="N31">
        <v>362.613</v>
      </c>
      <c r="O31">
        <v>360.66399999999999</v>
      </c>
    </row>
    <row r="32" spans="1:21" x14ac:dyDescent="0.2">
      <c r="A32" t="s">
        <v>252</v>
      </c>
      <c r="C32">
        <f>C31-B31</f>
        <v>109.20000000000002</v>
      </c>
      <c r="D32">
        <f>D31-B31</f>
        <v>210.251</v>
      </c>
      <c r="E32">
        <f>E31-B31</f>
        <v>175.81800000000001</v>
      </c>
      <c r="F32">
        <f>F31-B31</f>
        <v>68.224000000000018</v>
      </c>
      <c r="G32">
        <f>G31-B31</f>
        <v>98.005000000000024</v>
      </c>
      <c r="H32">
        <f>H31-B31</f>
        <v>141.09900000000002</v>
      </c>
      <c r="I32">
        <f>I31-B31</f>
        <v>98.736000000000018</v>
      </c>
      <c r="J32">
        <f>J31-B31</f>
        <v>74.630000000000024</v>
      </c>
      <c r="K32">
        <f>K31-B31</f>
        <v>53.172999999999973</v>
      </c>
      <c r="L32">
        <f>L31-B31</f>
        <v>95.46599999999998</v>
      </c>
      <c r="M32">
        <f>M31-B31</f>
        <v>105.54400000000001</v>
      </c>
      <c r="N32">
        <f>N31-B31</f>
        <v>149.208</v>
      </c>
      <c r="O32">
        <f>O31-B31</f>
        <v>147.25899999999999</v>
      </c>
    </row>
    <row r="33" spans="1:18" x14ac:dyDescent="0.2">
      <c r="A33" t="s">
        <v>31</v>
      </c>
      <c r="C33">
        <v>2.0489999999999999</v>
      </c>
      <c r="D33">
        <v>1.9339999999999999</v>
      </c>
      <c r="E33">
        <v>2.1160000000000001</v>
      </c>
      <c r="F33">
        <v>1.9139999999999999</v>
      </c>
      <c r="G33">
        <v>1.8120000000000001</v>
      </c>
      <c r="H33">
        <v>1.657</v>
      </c>
      <c r="I33">
        <v>1.3580000000000001</v>
      </c>
      <c r="J33">
        <v>2.4660000000000002</v>
      </c>
      <c r="K33">
        <v>3.1930000000000001</v>
      </c>
      <c r="L33">
        <v>1.7490000000000001</v>
      </c>
      <c r="M33">
        <v>2.7229999999999999</v>
      </c>
      <c r="N33">
        <v>2.0950000000000002</v>
      </c>
      <c r="O33">
        <v>1.84</v>
      </c>
    </row>
    <row r="34" spans="1:18" x14ac:dyDescent="0.2">
      <c r="A34" t="s">
        <v>251</v>
      </c>
      <c r="C34">
        <f t="shared" ref="C34:O34" si="6">C32/21.8383</f>
        <v>5.0003892244359687</v>
      </c>
      <c r="D34">
        <f t="shared" si="6"/>
        <v>9.6276266925539069</v>
      </c>
      <c r="E34">
        <f t="shared" si="6"/>
        <v>8.0509013980025923</v>
      </c>
      <c r="F34">
        <f t="shared" si="6"/>
        <v>3.1240526964095197</v>
      </c>
      <c r="G34">
        <f t="shared" si="6"/>
        <v>4.487757746711055</v>
      </c>
      <c r="H34">
        <f t="shared" si="6"/>
        <v>6.4610798459587064</v>
      </c>
      <c r="I34">
        <f t="shared" si="6"/>
        <v>4.5212310482043021</v>
      </c>
      <c r="J34">
        <f t="shared" si="6"/>
        <v>3.4173905477990512</v>
      </c>
      <c r="K34">
        <f t="shared" si="6"/>
        <v>2.4348506980854725</v>
      </c>
      <c r="L34">
        <f t="shared" si="6"/>
        <v>4.3714941181319045</v>
      </c>
      <c r="M34">
        <f t="shared" si="6"/>
        <v>4.8329769258596142</v>
      </c>
      <c r="N34">
        <f t="shared" si="6"/>
        <v>6.8323999578721786</v>
      </c>
      <c r="O34">
        <f t="shared" si="6"/>
        <v>6.7431530842602214</v>
      </c>
    </row>
    <row r="36" spans="1:18" s="1" customFormat="1" x14ac:dyDescent="0.2">
      <c r="A36" s="1" t="s">
        <v>14</v>
      </c>
      <c r="B36" s="1" t="s">
        <v>2</v>
      </c>
      <c r="C36" s="1" t="s">
        <v>254</v>
      </c>
    </row>
    <row r="37" spans="1:18" x14ac:dyDescent="0.2">
      <c r="A37" t="s">
        <v>253</v>
      </c>
      <c r="B37">
        <v>213.405</v>
      </c>
      <c r="C37">
        <v>404.66399999999999</v>
      </c>
      <c r="D37">
        <v>412.5</v>
      </c>
      <c r="E37">
        <v>369.94900000000001</v>
      </c>
      <c r="F37">
        <v>377.71899999999999</v>
      </c>
      <c r="G37">
        <v>326.12099999999998</v>
      </c>
      <c r="H37">
        <v>480.60599999999999</v>
      </c>
      <c r="I37">
        <v>370.41800000000001</v>
      </c>
      <c r="J37">
        <v>351.38299999999998</v>
      </c>
      <c r="K37">
        <v>325.80900000000003</v>
      </c>
      <c r="L37">
        <v>294.738</v>
      </c>
      <c r="M37">
        <v>275.13299999999998</v>
      </c>
      <c r="N37">
        <v>346.27300000000002</v>
      </c>
      <c r="O37">
        <v>394.17200000000003</v>
      </c>
      <c r="P37">
        <v>293.75400000000002</v>
      </c>
      <c r="Q37">
        <v>264.45299999999997</v>
      </c>
      <c r="R37">
        <v>263.03899999999999</v>
      </c>
    </row>
    <row r="38" spans="1:18" x14ac:dyDescent="0.2">
      <c r="A38" t="s">
        <v>252</v>
      </c>
      <c r="C38">
        <f>C37-B37</f>
        <v>191.25899999999999</v>
      </c>
      <c r="D38">
        <f>D37-B37</f>
        <v>199.095</v>
      </c>
      <c r="E38">
        <f>E37-B37</f>
        <v>156.54400000000001</v>
      </c>
      <c r="F38">
        <f>F37-B37</f>
        <v>164.31399999999999</v>
      </c>
      <c r="G38">
        <f>G37-B37</f>
        <v>112.71599999999998</v>
      </c>
      <c r="H38">
        <f>H37-B37</f>
        <v>267.20100000000002</v>
      </c>
      <c r="I38">
        <f>I37-B37</f>
        <v>157.01300000000001</v>
      </c>
      <c r="J38">
        <f>J37-B37</f>
        <v>137.97799999999998</v>
      </c>
      <c r="K38">
        <f>K37-B37</f>
        <v>112.40400000000002</v>
      </c>
      <c r="L38">
        <f>L37-B37</f>
        <v>81.332999999999998</v>
      </c>
      <c r="M38">
        <f>M37-B37</f>
        <v>61.72799999999998</v>
      </c>
      <c r="N38">
        <f>N37-B37</f>
        <v>132.86800000000002</v>
      </c>
      <c r="O38">
        <f>O37-B37</f>
        <v>180.76700000000002</v>
      </c>
      <c r="P38">
        <f>P37-B37</f>
        <v>80.349000000000018</v>
      </c>
      <c r="Q38">
        <f>Q37-B37</f>
        <v>51.047999999999973</v>
      </c>
      <c r="R38">
        <f>R37-B37</f>
        <v>49.633999999999986</v>
      </c>
    </row>
    <row r="39" spans="1:18" x14ac:dyDescent="0.2">
      <c r="A39" t="s">
        <v>31</v>
      </c>
      <c r="C39">
        <v>2.1619999999999999</v>
      </c>
      <c r="D39">
        <v>2.35</v>
      </c>
      <c r="E39">
        <v>1.3839999999999999</v>
      </c>
      <c r="F39">
        <v>1.9350000000000001</v>
      </c>
      <c r="G39">
        <v>2.5219999999999998</v>
      </c>
      <c r="H39">
        <v>1.9219999999999999</v>
      </c>
      <c r="I39">
        <v>1.242</v>
      </c>
      <c r="J39">
        <v>1.897</v>
      </c>
      <c r="K39">
        <v>2.1469999999999998</v>
      </c>
      <c r="L39">
        <v>3.2589999999999999</v>
      </c>
      <c r="M39">
        <v>2.1539999999999999</v>
      </c>
      <c r="N39">
        <v>2.0310000000000001</v>
      </c>
      <c r="O39">
        <v>2.4910000000000001</v>
      </c>
      <c r="P39">
        <v>1.0740000000000001</v>
      </c>
      <c r="Q39">
        <v>1.6279999999999999</v>
      </c>
      <c r="R39">
        <v>0.498</v>
      </c>
    </row>
    <row r="40" spans="1:18" x14ac:dyDescent="0.2">
      <c r="A40" t="s">
        <v>17</v>
      </c>
      <c r="C40">
        <f t="shared" ref="C40:R40" si="7">SQRT(1+C39^2)</f>
        <v>2.3820671694979549</v>
      </c>
      <c r="D40">
        <f t="shared" si="7"/>
        <v>2.553918557824427</v>
      </c>
      <c r="E40">
        <f t="shared" si="7"/>
        <v>1.7074706439643406</v>
      </c>
      <c r="F40">
        <f t="shared" si="7"/>
        <v>2.1781241929697215</v>
      </c>
      <c r="G40">
        <f t="shared" si="7"/>
        <v>2.7130211941671223</v>
      </c>
      <c r="H40">
        <f t="shared" si="7"/>
        <v>2.1665834855827737</v>
      </c>
      <c r="I40">
        <f t="shared" si="7"/>
        <v>1.594541940495765</v>
      </c>
      <c r="J40">
        <f t="shared" si="7"/>
        <v>2.1444367558871957</v>
      </c>
      <c r="K40">
        <f t="shared" si="7"/>
        <v>2.3684613148624569</v>
      </c>
      <c r="L40">
        <f t="shared" si="7"/>
        <v>3.4089706657582139</v>
      </c>
      <c r="M40">
        <f t="shared" si="7"/>
        <v>2.374808623868458</v>
      </c>
      <c r="N40">
        <f t="shared" si="7"/>
        <v>2.2638376708589334</v>
      </c>
      <c r="O40">
        <f t="shared" si="7"/>
        <v>2.6842281944722957</v>
      </c>
      <c r="P40">
        <f t="shared" si="7"/>
        <v>1.4674726573261938</v>
      </c>
      <c r="Q40">
        <f t="shared" si="7"/>
        <v>1.9105978122043372</v>
      </c>
      <c r="R40">
        <f t="shared" si="7"/>
        <v>1.1171409937872658</v>
      </c>
    </row>
    <row r="41" spans="1:18" x14ac:dyDescent="0.2">
      <c r="A41" t="s">
        <v>251</v>
      </c>
      <c r="C41">
        <f t="shared" ref="C41:R41" si="8">C38/21.8383</f>
        <v>8.7579619292710511</v>
      </c>
      <c r="D41">
        <f t="shared" si="8"/>
        <v>9.1167810681234336</v>
      </c>
      <c r="E41">
        <f t="shared" si="8"/>
        <v>7.168323541667621</v>
      </c>
      <c r="F41">
        <f t="shared" si="8"/>
        <v>7.5241204672524873</v>
      </c>
      <c r="G41">
        <f t="shared" si="8"/>
        <v>5.1613907675963775</v>
      </c>
      <c r="H41">
        <f t="shared" si="8"/>
        <v>12.235430413539516</v>
      </c>
      <c r="I41">
        <f t="shared" si="8"/>
        <v>7.1897995723110313</v>
      </c>
      <c r="J41">
        <f t="shared" si="8"/>
        <v>6.3181657912932776</v>
      </c>
      <c r="K41">
        <f t="shared" si="8"/>
        <v>5.1471039412408484</v>
      </c>
      <c r="L41">
        <f t="shared" si="8"/>
        <v>3.7243283588924045</v>
      </c>
      <c r="M41">
        <f t="shared" si="8"/>
        <v>2.8265936451097375</v>
      </c>
      <c r="N41">
        <f t="shared" si="8"/>
        <v>6.0841732186113395</v>
      </c>
      <c r="O41">
        <f t="shared" si="8"/>
        <v>8.277521601956197</v>
      </c>
      <c r="P41">
        <f t="shared" si="8"/>
        <v>3.6792699065403451</v>
      </c>
      <c r="Q41">
        <f t="shared" si="8"/>
        <v>2.3375445890934721</v>
      </c>
      <c r="R41">
        <f t="shared" si="8"/>
        <v>2.2727959593924427</v>
      </c>
    </row>
    <row r="43" spans="1:18" s="1" customFormat="1" x14ac:dyDescent="0.2">
      <c r="A43" s="1" t="s">
        <v>15</v>
      </c>
      <c r="B43" s="1" t="s">
        <v>2</v>
      </c>
      <c r="C43" s="1" t="s">
        <v>254</v>
      </c>
    </row>
    <row r="44" spans="1:18" x14ac:dyDescent="0.2">
      <c r="A44" t="s">
        <v>253</v>
      </c>
      <c r="B44">
        <v>213.405</v>
      </c>
      <c r="C44">
        <v>286.55099999999999</v>
      </c>
      <c r="D44">
        <v>270.15600000000001</v>
      </c>
      <c r="E44">
        <v>254.51599999999999</v>
      </c>
      <c r="F44">
        <v>370.25900000000001</v>
      </c>
      <c r="G44">
        <v>362.27699999999999</v>
      </c>
      <c r="H44">
        <v>399.39499999999998</v>
      </c>
      <c r="I44">
        <v>303.762</v>
      </c>
      <c r="J44">
        <v>376.03500000000003</v>
      </c>
      <c r="K44">
        <v>320.91000000000003</v>
      </c>
      <c r="L44">
        <v>315.43799999999999</v>
      </c>
      <c r="M44">
        <v>382.73</v>
      </c>
      <c r="N44">
        <v>458.238</v>
      </c>
      <c r="O44">
        <v>378.66800000000001</v>
      </c>
      <c r="P44">
        <v>303.46899999999999</v>
      </c>
    </row>
    <row r="45" spans="1:18" x14ac:dyDescent="0.2">
      <c r="A45" t="s">
        <v>252</v>
      </c>
      <c r="C45">
        <f>C44-B44</f>
        <v>73.145999999999987</v>
      </c>
      <c r="D45">
        <f>D44-B44</f>
        <v>56.751000000000005</v>
      </c>
      <c r="E45">
        <f>E44-B44</f>
        <v>41.11099999999999</v>
      </c>
      <c r="F45">
        <f>F44-B44</f>
        <v>156.85400000000001</v>
      </c>
      <c r="G45">
        <f>G44-B44</f>
        <v>148.87199999999999</v>
      </c>
      <c r="H45">
        <f>H44-B44</f>
        <v>185.98999999999998</v>
      </c>
      <c r="I45">
        <f>I44-B44</f>
        <v>90.356999999999999</v>
      </c>
      <c r="J45">
        <f>J44-B44</f>
        <v>162.63000000000002</v>
      </c>
      <c r="K45">
        <f>K44-B44</f>
        <v>107.50500000000002</v>
      </c>
      <c r="L45">
        <f>L44-B44</f>
        <v>102.03299999999999</v>
      </c>
      <c r="M45">
        <f>M44-B44</f>
        <v>169.32500000000002</v>
      </c>
      <c r="N45">
        <f>N44-B44</f>
        <v>244.833</v>
      </c>
      <c r="O45">
        <f>O44-B44</f>
        <v>165.26300000000001</v>
      </c>
      <c r="P45">
        <f>P44-B44</f>
        <v>90.063999999999993</v>
      </c>
    </row>
    <row r="46" spans="1:18" x14ac:dyDescent="0.2">
      <c r="A46" t="s">
        <v>31</v>
      </c>
      <c r="C46">
        <v>1.3080000000000001</v>
      </c>
      <c r="D46">
        <v>2.14</v>
      </c>
      <c r="E46">
        <v>2.4910000000000001</v>
      </c>
      <c r="F46">
        <v>1.1539999999999999</v>
      </c>
      <c r="G46">
        <v>1.776</v>
      </c>
      <c r="H46">
        <v>1.6160000000000001</v>
      </c>
      <c r="I46">
        <v>2.1869999999999998</v>
      </c>
      <c r="J46">
        <v>2.0830000000000002</v>
      </c>
      <c r="K46">
        <v>3.2280000000000002</v>
      </c>
      <c r="L46">
        <v>2.8090000000000002</v>
      </c>
      <c r="M46">
        <v>2.35</v>
      </c>
      <c r="N46">
        <v>1.9970000000000001</v>
      </c>
      <c r="O46">
        <v>1.387</v>
      </c>
      <c r="P46">
        <v>0.53600000000000003</v>
      </c>
    </row>
    <row r="47" spans="1:18" x14ac:dyDescent="0.2">
      <c r="A47" t="s">
        <v>17</v>
      </c>
      <c r="C47">
        <f t="shared" ref="C47:P47" si="9">SQRT(4+C46^2)</f>
        <v>2.3897414086047051</v>
      </c>
      <c r="D47">
        <f t="shared" si="9"/>
        <v>2.9290954235053523</v>
      </c>
      <c r="E47">
        <f t="shared" si="9"/>
        <v>3.1945392469024387</v>
      </c>
      <c r="F47">
        <f t="shared" si="9"/>
        <v>2.3090508872694859</v>
      </c>
      <c r="G47">
        <f t="shared" si="9"/>
        <v>2.6747291451659176</v>
      </c>
      <c r="H47">
        <f t="shared" si="9"/>
        <v>2.5712751700275098</v>
      </c>
      <c r="I47">
        <f t="shared" si="9"/>
        <v>2.9636074301432029</v>
      </c>
      <c r="J47">
        <f t="shared" si="9"/>
        <v>2.8877134553137371</v>
      </c>
      <c r="K47">
        <f t="shared" si="9"/>
        <v>3.7973654024863084</v>
      </c>
      <c r="L47">
        <f t="shared" si="9"/>
        <v>3.4482576759865267</v>
      </c>
      <c r="M47">
        <f t="shared" si="9"/>
        <v>3.0858548248418947</v>
      </c>
      <c r="N47">
        <f t="shared" si="9"/>
        <v>2.8263066004947164</v>
      </c>
      <c r="O47">
        <f t="shared" si="9"/>
        <v>2.4338794136111179</v>
      </c>
      <c r="P47">
        <f t="shared" si="9"/>
        <v>2.0705786630794787</v>
      </c>
    </row>
    <row r="48" spans="1:18" x14ac:dyDescent="0.2">
      <c r="A48" t="s">
        <v>251</v>
      </c>
      <c r="C48">
        <f t="shared" ref="C48:P48" si="10">C45/21.8383</f>
        <v>3.3494365403900481</v>
      </c>
      <c r="D48">
        <f t="shared" si="10"/>
        <v>2.5986912900729453</v>
      </c>
      <c r="E48">
        <f t="shared" si="10"/>
        <v>1.8825183278918225</v>
      </c>
      <c r="F48">
        <f t="shared" si="10"/>
        <v>7.1825187858029249</v>
      </c>
      <c r="G48">
        <f t="shared" si="10"/>
        <v>6.8170141448739132</v>
      </c>
      <c r="H48">
        <f t="shared" si="10"/>
        <v>8.5166885700810031</v>
      </c>
      <c r="I48">
        <f t="shared" si="10"/>
        <v>4.1375473365600799</v>
      </c>
      <c r="J48">
        <f t="shared" si="10"/>
        <v>7.4470082378207101</v>
      </c>
      <c r="K48">
        <f t="shared" si="10"/>
        <v>4.9227732927929386</v>
      </c>
      <c r="L48">
        <f t="shared" si="10"/>
        <v>4.6722043382497711</v>
      </c>
      <c r="M48">
        <f t="shared" si="10"/>
        <v>7.7535797200331533</v>
      </c>
      <c r="N48">
        <f t="shared" si="10"/>
        <v>11.211174862512191</v>
      </c>
      <c r="O48">
        <f t="shared" si="10"/>
        <v>7.5675762307505625</v>
      </c>
      <c r="P48">
        <f t="shared" si="10"/>
        <v>4.1241305412967124</v>
      </c>
    </row>
    <row r="50" spans="1:11" s="1" customFormat="1" x14ac:dyDescent="0.2">
      <c r="A50" s="1" t="s">
        <v>16</v>
      </c>
      <c r="B50" s="1" t="s">
        <v>2</v>
      </c>
      <c r="C50" s="1" t="s">
        <v>23</v>
      </c>
      <c r="E50" s="1" t="s">
        <v>254</v>
      </c>
    </row>
    <row r="51" spans="1:11" x14ac:dyDescent="0.2">
      <c r="A51" t="s">
        <v>253</v>
      </c>
      <c r="B51">
        <v>213.405</v>
      </c>
      <c r="C51">
        <v>225.547</v>
      </c>
      <c r="D51">
        <v>241.613</v>
      </c>
      <c r="E51">
        <v>240.602</v>
      </c>
      <c r="F51">
        <v>351.22300000000001</v>
      </c>
      <c r="G51">
        <v>343.91800000000001</v>
      </c>
      <c r="H51">
        <v>243.19800000000001</v>
      </c>
      <c r="I51">
        <v>245.86699999999999</v>
      </c>
      <c r="J51">
        <v>260.68</v>
      </c>
      <c r="K51">
        <v>258.738</v>
      </c>
    </row>
    <row r="52" spans="1:11" x14ac:dyDescent="0.2">
      <c r="A52" t="s">
        <v>252</v>
      </c>
      <c r="C52">
        <f>C51-B51</f>
        <v>12.141999999999996</v>
      </c>
      <c r="D52">
        <f>D51-B51</f>
        <v>28.207999999999998</v>
      </c>
      <c r="E52">
        <f>E51-B51</f>
        <v>27.197000000000003</v>
      </c>
      <c r="F52">
        <f>F51-B51</f>
        <v>137.81800000000001</v>
      </c>
      <c r="G52">
        <f>G51-B51</f>
        <v>130.51300000000001</v>
      </c>
      <c r="H52">
        <f>H51-B51</f>
        <v>29.793000000000006</v>
      </c>
      <c r="I52">
        <f>I51-B51</f>
        <v>32.461999999999989</v>
      </c>
      <c r="J52">
        <f>J51-B51</f>
        <v>47.275000000000006</v>
      </c>
      <c r="K52">
        <f>K51-B51</f>
        <v>45.332999999999998</v>
      </c>
    </row>
    <row r="53" spans="1:11" x14ac:dyDescent="0.2">
      <c r="A53" t="s">
        <v>31</v>
      </c>
      <c r="C53">
        <v>4.9000000000000004</v>
      </c>
      <c r="D53">
        <v>1.3160000000000001</v>
      </c>
      <c r="E53">
        <v>3.3580000000000001</v>
      </c>
      <c r="F53">
        <v>1.1379999999999999</v>
      </c>
      <c r="G53">
        <v>1.8680000000000001</v>
      </c>
      <c r="H53">
        <v>3.5470000000000002</v>
      </c>
      <c r="I53">
        <v>2.3580000000000001</v>
      </c>
      <c r="J53">
        <v>1.9670000000000001</v>
      </c>
      <c r="K53">
        <v>1.1539999999999999</v>
      </c>
    </row>
    <row r="54" spans="1:11" x14ac:dyDescent="0.2">
      <c r="A54" t="s">
        <v>17</v>
      </c>
      <c r="C54">
        <f t="shared" ref="C54:K54" si="11">SQRT(9+C53^2)</f>
        <v>5.7454329688892907</v>
      </c>
      <c r="D54">
        <f t="shared" si="11"/>
        <v>3.2759511595870903</v>
      </c>
      <c r="E54">
        <f t="shared" si="11"/>
        <v>4.5029061726844812</v>
      </c>
      <c r="F54">
        <f t="shared" si="11"/>
        <v>3.2085890980304725</v>
      </c>
      <c r="G54">
        <f t="shared" si="11"/>
        <v>3.5340379171706688</v>
      </c>
      <c r="H54">
        <f t="shared" si="11"/>
        <v>4.6455579858613323</v>
      </c>
      <c r="I54">
        <f t="shared" si="11"/>
        <v>3.8157782954464219</v>
      </c>
      <c r="J54">
        <f t="shared" si="11"/>
        <v>3.5873512512716119</v>
      </c>
      <c r="K54">
        <f t="shared" si="11"/>
        <v>3.2142986793389317</v>
      </c>
    </row>
    <row r="55" spans="1:11" x14ac:dyDescent="0.2">
      <c r="A55" t="s">
        <v>251</v>
      </c>
      <c r="D55">
        <f t="shared" ref="D55:K55" si="12">D52/21.8383</f>
        <v>1.2916756340923972</v>
      </c>
      <c r="E55">
        <f t="shared" si="12"/>
        <v>1.2453808217672622</v>
      </c>
      <c r="F55">
        <f t="shared" si="12"/>
        <v>6.3108392136750577</v>
      </c>
      <c r="G55">
        <f t="shared" si="12"/>
        <v>5.976335154293146</v>
      </c>
      <c r="H55">
        <f t="shared" si="12"/>
        <v>1.3642545436229012</v>
      </c>
      <c r="I55">
        <f t="shared" si="12"/>
        <v>1.4864710165168529</v>
      </c>
      <c r="J55">
        <f t="shared" si="12"/>
        <v>2.1647747306337948</v>
      </c>
      <c r="K55">
        <f t="shared" si="12"/>
        <v>2.0758483947926347</v>
      </c>
    </row>
    <row r="57" spans="1:11" s="1" customFormat="1" x14ac:dyDescent="0.2">
      <c r="A57" s="1" t="s">
        <v>18</v>
      </c>
      <c r="B57" s="1" t="s">
        <v>2</v>
      </c>
      <c r="C57" s="1" t="s">
        <v>23</v>
      </c>
      <c r="D57" s="1" t="s">
        <v>254</v>
      </c>
    </row>
    <row r="58" spans="1:11" x14ac:dyDescent="0.2">
      <c r="A58" t="s">
        <v>253</v>
      </c>
      <c r="B58">
        <v>213.405</v>
      </c>
      <c r="C58">
        <v>241.33199999999999</v>
      </c>
      <c r="D58">
        <v>259.19099999999997</v>
      </c>
      <c r="E58">
        <v>233.648</v>
      </c>
      <c r="F58">
        <v>233.09399999999999</v>
      </c>
    </row>
    <row r="59" spans="1:11" x14ac:dyDescent="0.2">
      <c r="A59" t="s">
        <v>252</v>
      </c>
      <c r="C59">
        <f>C58-B58</f>
        <v>27.926999999999992</v>
      </c>
      <c r="D59">
        <f>D58-B58</f>
        <v>45.785999999999973</v>
      </c>
      <c r="E59">
        <f>E58-B58</f>
        <v>20.242999999999995</v>
      </c>
      <c r="F59">
        <f>F58-B58</f>
        <v>19.688999999999993</v>
      </c>
    </row>
    <row r="60" spans="1:11" x14ac:dyDescent="0.2">
      <c r="A60" t="s">
        <v>31</v>
      </c>
      <c r="C60">
        <v>4.9889999999999999</v>
      </c>
      <c r="D60">
        <v>1.6739999999999999</v>
      </c>
      <c r="E60">
        <v>1.417</v>
      </c>
      <c r="F60">
        <v>0.879</v>
      </c>
    </row>
    <row r="61" spans="1:11" x14ac:dyDescent="0.2">
      <c r="A61" t="s">
        <v>17</v>
      </c>
      <c r="C61">
        <f>SQRT(25+C53^2)</f>
        <v>7.0007142492748553</v>
      </c>
      <c r="D61">
        <f>SQRT(25+D53^2)</f>
        <v>5.1702858721738005</v>
      </c>
      <c r="E61">
        <f>SQRT(25+E53^2)</f>
        <v>6.0229696994090878</v>
      </c>
      <c r="F61">
        <f>SQRT(25+F53^2)</f>
        <v>5.1278693431092801</v>
      </c>
    </row>
    <row r="62" spans="1:11" x14ac:dyDescent="0.2">
      <c r="A62" t="s">
        <v>251</v>
      </c>
      <c r="D62">
        <f>D59/21.8383</f>
        <v>2.0965917676742225</v>
      </c>
      <c r="E62">
        <f>E59/21.8383</f>
        <v>0.92694944203532303</v>
      </c>
      <c r="F62">
        <f>F59/21.8383</f>
        <v>0.90158116703223201</v>
      </c>
    </row>
    <row r="65" spans="1:2" x14ac:dyDescent="0.2">
      <c r="A65" t="s">
        <v>33</v>
      </c>
      <c r="B65">
        <f>AVERAGE(C59,C52,C11,C4)</f>
        <v>21.838250000000002</v>
      </c>
    </row>
    <row r="66" spans="1:2" x14ac:dyDescent="0.2">
      <c r="A66" t="s">
        <v>27</v>
      </c>
      <c r="B66">
        <v>57.112000000000002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AF17-F6F4-894D-8C30-E78AEC317F3F}">
  <dimension ref="A2:AA90"/>
  <sheetViews>
    <sheetView workbookViewId="0">
      <selection activeCell="R45" sqref="R45"/>
    </sheetView>
  </sheetViews>
  <sheetFormatPr baseColWidth="10" defaultColWidth="8.83203125" defaultRowHeight="15" x14ac:dyDescent="0.2"/>
  <cols>
    <col min="1" max="1" width="19" customWidth="1"/>
    <col min="2" max="2" width="18.6640625" customWidth="1"/>
    <col min="3" max="3" width="16.5" customWidth="1"/>
    <col min="4" max="4" width="11.33203125" customWidth="1"/>
    <col min="5" max="5" width="11.1640625" customWidth="1"/>
  </cols>
  <sheetData>
    <row r="2" spans="1:10" x14ac:dyDescent="0.2">
      <c r="A2" t="s">
        <v>258</v>
      </c>
    </row>
    <row r="3" spans="1:10" s="1" customFormat="1" x14ac:dyDescent="0.2">
      <c r="A3" s="1" t="s">
        <v>1</v>
      </c>
      <c r="B3" s="1" t="s">
        <v>2</v>
      </c>
      <c r="C3" s="1" t="s">
        <v>254</v>
      </c>
    </row>
    <row r="4" spans="1:10" x14ac:dyDescent="0.2">
      <c r="A4" t="s">
        <v>253</v>
      </c>
      <c r="B4">
        <v>214.45500000000001</v>
      </c>
      <c r="C4">
        <v>250.816</v>
      </c>
      <c r="D4">
        <v>234.14500000000001</v>
      </c>
      <c r="E4">
        <v>241.20699999999999</v>
      </c>
      <c r="F4">
        <v>234.50399999999999</v>
      </c>
    </row>
    <row r="5" spans="1:10" x14ac:dyDescent="0.2">
      <c r="A5" t="s">
        <v>252</v>
      </c>
      <c r="C5">
        <f>C4-B4</f>
        <v>36.36099999999999</v>
      </c>
      <c r="D5">
        <f>D4-B4</f>
        <v>19.689999999999998</v>
      </c>
      <c r="E5">
        <f>E4-B4</f>
        <v>26.751999999999981</v>
      </c>
      <c r="F5">
        <f>F4-B4</f>
        <v>20.048999999999978</v>
      </c>
    </row>
    <row r="6" spans="1:10" x14ac:dyDescent="0.2">
      <c r="A6" t="s">
        <v>31</v>
      </c>
      <c r="C6">
        <v>16.238</v>
      </c>
      <c r="D6">
        <v>14.978</v>
      </c>
      <c r="E6">
        <v>1.7490000000000001</v>
      </c>
      <c r="F6">
        <v>2.12</v>
      </c>
    </row>
    <row r="7" spans="1:10" x14ac:dyDescent="0.2">
      <c r="A7" t="s">
        <v>17</v>
      </c>
      <c r="C7">
        <f>SQRT(121+C6^2)</f>
        <v>19.613073293086934</v>
      </c>
      <c r="D7">
        <f>SQRT(121+D6^2)</f>
        <v>18.583338881912475</v>
      </c>
      <c r="E7">
        <f>SQRT(121+E6^2)</f>
        <v>11.138177633706512</v>
      </c>
      <c r="F7">
        <f>SQRT(121+F6^2)</f>
        <v>11.202428308183901</v>
      </c>
    </row>
    <row r="8" spans="1:10" x14ac:dyDescent="0.2">
      <c r="A8" t="s">
        <v>251</v>
      </c>
      <c r="C8">
        <f>C5/39.3872</f>
        <v>0.92316793272941433</v>
      </c>
      <c r="D8">
        <f>D5/39.3872</f>
        <v>0.49990859974814145</v>
      </c>
      <c r="E8">
        <f>E5/39.3872</f>
        <v>0.67920542714384324</v>
      </c>
      <c r="F8">
        <f>F5/39.3872</f>
        <v>0.50902323597513854</v>
      </c>
    </row>
    <row r="10" spans="1:10" s="1" customFormat="1" x14ac:dyDescent="0.2">
      <c r="A10" s="1" t="s">
        <v>8</v>
      </c>
      <c r="B10" s="1" t="s">
        <v>256</v>
      </c>
      <c r="C10" s="1" t="s">
        <v>23</v>
      </c>
      <c r="D10" s="1" t="s">
        <v>254</v>
      </c>
    </row>
    <row r="11" spans="1:10" x14ac:dyDescent="0.2">
      <c r="A11" t="s">
        <v>253</v>
      </c>
      <c r="B11">
        <v>214.45500000000001</v>
      </c>
      <c r="C11">
        <v>231.84800000000001</v>
      </c>
      <c r="D11">
        <v>401.46899999999999</v>
      </c>
      <c r="E11">
        <v>305.80099999999999</v>
      </c>
      <c r="F11">
        <v>297.29300000000001</v>
      </c>
      <c r="G11">
        <v>275.28100000000001</v>
      </c>
      <c r="H11">
        <v>368.988</v>
      </c>
      <c r="I11">
        <v>340.60500000000002</v>
      </c>
      <c r="J11">
        <v>239.91399999999999</v>
      </c>
    </row>
    <row r="12" spans="1:10" x14ac:dyDescent="0.2">
      <c r="A12" t="s">
        <v>252</v>
      </c>
      <c r="C12">
        <f>C11-B11</f>
        <v>17.393000000000001</v>
      </c>
      <c r="D12">
        <f>D11-B11</f>
        <v>187.01399999999998</v>
      </c>
      <c r="E12">
        <f>E11-B11</f>
        <v>91.345999999999975</v>
      </c>
      <c r="F12">
        <f>F11-B11</f>
        <v>82.837999999999994</v>
      </c>
      <c r="G12">
        <f>G11-B11</f>
        <v>60.825999999999993</v>
      </c>
      <c r="H12">
        <f>H11-B11</f>
        <v>154.53299999999999</v>
      </c>
      <c r="I12">
        <f>I11-B11</f>
        <v>126.15</v>
      </c>
      <c r="J12">
        <f>J11-B11</f>
        <v>25.458999999999975</v>
      </c>
    </row>
    <row r="13" spans="1:10" x14ac:dyDescent="0.2">
      <c r="A13" t="s">
        <v>31</v>
      </c>
      <c r="C13">
        <v>14.558</v>
      </c>
      <c r="D13">
        <v>16.3</v>
      </c>
      <c r="E13">
        <v>15.351000000000001</v>
      </c>
      <c r="F13">
        <v>14.634</v>
      </c>
      <c r="G13">
        <v>8.4969999999999999</v>
      </c>
      <c r="H13">
        <v>1.6180000000000001</v>
      </c>
      <c r="I13">
        <v>2.355</v>
      </c>
      <c r="J13">
        <v>0.60499999999999998</v>
      </c>
    </row>
    <row r="14" spans="1:10" x14ac:dyDescent="0.2">
      <c r="A14" t="s">
        <v>17</v>
      </c>
      <c r="C14">
        <f t="shared" ref="C14:J14" si="0">SQRT(100+C13^2)</f>
        <v>17.661691991425961</v>
      </c>
      <c r="D14">
        <f t="shared" si="0"/>
        <v>19.123022773609826</v>
      </c>
      <c r="E14">
        <f t="shared" si="0"/>
        <v>18.320840619360236</v>
      </c>
      <c r="F14">
        <f t="shared" si="0"/>
        <v>17.724388734170777</v>
      </c>
      <c r="G14">
        <f t="shared" si="0"/>
        <v>13.122462002231137</v>
      </c>
      <c r="H14">
        <f t="shared" si="0"/>
        <v>10.130050542815667</v>
      </c>
      <c r="I14">
        <f t="shared" si="0"/>
        <v>10.273559509731767</v>
      </c>
      <c r="J14">
        <f t="shared" si="0"/>
        <v>10.018284533791201</v>
      </c>
    </row>
    <row r="15" spans="1:10" x14ac:dyDescent="0.2">
      <c r="A15" t="s">
        <v>251</v>
      </c>
      <c r="D15">
        <f t="shared" ref="D15:J15" si="1">D12/39.3872</f>
        <v>4.7480907502945113</v>
      </c>
      <c r="E15">
        <f t="shared" si="1"/>
        <v>2.3191798350733226</v>
      </c>
      <c r="F15">
        <f t="shared" si="1"/>
        <v>2.103170573181135</v>
      </c>
      <c r="G15">
        <f t="shared" si="1"/>
        <v>1.5443088109842791</v>
      </c>
      <c r="H15">
        <f t="shared" si="1"/>
        <v>3.9234319779014499</v>
      </c>
      <c r="I15">
        <f t="shared" si="1"/>
        <v>3.2028171588739491</v>
      </c>
      <c r="J15">
        <f t="shared" si="1"/>
        <v>0.64637750335134192</v>
      </c>
    </row>
    <row r="18" spans="1:14" s="1" customFormat="1" x14ac:dyDescent="0.2">
      <c r="A18" s="1" t="s">
        <v>11</v>
      </c>
      <c r="B18" s="1" t="s">
        <v>2</v>
      </c>
      <c r="C18" s="1" t="s">
        <v>23</v>
      </c>
      <c r="D18" s="1" t="s">
        <v>254</v>
      </c>
    </row>
    <row r="19" spans="1:14" x14ac:dyDescent="0.2">
      <c r="A19" t="s">
        <v>253</v>
      </c>
      <c r="B19">
        <v>214.45500000000001</v>
      </c>
      <c r="C19">
        <v>235.715</v>
      </c>
      <c r="D19">
        <v>298.77</v>
      </c>
      <c r="E19">
        <v>445.988</v>
      </c>
      <c r="F19">
        <v>603.77700000000004</v>
      </c>
      <c r="G19">
        <v>272.89800000000002</v>
      </c>
      <c r="H19">
        <v>385.863</v>
      </c>
      <c r="I19">
        <v>261.33199999999999</v>
      </c>
      <c r="J19">
        <v>321.99200000000002</v>
      </c>
      <c r="K19">
        <v>342.44900000000001</v>
      </c>
      <c r="L19">
        <v>309.56599999999997</v>
      </c>
      <c r="M19">
        <v>288.94900000000001</v>
      </c>
    </row>
    <row r="20" spans="1:14" x14ac:dyDescent="0.2">
      <c r="A20" t="s">
        <v>252</v>
      </c>
      <c r="C20">
        <f>C19-B19</f>
        <v>21.259999999999991</v>
      </c>
      <c r="D20">
        <f>D19-B19</f>
        <v>84.314999999999969</v>
      </c>
      <c r="E20">
        <f>E19-B19</f>
        <v>231.53299999999999</v>
      </c>
      <c r="F20">
        <f>F19-B19</f>
        <v>389.322</v>
      </c>
      <c r="G20">
        <f>G19-B19</f>
        <v>58.443000000000012</v>
      </c>
      <c r="H20">
        <f>H19-B19</f>
        <v>171.40799999999999</v>
      </c>
      <c r="I20">
        <f>I19-B19</f>
        <v>46.876999999999981</v>
      </c>
      <c r="J20">
        <f>J19-B19</f>
        <v>107.53700000000001</v>
      </c>
      <c r="K20">
        <f>K19-B19</f>
        <v>127.994</v>
      </c>
      <c r="L20">
        <f>L19-B19</f>
        <v>95.110999999999962</v>
      </c>
      <c r="M20">
        <f>M19-B19</f>
        <v>74.494</v>
      </c>
    </row>
    <row r="21" spans="1:14" x14ac:dyDescent="0.2">
      <c r="A21" t="s">
        <v>31</v>
      </c>
      <c r="C21">
        <v>14.315</v>
      </c>
      <c r="D21">
        <v>0.78200000000000003</v>
      </c>
      <c r="E21">
        <v>1.4279999999999999</v>
      </c>
      <c r="F21">
        <v>2.6110000000000002</v>
      </c>
      <c r="G21">
        <v>5.2670000000000003</v>
      </c>
      <c r="H21">
        <v>8.4610000000000003</v>
      </c>
      <c r="I21">
        <v>10.397</v>
      </c>
      <c r="J21">
        <v>16.094999999999999</v>
      </c>
      <c r="K21">
        <v>15.313000000000001</v>
      </c>
      <c r="L21">
        <v>14.505000000000001</v>
      </c>
      <c r="M21">
        <v>20.292999999999999</v>
      </c>
    </row>
    <row r="22" spans="1:14" x14ac:dyDescent="0.2">
      <c r="A22" t="s">
        <v>17</v>
      </c>
      <c r="C22">
        <f t="shared" ref="C22:M22" si="2">SQRT(81+ C21^2)</f>
        <v>16.909146193702387</v>
      </c>
      <c r="D22">
        <f t="shared" si="2"/>
        <v>9.0339096741112037</v>
      </c>
      <c r="E22">
        <f t="shared" si="2"/>
        <v>9.1125838267749284</v>
      </c>
      <c r="F22">
        <f t="shared" si="2"/>
        <v>9.3710896378169384</v>
      </c>
      <c r="G22">
        <f t="shared" si="2"/>
        <v>10.427909138461075</v>
      </c>
      <c r="H22">
        <f t="shared" si="2"/>
        <v>12.352672625792364</v>
      </c>
      <c r="I22">
        <f t="shared" si="2"/>
        <v>13.75127663164406</v>
      </c>
      <c r="J22">
        <f t="shared" si="2"/>
        <v>18.440418243629942</v>
      </c>
      <c r="K22">
        <f t="shared" si="2"/>
        <v>17.761980998751238</v>
      </c>
      <c r="L22">
        <f t="shared" si="2"/>
        <v>17.0702965703587</v>
      </c>
      <c r="M22">
        <f t="shared" si="2"/>
        <v>22.199230820008154</v>
      </c>
    </row>
    <row r="23" spans="1:14" x14ac:dyDescent="0.2">
      <c r="A23" t="s">
        <v>251</v>
      </c>
      <c r="D23">
        <f t="shared" ref="D23:M23" si="3">D20/39.3872</f>
        <v>2.1406700654019573</v>
      </c>
      <c r="E23">
        <f t="shared" si="3"/>
        <v>5.8783818093187632</v>
      </c>
      <c r="F23">
        <f t="shared" si="3"/>
        <v>9.8844802372344311</v>
      </c>
      <c r="G23">
        <f t="shared" si="3"/>
        <v>1.4838069220457411</v>
      </c>
      <c r="H23">
        <f t="shared" si="3"/>
        <v>4.3518706584880364</v>
      </c>
      <c r="I23">
        <f t="shared" si="3"/>
        <v>1.19015822399155</v>
      </c>
      <c r="J23">
        <f t="shared" si="3"/>
        <v>2.7302524678068005</v>
      </c>
      <c r="K23">
        <f t="shared" si="3"/>
        <v>3.249634398992566</v>
      </c>
      <c r="L23">
        <f t="shared" si="3"/>
        <v>2.4147692651419739</v>
      </c>
      <c r="M23">
        <f t="shared" si="3"/>
        <v>1.8913251005402771</v>
      </c>
    </row>
    <row r="25" spans="1:14" s="1" customFormat="1" x14ac:dyDescent="0.2">
      <c r="A25" s="1" t="s">
        <v>29</v>
      </c>
      <c r="B25" s="1" t="s">
        <v>2</v>
      </c>
      <c r="D25" s="1" t="s">
        <v>23</v>
      </c>
      <c r="E25" s="1" t="s">
        <v>254</v>
      </c>
    </row>
    <row r="26" spans="1:14" x14ac:dyDescent="0.2">
      <c r="A26" t="s">
        <v>253</v>
      </c>
      <c r="B26">
        <v>214.45500000000001</v>
      </c>
      <c r="D26">
        <v>274.11700000000002</v>
      </c>
      <c r="E26">
        <v>317.52699999999999</v>
      </c>
      <c r="F26">
        <v>241.72300000000001</v>
      </c>
      <c r="G26">
        <v>240.15199999999999</v>
      </c>
      <c r="H26">
        <v>243.40199999999999</v>
      </c>
      <c r="I26">
        <v>242.91800000000001</v>
      </c>
      <c r="J26">
        <v>430.34399999999999</v>
      </c>
      <c r="K26">
        <v>239.76599999999999</v>
      </c>
      <c r="L26">
        <v>289.45299999999997</v>
      </c>
      <c r="M26">
        <v>314.91800000000001</v>
      </c>
      <c r="N26">
        <v>417.125</v>
      </c>
    </row>
    <row r="27" spans="1:14" x14ac:dyDescent="0.2">
      <c r="A27" t="s">
        <v>252</v>
      </c>
      <c r="D27">
        <f>D26-B26</f>
        <v>59.662000000000006</v>
      </c>
      <c r="E27">
        <f>E26-B26</f>
        <v>103.07199999999997</v>
      </c>
      <c r="F27">
        <f>F26-B26</f>
        <v>27.268000000000001</v>
      </c>
      <c r="G27">
        <f>G26-B26</f>
        <v>25.696999999999974</v>
      </c>
      <c r="H27">
        <f>H26-B26</f>
        <v>28.946999999999974</v>
      </c>
      <c r="I27">
        <f>I26-B26</f>
        <v>28.462999999999994</v>
      </c>
      <c r="J27">
        <f>J26-B26</f>
        <v>215.88899999999998</v>
      </c>
      <c r="K27">
        <f>K26-B26</f>
        <v>25.310999999999979</v>
      </c>
      <c r="L27">
        <f>L26-B26</f>
        <v>74.997999999999962</v>
      </c>
      <c r="M27">
        <f>M26-B26</f>
        <v>100.46299999999999</v>
      </c>
      <c r="N27">
        <f>N26-B26</f>
        <v>202.67</v>
      </c>
    </row>
    <row r="28" spans="1:14" x14ac:dyDescent="0.2">
      <c r="A28" t="s">
        <v>31</v>
      </c>
      <c r="D28">
        <v>5.4589999999999996</v>
      </c>
      <c r="E28">
        <v>10.516</v>
      </c>
      <c r="F28">
        <v>8.82</v>
      </c>
      <c r="G28">
        <v>2.806</v>
      </c>
      <c r="H28">
        <v>1.7290000000000001</v>
      </c>
      <c r="I28">
        <v>2.1560000000000001</v>
      </c>
      <c r="J28">
        <v>0.80300000000000005</v>
      </c>
      <c r="K28">
        <v>1.204</v>
      </c>
      <c r="L28">
        <v>1.3180000000000001</v>
      </c>
      <c r="M28">
        <v>2.4289999999999998</v>
      </c>
      <c r="N28">
        <v>20.094000000000001</v>
      </c>
    </row>
    <row r="29" spans="1:14" x14ac:dyDescent="0.2">
      <c r="A29" t="s">
        <v>17</v>
      </c>
      <c r="D29">
        <f t="shared" ref="D29:N29" si="4">SQRT(64+D28^2)</f>
        <v>9.6850751674935385</v>
      </c>
      <c r="E29">
        <f t="shared" si="4"/>
        <v>13.213109248015774</v>
      </c>
      <c r="F29">
        <f t="shared" si="4"/>
        <v>11.907661399284075</v>
      </c>
      <c r="G29">
        <f t="shared" si="4"/>
        <v>8.4778320341936482</v>
      </c>
      <c r="H29">
        <f t="shared" si="4"/>
        <v>8.1847077528767027</v>
      </c>
      <c r="I29">
        <f t="shared" si="4"/>
        <v>8.2854291379505511</v>
      </c>
      <c r="J29">
        <f t="shared" si="4"/>
        <v>8.0401995621999323</v>
      </c>
      <c r="K29">
        <f t="shared" si="4"/>
        <v>8.090093695378318</v>
      </c>
      <c r="L29">
        <f t="shared" si="4"/>
        <v>8.1078433630651734</v>
      </c>
      <c r="M29">
        <f t="shared" si="4"/>
        <v>8.3606244384017163</v>
      </c>
      <c r="N29">
        <f t="shared" si="4"/>
        <v>21.627964213027543</v>
      </c>
    </row>
    <row r="30" spans="1:14" x14ac:dyDescent="0.2">
      <c r="A30" t="s">
        <v>251</v>
      </c>
      <c r="E30">
        <f t="shared" ref="E30:N30" si="5">E27/39.3872</f>
        <v>2.6168907665434449</v>
      </c>
      <c r="F30">
        <f t="shared" si="5"/>
        <v>0.69230612991022467</v>
      </c>
      <c r="G30">
        <f t="shared" si="5"/>
        <v>0.65242007555754089</v>
      </c>
      <c r="H30">
        <f t="shared" si="5"/>
        <v>0.73493419181866126</v>
      </c>
      <c r="I30">
        <f t="shared" si="5"/>
        <v>0.7226459357354672</v>
      </c>
      <c r="J30">
        <f t="shared" si="5"/>
        <v>5.4811969370760041</v>
      </c>
      <c r="K30">
        <f t="shared" si="5"/>
        <v>0.64261993744160484</v>
      </c>
      <c r="L30">
        <f t="shared" si="5"/>
        <v>1.9041211358004622</v>
      </c>
      <c r="M30">
        <f t="shared" si="5"/>
        <v>2.5506509729049029</v>
      </c>
      <c r="N30">
        <f t="shared" si="5"/>
        <v>5.1455802900434655</v>
      </c>
    </row>
    <row r="32" spans="1:14" s="1" customFormat="1" x14ac:dyDescent="0.2">
      <c r="A32" s="1" t="s">
        <v>13</v>
      </c>
      <c r="B32" s="1" t="s">
        <v>2</v>
      </c>
      <c r="D32" s="1" t="s">
        <v>23</v>
      </c>
      <c r="E32" s="1" t="s">
        <v>254</v>
      </c>
    </row>
    <row r="33" spans="1:17" x14ac:dyDescent="0.2">
      <c r="A33" t="s">
        <v>253</v>
      </c>
      <c r="B33">
        <v>214.45500000000001</v>
      </c>
      <c r="D33">
        <v>254.68</v>
      </c>
      <c r="E33">
        <v>238.523</v>
      </c>
      <c r="F33">
        <v>242.93</v>
      </c>
      <c r="G33">
        <v>256.125</v>
      </c>
      <c r="H33">
        <v>257.56599999999997</v>
      </c>
      <c r="I33">
        <v>294.96899999999999</v>
      </c>
      <c r="J33">
        <v>315.65600000000001</v>
      </c>
      <c r="K33">
        <v>260.95699999999999</v>
      </c>
      <c r="L33">
        <v>244.99600000000001</v>
      </c>
      <c r="M33">
        <v>240.988</v>
      </c>
      <c r="N33">
        <v>237.316</v>
      </c>
      <c r="O33">
        <v>239.01599999999999</v>
      </c>
    </row>
    <row r="34" spans="1:17" x14ac:dyDescent="0.2">
      <c r="A34" t="s">
        <v>252</v>
      </c>
      <c r="D34">
        <f>D33-B33</f>
        <v>40.224999999999994</v>
      </c>
      <c r="E34">
        <f>E33-B33</f>
        <v>24.067999999999984</v>
      </c>
      <c r="F34">
        <f>F33-B33</f>
        <v>28.474999999999994</v>
      </c>
      <c r="G34">
        <f>G33-B33</f>
        <v>41.669999999999987</v>
      </c>
      <c r="H34">
        <f>H33-B33</f>
        <v>43.110999999999962</v>
      </c>
      <c r="I34">
        <f>I33-B33</f>
        <v>80.513999999999982</v>
      </c>
      <c r="J34">
        <f>J33-B33</f>
        <v>101.20099999999999</v>
      </c>
      <c r="K34">
        <f>K33-B33</f>
        <v>46.501999999999981</v>
      </c>
      <c r="L34">
        <f>L33-B33</f>
        <v>30.540999999999997</v>
      </c>
      <c r="M34">
        <f>M33-B33</f>
        <v>26.532999999999987</v>
      </c>
      <c r="N34">
        <f>N33-B33</f>
        <v>22.86099999999999</v>
      </c>
      <c r="O34">
        <f>O33-B33</f>
        <v>24.560999999999979</v>
      </c>
    </row>
    <row r="35" spans="1:17" x14ac:dyDescent="0.2">
      <c r="A35" t="s">
        <v>31</v>
      </c>
      <c r="D35">
        <v>4.9969999999999999</v>
      </c>
      <c r="E35">
        <v>6.33</v>
      </c>
      <c r="F35">
        <v>2.956</v>
      </c>
      <c r="G35">
        <v>1.85</v>
      </c>
      <c r="H35">
        <v>1.5669999999999999</v>
      </c>
      <c r="I35">
        <v>0.48899999999999999</v>
      </c>
      <c r="J35">
        <v>0.75900000000000001</v>
      </c>
      <c r="K35">
        <v>1.3839999999999999</v>
      </c>
      <c r="L35">
        <v>1.897</v>
      </c>
      <c r="M35">
        <v>1.8680000000000001</v>
      </c>
      <c r="N35">
        <v>2.6280000000000001</v>
      </c>
      <c r="O35">
        <v>1.5649999999999999</v>
      </c>
    </row>
    <row r="36" spans="1:17" x14ac:dyDescent="0.2">
      <c r="A36" t="s">
        <v>17</v>
      </c>
      <c r="D36">
        <f t="shared" ref="D36:O36" si="6">SQRT(49+D35^2)</f>
        <v>8.6005818989182359</v>
      </c>
      <c r="E36">
        <f t="shared" si="6"/>
        <v>9.4376321182805167</v>
      </c>
      <c r="F36">
        <f t="shared" si="6"/>
        <v>7.5985482824023691</v>
      </c>
      <c r="G36">
        <f t="shared" si="6"/>
        <v>7.2403383898820639</v>
      </c>
      <c r="H36">
        <f t="shared" si="6"/>
        <v>7.1732481485028803</v>
      </c>
      <c r="I36">
        <f t="shared" si="6"/>
        <v>7.0170592843441186</v>
      </c>
      <c r="J36">
        <f t="shared" si="6"/>
        <v>7.0410284049988041</v>
      </c>
      <c r="K36">
        <f t="shared" si="6"/>
        <v>7.1355067094075384</v>
      </c>
      <c r="L36">
        <f t="shared" si="6"/>
        <v>7.2524898483210576</v>
      </c>
      <c r="M36">
        <f t="shared" si="6"/>
        <v>7.2449585230006663</v>
      </c>
      <c r="N36">
        <f t="shared" si="6"/>
        <v>7.4770571751190991</v>
      </c>
      <c r="O36">
        <f t="shared" si="6"/>
        <v>7.1728115129285248</v>
      </c>
    </row>
    <row r="37" spans="1:17" x14ac:dyDescent="0.2">
      <c r="A37" t="s">
        <v>251</v>
      </c>
      <c r="E37">
        <f t="shared" ref="E37:O37" si="7">E34/39.3872</f>
        <v>0.61106146159158259</v>
      </c>
      <c r="F37">
        <f t="shared" si="7"/>
        <v>0.72295060324166216</v>
      </c>
      <c r="G37">
        <f t="shared" si="7"/>
        <v>1.0579579152618106</v>
      </c>
      <c r="H37">
        <f t="shared" si="7"/>
        <v>1.0945434049640483</v>
      </c>
      <c r="I37">
        <f t="shared" si="7"/>
        <v>2.0441666328147212</v>
      </c>
      <c r="J37">
        <f t="shared" si="7"/>
        <v>2.5693880245358898</v>
      </c>
      <c r="K37">
        <f t="shared" si="7"/>
        <v>1.1806373644229593</v>
      </c>
      <c r="L37">
        <f t="shared" si="7"/>
        <v>0.77540419222488521</v>
      </c>
      <c r="M37">
        <f t="shared" si="7"/>
        <v>0.67364524515578628</v>
      </c>
      <c r="N37">
        <f t="shared" si="7"/>
        <v>0.58041698826014521</v>
      </c>
      <c r="O37">
        <f t="shared" si="7"/>
        <v>0.62357821830442328</v>
      </c>
    </row>
    <row r="39" spans="1:17" s="1" customFormat="1" x14ac:dyDescent="0.2">
      <c r="A39" s="1" t="s">
        <v>14</v>
      </c>
      <c r="B39" s="1" t="s">
        <v>2</v>
      </c>
      <c r="D39" s="1" t="s">
        <v>23</v>
      </c>
      <c r="E39" s="1" t="s">
        <v>254</v>
      </c>
    </row>
    <row r="40" spans="1:17" x14ac:dyDescent="0.2">
      <c r="A40" t="s">
        <v>253</v>
      </c>
      <c r="B40">
        <v>214.45500000000001</v>
      </c>
      <c r="D40">
        <v>252.75399999999999</v>
      </c>
      <c r="E40">
        <v>336.69900000000001</v>
      </c>
      <c r="F40">
        <v>352.375</v>
      </c>
      <c r="G40">
        <v>253.34</v>
      </c>
      <c r="H40">
        <v>292.51600000000002</v>
      </c>
      <c r="I40">
        <v>332.07799999999997</v>
      </c>
      <c r="J40">
        <v>323.50400000000002</v>
      </c>
      <c r="K40">
        <v>257.04300000000001</v>
      </c>
      <c r="L40">
        <v>454.61700000000002</v>
      </c>
      <c r="M40">
        <v>505.137</v>
      </c>
    </row>
    <row r="41" spans="1:17" x14ac:dyDescent="0.2">
      <c r="A41" t="s">
        <v>252</v>
      </c>
      <c r="D41">
        <f>D40-B40</f>
        <v>38.298999999999978</v>
      </c>
      <c r="E41">
        <f>E40-B40</f>
        <v>122.244</v>
      </c>
      <c r="F41">
        <f>F40-B40</f>
        <v>137.91999999999999</v>
      </c>
      <c r="G41">
        <f>G40-B40</f>
        <v>38.884999999999991</v>
      </c>
      <c r="H41">
        <f>H40-B40</f>
        <v>78.061000000000007</v>
      </c>
      <c r="I41">
        <f>I40-B40</f>
        <v>117.62299999999996</v>
      </c>
      <c r="J41">
        <f>J40-B40</f>
        <v>109.04900000000001</v>
      </c>
      <c r="K41">
        <f>K40-B40</f>
        <v>42.587999999999994</v>
      </c>
      <c r="L41">
        <f>L40-B40</f>
        <v>240.16200000000001</v>
      </c>
      <c r="M41">
        <f>M40-B40</f>
        <v>290.68200000000002</v>
      </c>
    </row>
    <row r="42" spans="1:17" x14ac:dyDescent="0.2">
      <c r="A42" t="s">
        <v>31</v>
      </c>
      <c r="D42">
        <v>5.0069999999999997</v>
      </c>
      <c r="E42">
        <v>6.6319999999999997</v>
      </c>
      <c r="F42">
        <v>1.98</v>
      </c>
      <c r="G42">
        <v>2.7360000000000002</v>
      </c>
      <c r="H42">
        <v>2.0569999999999999</v>
      </c>
      <c r="I42">
        <v>2.7330000000000001</v>
      </c>
      <c r="J42">
        <v>1.5069999999999999</v>
      </c>
      <c r="K42">
        <v>1.397</v>
      </c>
      <c r="L42">
        <v>0.70099999999999996</v>
      </c>
      <c r="M42">
        <v>0.309</v>
      </c>
    </row>
    <row r="43" spans="1:17" x14ac:dyDescent="0.2">
      <c r="A43" t="s">
        <v>17</v>
      </c>
      <c r="D43">
        <f t="shared" ref="D43:M43" si="8">SQRT(25+D42^2)</f>
        <v>7.0760192905333428</v>
      </c>
      <c r="E43">
        <f t="shared" si="8"/>
        <v>8.305626045037183</v>
      </c>
      <c r="F43">
        <f t="shared" si="8"/>
        <v>5.3777690541710692</v>
      </c>
      <c r="G43">
        <f t="shared" si="8"/>
        <v>5.6996224436360698</v>
      </c>
      <c r="H43">
        <f t="shared" si="8"/>
        <v>5.4065931047194589</v>
      </c>
      <c r="I43">
        <f t="shared" si="8"/>
        <v>5.6981829559957093</v>
      </c>
      <c r="J43">
        <f t="shared" si="8"/>
        <v>5.2221689938185643</v>
      </c>
      <c r="K43">
        <f t="shared" si="8"/>
        <v>5.1914939083080895</v>
      </c>
      <c r="L43">
        <f t="shared" si="8"/>
        <v>5.0489009695180194</v>
      </c>
      <c r="M43">
        <f t="shared" si="8"/>
        <v>5.009539000746476</v>
      </c>
    </row>
    <row r="44" spans="1:17" x14ac:dyDescent="0.2">
      <c r="A44" t="s">
        <v>251</v>
      </c>
      <c r="E44">
        <f t="shared" ref="E44:M44" si="9">E41/39.3872</f>
        <v>3.1036478856075069</v>
      </c>
      <c r="F44">
        <f t="shared" si="9"/>
        <v>3.5016452045334523</v>
      </c>
      <c r="G44">
        <f t="shared" si="9"/>
        <v>0.98724966486574295</v>
      </c>
      <c r="H44">
        <f t="shared" si="9"/>
        <v>1.9818875167567129</v>
      </c>
      <c r="I44">
        <f t="shared" si="9"/>
        <v>2.9863255067636176</v>
      </c>
      <c r="J44">
        <f t="shared" si="9"/>
        <v>2.7686405735873585</v>
      </c>
      <c r="K44">
        <f t="shared" si="9"/>
        <v>1.0812649794857212</v>
      </c>
      <c r="L44">
        <f t="shared" si="9"/>
        <v>6.0974631352317505</v>
      </c>
      <c r="M44">
        <f t="shared" si="9"/>
        <v>7.3801133363123048</v>
      </c>
    </row>
    <row r="46" spans="1:17" s="1" customFormat="1" x14ac:dyDescent="0.2">
      <c r="A46" s="1" t="s">
        <v>15</v>
      </c>
      <c r="B46" s="1" t="s">
        <v>2</v>
      </c>
      <c r="D46" s="1" t="s">
        <v>254</v>
      </c>
    </row>
    <row r="47" spans="1:17" x14ac:dyDescent="0.2">
      <c r="A47" t="s">
        <v>253</v>
      </c>
      <c r="B47">
        <v>214.45500000000001</v>
      </c>
      <c r="D47">
        <v>301.39499999999998</v>
      </c>
      <c r="E47">
        <v>243.51599999999999</v>
      </c>
      <c r="F47">
        <v>243.578</v>
      </c>
      <c r="G47">
        <v>271.14100000000002</v>
      </c>
      <c r="H47">
        <v>244.16800000000001</v>
      </c>
      <c r="I47">
        <v>355.00799999999998</v>
      </c>
      <c r="J47">
        <v>489.76600000000002</v>
      </c>
      <c r="K47">
        <v>303.363</v>
      </c>
      <c r="L47">
        <v>578.40200000000004</v>
      </c>
      <c r="M47">
        <v>644.58199999999999</v>
      </c>
      <c r="N47">
        <v>370.07799999999997</v>
      </c>
      <c r="O47">
        <v>650.19500000000005</v>
      </c>
      <c r="P47">
        <v>338.68</v>
      </c>
      <c r="Q47">
        <v>719.02300000000002</v>
      </c>
    </row>
    <row r="48" spans="1:17" x14ac:dyDescent="0.2">
      <c r="A48" t="s">
        <v>252</v>
      </c>
      <c r="D48">
        <f>D47-B47</f>
        <v>86.939999999999969</v>
      </c>
      <c r="E48">
        <f>E47-B47</f>
        <v>29.060999999999979</v>
      </c>
      <c r="F48">
        <f>F47-B47</f>
        <v>29.12299999999999</v>
      </c>
      <c r="G48">
        <f>G47-B47</f>
        <v>56.686000000000007</v>
      </c>
      <c r="H48">
        <f>H47-B47</f>
        <v>29.712999999999994</v>
      </c>
      <c r="I48">
        <f>I47-B47</f>
        <v>140.55299999999997</v>
      </c>
      <c r="J48">
        <f>J47-B47</f>
        <v>275.31100000000004</v>
      </c>
      <c r="K48">
        <f>K47-B47</f>
        <v>88.907999999999987</v>
      </c>
      <c r="L48">
        <f>L47-B47</f>
        <v>363.947</v>
      </c>
      <c r="M48">
        <f>M47-B47</f>
        <v>430.12699999999995</v>
      </c>
      <c r="N48">
        <f>N47-B47</f>
        <v>155.62299999999996</v>
      </c>
      <c r="O48">
        <f>O47-B47</f>
        <v>435.74</v>
      </c>
      <c r="P48">
        <f>P47-B47</f>
        <v>124.22499999999999</v>
      </c>
      <c r="Q48">
        <f>Q47-B47</f>
        <v>504.56799999999998</v>
      </c>
    </row>
    <row r="49" spans="1:27" x14ac:dyDescent="0.2">
      <c r="A49" t="s">
        <v>31</v>
      </c>
      <c r="D49">
        <v>6.5960000000000001</v>
      </c>
      <c r="E49">
        <v>5.0179999999999998</v>
      </c>
      <c r="F49">
        <v>4.2830000000000004</v>
      </c>
      <c r="G49">
        <v>4.2619999999999996</v>
      </c>
      <c r="H49">
        <v>3.4529999999999998</v>
      </c>
      <c r="I49">
        <v>2.9239999999999999</v>
      </c>
      <c r="J49">
        <v>1.9790000000000001</v>
      </c>
      <c r="K49">
        <v>2.5219999999999998</v>
      </c>
      <c r="L49">
        <v>2.1179999999999999</v>
      </c>
      <c r="M49">
        <v>2.67</v>
      </c>
      <c r="N49">
        <v>1.6870000000000001</v>
      </c>
      <c r="O49">
        <v>1.05</v>
      </c>
      <c r="P49">
        <v>0.75900000000000001</v>
      </c>
      <c r="Q49">
        <v>0.58899999999999997</v>
      </c>
    </row>
    <row r="50" spans="1:27" x14ac:dyDescent="0.2">
      <c r="A50" t="s">
        <v>17</v>
      </c>
      <c r="D50">
        <f t="shared" ref="D50:Q50" si="10">SQRT(9+D49^2)</f>
        <v>7.2461863072929615</v>
      </c>
      <c r="E50">
        <f t="shared" si="10"/>
        <v>5.8463941023506107</v>
      </c>
      <c r="F50">
        <f t="shared" si="10"/>
        <v>5.2291575803373913</v>
      </c>
      <c r="G50">
        <f t="shared" si="10"/>
        <v>5.2119712201814767</v>
      </c>
      <c r="H50">
        <f t="shared" si="10"/>
        <v>4.5741894363919826</v>
      </c>
      <c r="I50">
        <f t="shared" si="10"/>
        <v>4.189245278090076</v>
      </c>
      <c r="J50">
        <f t="shared" si="10"/>
        <v>3.5939450468809344</v>
      </c>
      <c r="K50">
        <f t="shared" si="10"/>
        <v>3.9192453355206025</v>
      </c>
      <c r="L50">
        <f t="shared" si="10"/>
        <v>3.6723186136281805</v>
      </c>
      <c r="M50">
        <f t="shared" si="10"/>
        <v>4.0160801784824969</v>
      </c>
      <c r="N50">
        <f t="shared" si="10"/>
        <v>3.4417973502226999</v>
      </c>
      <c r="O50">
        <f t="shared" si="10"/>
        <v>3.1784430150625633</v>
      </c>
      <c r="P50">
        <f t="shared" si="10"/>
        <v>3.0945243576355965</v>
      </c>
      <c r="Q50">
        <f t="shared" si="10"/>
        <v>3.0572734584920598</v>
      </c>
    </row>
    <row r="51" spans="1:27" x14ac:dyDescent="0.2">
      <c r="A51" t="s">
        <v>251</v>
      </c>
      <c r="D51">
        <f t="shared" ref="D51:Q51" si="11">D48/39.3872</f>
        <v>2.2073160823820928</v>
      </c>
      <c r="E51">
        <f t="shared" si="11"/>
        <v>0.73782853312751295</v>
      </c>
      <c r="F51">
        <f t="shared" si="11"/>
        <v>0.73940264857618698</v>
      </c>
      <c r="G51">
        <f t="shared" si="11"/>
        <v>1.4391985213470369</v>
      </c>
      <c r="H51">
        <f t="shared" si="11"/>
        <v>0.75438213429743661</v>
      </c>
      <c r="I51">
        <f t="shared" si="11"/>
        <v>3.5684943331843839</v>
      </c>
      <c r="J51">
        <f t="shared" si="11"/>
        <v>6.9898596498354806</v>
      </c>
      <c r="K51">
        <f t="shared" si="11"/>
        <v>2.2572815533980579</v>
      </c>
      <c r="L51">
        <f t="shared" si="11"/>
        <v>9.2402354064264536</v>
      </c>
      <c r="M51">
        <f t="shared" si="11"/>
        <v>10.920476703091358</v>
      </c>
      <c r="N51">
        <f t="shared" si="11"/>
        <v>3.9511059430474864</v>
      </c>
      <c r="O51">
        <f t="shared" si="11"/>
        <v>11.062984929114027</v>
      </c>
      <c r="P51">
        <f t="shared" si="11"/>
        <v>3.1539434130885158</v>
      </c>
      <c r="Q51">
        <f t="shared" si="11"/>
        <v>12.810456188812609</v>
      </c>
    </row>
    <row r="53" spans="1:27" s="1" customFormat="1" x14ac:dyDescent="0.2">
      <c r="A53" s="1" t="s">
        <v>16</v>
      </c>
      <c r="B53" s="1" t="s">
        <v>2</v>
      </c>
      <c r="D53" s="1" t="s">
        <v>23</v>
      </c>
      <c r="E53" s="1" t="s">
        <v>254</v>
      </c>
    </row>
    <row r="54" spans="1:27" x14ac:dyDescent="0.2">
      <c r="A54" t="s">
        <v>253</v>
      </c>
      <c r="B54">
        <v>214.45500000000001</v>
      </c>
      <c r="D54">
        <v>269.74599999999998</v>
      </c>
      <c r="E54">
        <v>245.559</v>
      </c>
      <c r="F54">
        <v>339.74599999999998</v>
      </c>
      <c r="G54">
        <v>251.566</v>
      </c>
      <c r="H54">
        <v>248.97300000000001</v>
      </c>
      <c r="I54">
        <v>397.262</v>
      </c>
      <c r="J54">
        <v>503.68799999999999</v>
      </c>
      <c r="K54">
        <v>361.72699999999998</v>
      </c>
      <c r="L54">
        <v>379.27699999999999</v>
      </c>
      <c r="M54">
        <v>253.80099999999999</v>
      </c>
      <c r="N54">
        <v>509.32</v>
      </c>
      <c r="O54">
        <v>648.17999999999995</v>
      </c>
      <c r="P54">
        <v>372.23</v>
      </c>
      <c r="Q54">
        <v>274.46499999999997</v>
      </c>
      <c r="R54">
        <v>467.53500000000003</v>
      </c>
      <c r="S54">
        <v>629.86699999999996</v>
      </c>
      <c r="T54">
        <v>432.99200000000002</v>
      </c>
      <c r="U54">
        <v>391.40600000000001</v>
      </c>
    </row>
    <row r="55" spans="1:27" x14ac:dyDescent="0.2">
      <c r="A55" t="s">
        <v>252</v>
      </c>
      <c r="D55">
        <f>D54-B54</f>
        <v>55.290999999999968</v>
      </c>
      <c r="E55">
        <f>E54-B54</f>
        <v>31.103999999999985</v>
      </c>
      <c r="F55">
        <f>F54-B54</f>
        <v>125.29099999999997</v>
      </c>
      <c r="G55">
        <f>G54-B54</f>
        <v>37.11099999999999</v>
      </c>
      <c r="H55">
        <f>H54-B54</f>
        <v>34.518000000000001</v>
      </c>
      <c r="I55">
        <f>I54-B54</f>
        <v>182.80699999999999</v>
      </c>
      <c r="J55">
        <f>J54-B54</f>
        <v>289.23299999999995</v>
      </c>
      <c r="K55">
        <f>K54-B54</f>
        <v>147.27199999999996</v>
      </c>
      <c r="L55">
        <f>L54-B54</f>
        <v>164.82199999999997</v>
      </c>
      <c r="M55">
        <f>M54-B54</f>
        <v>39.345999999999975</v>
      </c>
      <c r="N55">
        <f>N54-B54</f>
        <v>294.86500000000001</v>
      </c>
      <c r="O55">
        <f>O54-B54</f>
        <v>433.72499999999991</v>
      </c>
      <c r="P55">
        <f>P54-B54</f>
        <v>157.77500000000001</v>
      </c>
      <c r="Q55">
        <f>Q54-B54</f>
        <v>60.009999999999962</v>
      </c>
      <c r="R55">
        <f>R54-B54</f>
        <v>253.08</v>
      </c>
      <c r="S55">
        <f>S54-B54</f>
        <v>415.41199999999992</v>
      </c>
      <c r="T55">
        <f>T54-B54</f>
        <v>218.53700000000001</v>
      </c>
      <c r="U55">
        <f>U54-B54</f>
        <v>176.95099999999999</v>
      </c>
    </row>
    <row r="56" spans="1:27" x14ac:dyDescent="0.2">
      <c r="A56" t="s">
        <v>31</v>
      </c>
      <c r="D56">
        <v>5.0179999999999998</v>
      </c>
      <c r="E56">
        <v>6.59</v>
      </c>
      <c r="F56">
        <v>5.3710000000000004</v>
      </c>
      <c r="G56">
        <v>4.7839999999999998</v>
      </c>
      <c r="H56">
        <v>4.1619999999999999</v>
      </c>
      <c r="I56">
        <v>4.37</v>
      </c>
      <c r="J56">
        <v>2.887</v>
      </c>
      <c r="K56">
        <v>2.0710000000000002</v>
      </c>
      <c r="L56">
        <v>2.5099999999999998</v>
      </c>
      <c r="M56">
        <v>2.5099999999999998</v>
      </c>
      <c r="N56">
        <v>2.0569999999999999</v>
      </c>
      <c r="O56">
        <v>2.5750000000000002</v>
      </c>
      <c r="P56">
        <v>2.6539999999999999</v>
      </c>
      <c r="Q56">
        <v>3.0150000000000001</v>
      </c>
      <c r="R56">
        <v>1.954</v>
      </c>
      <c r="S56">
        <v>1.256</v>
      </c>
      <c r="T56">
        <v>0.67</v>
      </c>
      <c r="U56">
        <v>0.873</v>
      </c>
    </row>
    <row r="57" spans="1:27" x14ac:dyDescent="0.2">
      <c r="A57" t="s">
        <v>17</v>
      </c>
      <c r="D57">
        <f t="shared" ref="D57:U57" si="12">SQRT(4+D56^2)</f>
        <v>5.4018815240617784</v>
      </c>
      <c r="E57">
        <f t="shared" si="12"/>
        <v>6.8868062264013208</v>
      </c>
      <c r="F57">
        <f t="shared" si="12"/>
        <v>5.7312861558292481</v>
      </c>
      <c r="G57">
        <f t="shared" si="12"/>
        <v>5.1852344209302625</v>
      </c>
      <c r="H57">
        <f t="shared" si="12"/>
        <v>4.6176015419262839</v>
      </c>
      <c r="I57">
        <f t="shared" si="12"/>
        <v>4.8059234284370369</v>
      </c>
      <c r="J57">
        <f t="shared" si="12"/>
        <v>3.5120889795106272</v>
      </c>
      <c r="K57">
        <f t="shared" si="12"/>
        <v>2.8790694677273767</v>
      </c>
      <c r="L57">
        <f t="shared" si="12"/>
        <v>3.2093768865622496</v>
      </c>
      <c r="M57">
        <f t="shared" si="12"/>
        <v>3.2093768865622496</v>
      </c>
      <c r="N57">
        <f t="shared" si="12"/>
        <v>2.8690153363131401</v>
      </c>
      <c r="O57">
        <f t="shared" si="12"/>
        <v>3.2604639240451658</v>
      </c>
      <c r="P57">
        <f t="shared" si="12"/>
        <v>3.3232086904075104</v>
      </c>
      <c r="Q57">
        <f t="shared" si="12"/>
        <v>3.6180415973285878</v>
      </c>
      <c r="R57">
        <f t="shared" si="12"/>
        <v>2.7960894120181492</v>
      </c>
      <c r="S57">
        <f t="shared" si="12"/>
        <v>2.3616807574267948</v>
      </c>
      <c r="T57">
        <f t="shared" si="12"/>
        <v>2.1092415698539604</v>
      </c>
      <c r="U57">
        <f t="shared" si="12"/>
        <v>2.18223028115733</v>
      </c>
    </row>
    <row r="58" spans="1:27" x14ac:dyDescent="0.2">
      <c r="A58" t="s">
        <v>251</v>
      </c>
      <c r="E58">
        <f t="shared" ref="E58:U58" si="13">E55/39.3872</f>
        <v>0.78969817605719583</v>
      </c>
      <c r="F58">
        <f t="shared" si="13"/>
        <v>3.1810080432221626</v>
      </c>
      <c r="G58">
        <f t="shared" si="13"/>
        <v>0.942209651866596</v>
      </c>
      <c r="H58">
        <f t="shared" si="13"/>
        <v>0.87637608156964697</v>
      </c>
      <c r="I58">
        <f t="shared" si="13"/>
        <v>4.6412794004143478</v>
      </c>
      <c r="J58">
        <f t="shared" si="13"/>
        <v>7.3433247349392685</v>
      </c>
      <c r="K58">
        <f t="shared" si="13"/>
        <v>3.7390827476946815</v>
      </c>
      <c r="L58">
        <f t="shared" si="13"/>
        <v>4.1846589755047319</v>
      </c>
      <c r="M58">
        <f t="shared" si="13"/>
        <v>0.99895397489539683</v>
      </c>
      <c r="N58">
        <f t="shared" si="13"/>
        <v>7.4863153511800791</v>
      </c>
      <c r="O58">
        <f t="shared" si="13"/>
        <v>11.01182617703213</v>
      </c>
      <c r="P58">
        <f t="shared" si="13"/>
        <v>4.0057429824917739</v>
      </c>
      <c r="Q58">
        <f t="shared" si="13"/>
        <v>1.5235914205630245</v>
      </c>
      <c r="R58">
        <f t="shared" si="13"/>
        <v>6.4254377056505669</v>
      </c>
      <c r="S58">
        <f t="shared" si="13"/>
        <v>10.546878173619854</v>
      </c>
      <c r="T58">
        <f t="shared" si="13"/>
        <v>5.5484269001096802</v>
      </c>
      <c r="U58">
        <f t="shared" si="13"/>
        <v>4.4926016573912335</v>
      </c>
    </row>
    <row r="60" spans="1:27" s="1" customFormat="1" x14ac:dyDescent="0.2">
      <c r="A60" s="1" t="s">
        <v>18</v>
      </c>
      <c r="B60" s="1" t="s">
        <v>2</v>
      </c>
      <c r="D60" s="1" t="s">
        <v>254</v>
      </c>
    </row>
    <row r="61" spans="1:27" x14ac:dyDescent="0.2">
      <c r="A61" t="s">
        <v>253</v>
      </c>
      <c r="B61">
        <v>214.45500000000001</v>
      </c>
      <c r="D61">
        <v>311.68400000000003</v>
      </c>
      <c r="E61">
        <v>363.38299999999998</v>
      </c>
      <c r="F61">
        <v>355.05099999999999</v>
      </c>
      <c r="G61">
        <v>369.22699999999998</v>
      </c>
      <c r="H61">
        <v>316.89100000000002</v>
      </c>
      <c r="I61">
        <v>296.81200000000001</v>
      </c>
      <c r="J61">
        <v>291.28100000000001</v>
      </c>
      <c r="K61">
        <v>368.89100000000002</v>
      </c>
      <c r="L61">
        <v>380.46100000000001</v>
      </c>
      <c r="M61">
        <v>513.24599999999998</v>
      </c>
      <c r="N61">
        <v>346.863</v>
      </c>
      <c r="O61">
        <v>388.83199999999999</v>
      </c>
      <c r="P61">
        <v>318.86700000000002</v>
      </c>
      <c r="Q61">
        <v>443.15199999999999</v>
      </c>
      <c r="R61">
        <v>426.34399999999999</v>
      </c>
      <c r="S61">
        <v>447.01600000000002</v>
      </c>
      <c r="T61">
        <v>320.5</v>
      </c>
      <c r="U61">
        <v>347.09</v>
      </c>
      <c r="V61">
        <v>362.887</v>
      </c>
      <c r="W61">
        <v>369.06599999999997</v>
      </c>
      <c r="X61">
        <v>614.13300000000004</v>
      </c>
      <c r="Y61">
        <v>282.11700000000002</v>
      </c>
      <c r="Z61">
        <v>371.12900000000002</v>
      </c>
      <c r="AA61">
        <v>320.512</v>
      </c>
    </row>
    <row r="62" spans="1:27" x14ac:dyDescent="0.2">
      <c r="A62" t="s">
        <v>252</v>
      </c>
      <c r="D62">
        <f>D61-B61</f>
        <v>97.229000000000013</v>
      </c>
      <c r="E62">
        <f>E61-B61</f>
        <v>148.92799999999997</v>
      </c>
      <c r="F62">
        <f>F61-B61</f>
        <v>140.59599999999998</v>
      </c>
      <c r="G62">
        <f>G61-B61</f>
        <v>154.77199999999996</v>
      </c>
      <c r="H62">
        <f>H61-B61</f>
        <v>102.43600000000001</v>
      </c>
      <c r="I62">
        <f>I61-B61</f>
        <v>82.356999999999999</v>
      </c>
      <c r="J62">
        <f>J61-B61</f>
        <v>76.825999999999993</v>
      </c>
      <c r="K62">
        <f>K61-B61</f>
        <v>154.43600000000001</v>
      </c>
      <c r="L62">
        <f>L61-B61</f>
        <v>166.006</v>
      </c>
      <c r="M62">
        <f>M61-B61</f>
        <v>298.79099999999994</v>
      </c>
      <c r="N62">
        <f>N61-B61</f>
        <v>132.40799999999999</v>
      </c>
      <c r="O62">
        <f>O61-B61</f>
        <v>174.37699999999998</v>
      </c>
      <c r="P62">
        <f>P61-B61</f>
        <v>104.41200000000001</v>
      </c>
      <c r="Q62">
        <f>Q61-B61</f>
        <v>228.69699999999997</v>
      </c>
      <c r="R62">
        <f>R61-B61</f>
        <v>211.88899999999998</v>
      </c>
      <c r="S62">
        <f>S61-B61</f>
        <v>232.56100000000001</v>
      </c>
      <c r="T62">
        <f>T61-B61</f>
        <v>106.04499999999999</v>
      </c>
      <c r="U62">
        <f>U61-B61</f>
        <v>132.63499999999996</v>
      </c>
      <c r="V62">
        <f>V61-B61</f>
        <v>148.43199999999999</v>
      </c>
      <c r="W62">
        <f>W61-B61</f>
        <v>154.61099999999996</v>
      </c>
      <c r="X62">
        <f>X61-B61</f>
        <v>399.678</v>
      </c>
      <c r="Y62">
        <f>Y61-B61</f>
        <v>67.662000000000006</v>
      </c>
      <c r="Z62">
        <f>Z61-B61</f>
        <v>156.67400000000001</v>
      </c>
      <c r="AA62">
        <f>AA61-B61</f>
        <v>106.05699999999999</v>
      </c>
    </row>
    <row r="63" spans="1:27" x14ac:dyDescent="0.2">
      <c r="A63" t="s">
        <v>31</v>
      </c>
      <c r="D63">
        <v>5.1589999999999998</v>
      </c>
      <c r="E63">
        <v>2.3860000000000001</v>
      </c>
      <c r="F63">
        <v>2.411</v>
      </c>
      <c r="G63">
        <v>2.5030000000000001</v>
      </c>
      <c r="H63">
        <v>2.82</v>
      </c>
      <c r="I63">
        <v>3.3279999999999998</v>
      </c>
      <c r="J63">
        <v>2.21</v>
      </c>
      <c r="K63">
        <v>2.5449999999999999</v>
      </c>
      <c r="L63">
        <v>2.8820000000000001</v>
      </c>
      <c r="M63">
        <v>2.2650000000000001</v>
      </c>
      <c r="N63">
        <v>2.4860000000000002</v>
      </c>
      <c r="O63">
        <v>1.276</v>
      </c>
      <c r="P63">
        <v>1.6439999999999999</v>
      </c>
      <c r="Q63">
        <v>2.3740000000000001</v>
      </c>
      <c r="R63">
        <v>3.5209999999999999</v>
      </c>
      <c r="S63">
        <v>3.274</v>
      </c>
      <c r="T63">
        <v>2.3460000000000001</v>
      </c>
      <c r="U63">
        <v>3.8879999999999999</v>
      </c>
      <c r="V63">
        <v>4.6909999999999998</v>
      </c>
      <c r="W63">
        <v>5.0999999999999996</v>
      </c>
      <c r="X63">
        <v>5.0910000000000002</v>
      </c>
      <c r="Y63">
        <v>4.2690000000000001</v>
      </c>
      <c r="Z63">
        <v>5.8460000000000001</v>
      </c>
      <c r="AA63">
        <v>6.7110000000000003</v>
      </c>
    </row>
    <row r="64" spans="1:27" x14ac:dyDescent="0.2">
      <c r="A64" t="s">
        <v>17</v>
      </c>
      <c r="D64">
        <f t="shared" ref="D64:AA64" si="14">SQRT(1+D63^2)</f>
        <v>5.2550243576980691</v>
      </c>
      <c r="E64">
        <f t="shared" si="14"/>
        <v>2.5870825267084157</v>
      </c>
      <c r="F64">
        <f t="shared" si="14"/>
        <v>2.610157274954902</v>
      </c>
      <c r="G64">
        <f t="shared" si="14"/>
        <v>2.6953680639200281</v>
      </c>
      <c r="H64">
        <f t="shared" si="14"/>
        <v>2.9920561492057596</v>
      </c>
      <c r="I64">
        <f t="shared" si="14"/>
        <v>3.4749941007144169</v>
      </c>
      <c r="J64">
        <f t="shared" si="14"/>
        <v>2.4257163890281981</v>
      </c>
      <c r="K64">
        <f t="shared" si="14"/>
        <v>2.7344149282799051</v>
      </c>
      <c r="L64">
        <f t="shared" si="14"/>
        <v>3.0505612598340002</v>
      </c>
      <c r="M64">
        <f t="shared" si="14"/>
        <v>2.475929118533081</v>
      </c>
      <c r="N64">
        <f t="shared" si="14"/>
        <v>2.6795887744204334</v>
      </c>
      <c r="O64">
        <f t="shared" si="14"/>
        <v>1.6211650131926731</v>
      </c>
      <c r="P64">
        <f t="shared" si="14"/>
        <v>1.9242494640768384</v>
      </c>
      <c r="Q64">
        <f t="shared" si="14"/>
        <v>2.5760194098647626</v>
      </c>
      <c r="R64">
        <f t="shared" si="14"/>
        <v>3.6602514940916286</v>
      </c>
      <c r="S64">
        <f t="shared" si="14"/>
        <v>3.4233135994238095</v>
      </c>
      <c r="T64">
        <f t="shared" si="14"/>
        <v>2.5502384202266266</v>
      </c>
      <c r="U64">
        <f t="shared" si="14"/>
        <v>4.0145415678505554</v>
      </c>
      <c r="V64">
        <f t="shared" si="14"/>
        <v>4.7964029230247114</v>
      </c>
      <c r="W64">
        <f t="shared" si="14"/>
        <v>5.1971145840745132</v>
      </c>
      <c r="X64">
        <f t="shared" si="14"/>
        <v>5.1882830493333731</v>
      </c>
      <c r="Y64">
        <f t="shared" si="14"/>
        <v>4.3845593849325386</v>
      </c>
      <c r="Z64">
        <f t="shared" si="14"/>
        <v>5.9309119029032962</v>
      </c>
      <c r="AA64">
        <f t="shared" si="14"/>
        <v>6.7850955041178311</v>
      </c>
    </row>
    <row r="65" spans="1:27" x14ac:dyDescent="0.2">
      <c r="A65" t="s">
        <v>251</v>
      </c>
      <c r="D65">
        <f t="shared" ref="D65:AA65" si="15">D62/39.3872</f>
        <v>2.4685430799853765</v>
      </c>
      <c r="E65">
        <f t="shared" si="15"/>
        <v>3.7811268635495789</v>
      </c>
      <c r="F65">
        <f t="shared" si="15"/>
        <v>3.5695860584149157</v>
      </c>
      <c r="G65">
        <f t="shared" si="15"/>
        <v>3.9294999390664977</v>
      </c>
      <c r="H65">
        <f t="shared" si="15"/>
        <v>2.6007433887151157</v>
      </c>
      <c r="I65">
        <f t="shared" si="15"/>
        <v>2.090958483974489</v>
      </c>
      <c r="J65">
        <f t="shared" si="15"/>
        <v>1.950532152577487</v>
      </c>
      <c r="K65">
        <f t="shared" si="15"/>
        <v>3.9209692488930417</v>
      </c>
      <c r="L65">
        <f t="shared" si="15"/>
        <v>4.2147195027826303</v>
      </c>
      <c r="M65">
        <f t="shared" si="15"/>
        <v>7.5859924036235107</v>
      </c>
      <c r="N65">
        <f t="shared" si="15"/>
        <v>3.361701263354592</v>
      </c>
      <c r="O65">
        <f t="shared" si="15"/>
        <v>4.4272504773124259</v>
      </c>
      <c r="P65">
        <f t="shared" si="15"/>
        <v>2.650911971401877</v>
      </c>
      <c r="Q65">
        <f t="shared" si="15"/>
        <v>5.8063787220213667</v>
      </c>
      <c r="R65">
        <f t="shared" si="15"/>
        <v>5.3796411016777022</v>
      </c>
      <c r="S65">
        <f t="shared" si="15"/>
        <v>5.9044816590161275</v>
      </c>
      <c r="T65">
        <f t="shared" si="15"/>
        <v>2.6923721412032333</v>
      </c>
      <c r="U65">
        <f t="shared" si="15"/>
        <v>3.3674645570134452</v>
      </c>
      <c r="V65">
        <f t="shared" si="15"/>
        <v>3.7685339399601898</v>
      </c>
      <c r="W65">
        <f t="shared" si="15"/>
        <v>3.9254123166917161</v>
      </c>
      <c r="X65">
        <f t="shared" si="15"/>
        <v>10.147408295080636</v>
      </c>
      <c r="Y65">
        <f t="shared" si="15"/>
        <v>1.7178677336799775</v>
      </c>
      <c r="Z65">
        <f t="shared" si="15"/>
        <v>3.9777897387983914</v>
      </c>
      <c r="AA65">
        <f t="shared" si="15"/>
        <v>2.6926768087094279</v>
      </c>
    </row>
    <row r="67" spans="1:27" s="1" customFormat="1" x14ac:dyDescent="0.2">
      <c r="A67" s="1" t="s">
        <v>57</v>
      </c>
      <c r="B67" s="1" t="s">
        <v>2</v>
      </c>
      <c r="D67" s="1" t="s">
        <v>23</v>
      </c>
      <c r="E67" s="1" t="s">
        <v>254</v>
      </c>
    </row>
    <row r="68" spans="1:27" x14ac:dyDescent="0.2">
      <c r="A68" t="s">
        <v>253</v>
      </c>
      <c r="B68">
        <v>214.45500000000001</v>
      </c>
      <c r="D68">
        <v>231.44499999999999</v>
      </c>
      <c r="E68">
        <v>390.41800000000001</v>
      </c>
      <c r="F68">
        <v>423.375</v>
      </c>
      <c r="G68">
        <v>411.96499999999997</v>
      </c>
      <c r="H68">
        <v>499.25799999999998</v>
      </c>
      <c r="I68">
        <v>508.79300000000001</v>
      </c>
      <c r="J68">
        <v>538.09799999999996</v>
      </c>
      <c r="K68">
        <v>615.27</v>
      </c>
      <c r="L68">
        <v>504.32</v>
      </c>
      <c r="M68">
        <v>613.60199999999998</v>
      </c>
      <c r="N68">
        <v>499.81599999999997</v>
      </c>
      <c r="O68">
        <v>436.47699999999998</v>
      </c>
      <c r="P68">
        <v>616.34400000000005</v>
      </c>
      <c r="Q68">
        <v>663.39099999999996</v>
      </c>
      <c r="R68">
        <v>411.96499999999997</v>
      </c>
      <c r="S68">
        <v>357.71100000000001</v>
      </c>
      <c r="T68">
        <v>331.96499999999997</v>
      </c>
      <c r="U68">
        <v>521.81600000000003</v>
      </c>
      <c r="V68">
        <v>415.61700000000002</v>
      </c>
      <c r="W68">
        <v>694.90200000000004</v>
      </c>
      <c r="X68">
        <v>469.41</v>
      </c>
      <c r="Y68">
        <v>441.89800000000002</v>
      </c>
    </row>
    <row r="69" spans="1:27" x14ac:dyDescent="0.2">
      <c r="A69" t="s">
        <v>252</v>
      </c>
      <c r="D69">
        <f>D68-B68</f>
        <v>16.989999999999981</v>
      </c>
      <c r="E69">
        <f>E68-B68</f>
        <v>175.96299999999999</v>
      </c>
      <c r="F69">
        <f>F68-B68</f>
        <v>208.92</v>
      </c>
      <c r="G69">
        <f>G68-B68</f>
        <v>197.50999999999996</v>
      </c>
      <c r="H69">
        <f>H68-B68</f>
        <v>284.803</v>
      </c>
      <c r="I69">
        <f>I68-B68</f>
        <v>294.33799999999997</v>
      </c>
      <c r="J69">
        <f>J68-B68</f>
        <v>323.64299999999992</v>
      </c>
      <c r="K69">
        <f>K68-B68</f>
        <v>400.81499999999994</v>
      </c>
      <c r="L69">
        <f>L68-B68</f>
        <v>289.86500000000001</v>
      </c>
      <c r="M69">
        <f>M68-B68</f>
        <v>399.14699999999993</v>
      </c>
      <c r="N69">
        <f>N68-B68</f>
        <v>285.36099999999999</v>
      </c>
      <c r="O69">
        <f>O68-B68</f>
        <v>222.02199999999996</v>
      </c>
      <c r="P69">
        <f>P68-B68</f>
        <v>401.88900000000001</v>
      </c>
      <c r="Q69">
        <f>Q68-B68</f>
        <v>448.93599999999992</v>
      </c>
      <c r="R69">
        <f>R68-B68</f>
        <v>197.50999999999996</v>
      </c>
      <c r="S69">
        <f>B68</f>
        <v>214.45500000000001</v>
      </c>
      <c r="T69">
        <f>T68-B68</f>
        <v>117.50999999999996</v>
      </c>
      <c r="U69">
        <f>U68-B68</f>
        <v>307.36099999999999</v>
      </c>
      <c r="V69">
        <f>V68-B68</f>
        <v>201.16200000000001</v>
      </c>
      <c r="W69">
        <f>W68-B68</f>
        <v>480.447</v>
      </c>
      <c r="X69">
        <f>X68-B68</f>
        <v>254.95500000000001</v>
      </c>
      <c r="Y69">
        <f>Y68-B68</f>
        <v>227.44300000000001</v>
      </c>
    </row>
    <row r="70" spans="1:27" x14ac:dyDescent="0.2">
      <c r="A70" t="s">
        <v>31</v>
      </c>
      <c r="D70">
        <v>18.872</v>
      </c>
      <c r="E70">
        <v>6.4950000000000001</v>
      </c>
      <c r="F70">
        <v>5.7050000000000001</v>
      </c>
      <c r="G70">
        <v>5.2569999999999997</v>
      </c>
      <c r="H70">
        <v>4.8609999999999998</v>
      </c>
      <c r="I70">
        <v>5.05</v>
      </c>
      <c r="J70">
        <v>4.1379999999999999</v>
      </c>
      <c r="K70">
        <v>3.419</v>
      </c>
      <c r="L70">
        <v>3.5009999999999999</v>
      </c>
      <c r="M70">
        <v>2.948</v>
      </c>
      <c r="N70">
        <v>2.4660000000000002</v>
      </c>
      <c r="O70">
        <v>2.5219999999999998</v>
      </c>
      <c r="P70">
        <v>3.629</v>
      </c>
      <c r="Q70">
        <v>3.419</v>
      </c>
      <c r="R70">
        <v>2.3959999999999999</v>
      </c>
      <c r="S70">
        <v>2.2999999999999998</v>
      </c>
      <c r="T70">
        <v>2.1619999999999999</v>
      </c>
      <c r="U70">
        <v>2.0880000000000001</v>
      </c>
      <c r="V70">
        <v>2.02</v>
      </c>
      <c r="W70">
        <v>2.5550000000000002</v>
      </c>
      <c r="X70">
        <v>2.2970000000000002</v>
      </c>
      <c r="Y70">
        <v>2.5099999999999998</v>
      </c>
    </row>
    <row r="71" spans="1:27" x14ac:dyDescent="0.2">
      <c r="E71">
        <f t="shared" ref="E71:Y71" si="16">E69/39.3872</f>
        <v>4.4675173660478533</v>
      </c>
      <c r="F71">
        <f t="shared" si="16"/>
        <v>5.3042612828533127</v>
      </c>
      <c r="G71">
        <f t="shared" si="16"/>
        <v>5.0145732623796553</v>
      </c>
      <c r="H71">
        <f t="shared" si="16"/>
        <v>7.2308516472356503</v>
      </c>
      <c r="I71">
        <f t="shared" si="16"/>
        <v>7.4729353698663514</v>
      </c>
      <c r="J71">
        <f t="shared" si="16"/>
        <v>8.2169588089531604</v>
      </c>
      <c r="K71">
        <f t="shared" si="16"/>
        <v>10.1762755412926</v>
      </c>
      <c r="L71">
        <f t="shared" si="16"/>
        <v>7.3593705569322019</v>
      </c>
      <c r="M71">
        <f t="shared" si="16"/>
        <v>10.133926757931508</v>
      </c>
      <c r="N71">
        <f t="shared" si="16"/>
        <v>7.2450186862737134</v>
      </c>
      <c r="O71">
        <f t="shared" si="16"/>
        <v>5.6369074217004496</v>
      </c>
      <c r="P71">
        <f t="shared" si="16"/>
        <v>10.203543283097048</v>
      </c>
      <c r="Q71">
        <f t="shared" si="16"/>
        <v>11.398017630093022</v>
      </c>
      <c r="R71">
        <f t="shared" si="16"/>
        <v>5.0145732623796553</v>
      </c>
      <c r="S71">
        <f t="shared" si="16"/>
        <v>5.4447891700857136</v>
      </c>
      <c r="T71">
        <f t="shared" si="16"/>
        <v>2.9834565544136158</v>
      </c>
      <c r="U71">
        <f t="shared" si="16"/>
        <v>7.8035757809643735</v>
      </c>
      <c r="V71">
        <f t="shared" si="16"/>
        <v>5.1072937400983065</v>
      </c>
      <c r="W71">
        <f t="shared" si="16"/>
        <v>12.198049112401998</v>
      </c>
      <c r="X71">
        <f t="shared" si="16"/>
        <v>6.4730420034935214</v>
      </c>
      <c r="Y71">
        <f t="shared" si="16"/>
        <v>5.7745409676239996</v>
      </c>
    </row>
    <row r="74" spans="1:27" s="1" customFormat="1" x14ac:dyDescent="0.2">
      <c r="A74" s="1" t="s">
        <v>37</v>
      </c>
      <c r="B74" s="1" t="s">
        <v>2</v>
      </c>
      <c r="D74" s="1" t="s">
        <v>23</v>
      </c>
      <c r="E74" s="1" t="s">
        <v>254</v>
      </c>
    </row>
    <row r="75" spans="1:27" x14ac:dyDescent="0.2">
      <c r="A75" t="s">
        <v>253</v>
      </c>
      <c r="B75">
        <v>214.45500000000001</v>
      </c>
      <c r="D75">
        <v>319.82</v>
      </c>
      <c r="E75">
        <v>295.66399999999999</v>
      </c>
      <c r="F75">
        <v>307.53100000000001</v>
      </c>
      <c r="G75">
        <v>448.56200000000001</v>
      </c>
      <c r="H75">
        <v>694.76199999999994</v>
      </c>
      <c r="I75">
        <v>616.65599999999995</v>
      </c>
      <c r="J75">
        <v>855.65200000000004</v>
      </c>
      <c r="K75">
        <v>572.45699999999999</v>
      </c>
      <c r="L75">
        <v>354.29700000000003</v>
      </c>
      <c r="M75">
        <v>445.15600000000001</v>
      </c>
      <c r="N75">
        <v>387.83600000000001</v>
      </c>
      <c r="O75">
        <v>307.43400000000003</v>
      </c>
      <c r="P75">
        <v>489.27699999999999</v>
      </c>
      <c r="Q75">
        <v>456.14499999999998</v>
      </c>
      <c r="R75">
        <v>621.21500000000003</v>
      </c>
      <c r="S75">
        <v>441.55500000000001</v>
      </c>
      <c r="T75">
        <v>614.15200000000004</v>
      </c>
      <c r="U75">
        <v>539.31200000000001</v>
      </c>
      <c r="V75">
        <v>339.34800000000001</v>
      </c>
    </row>
    <row r="76" spans="1:27" x14ac:dyDescent="0.2">
      <c r="A76" t="s">
        <v>252</v>
      </c>
      <c r="D76">
        <f>D75-B75</f>
        <v>105.36499999999998</v>
      </c>
      <c r="E76">
        <f>E75-B75</f>
        <v>81.208999999999975</v>
      </c>
      <c r="F76">
        <f>F75-B75</f>
        <v>93.075999999999993</v>
      </c>
      <c r="G76">
        <f>G75-B75</f>
        <v>234.107</v>
      </c>
      <c r="H76">
        <f>H75-B75</f>
        <v>480.3069999999999</v>
      </c>
      <c r="I76">
        <f>I75-B75</f>
        <v>402.20099999999991</v>
      </c>
      <c r="J76">
        <f>J75-B75</f>
        <v>641.197</v>
      </c>
      <c r="K76">
        <f>K75-B75</f>
        <v>358.00199999999995</v>
      </c>
      <c r="L76">
        <f>L75-B75</f>
        <v>139.84200000000001</v>
      </c>
      <c r="M76">
        <f>M75-B75</f>
        <v>230.70099999999999</v>
      </c>
      <c r="N76">
        <f>N75-B75</f>
        <v>173.381</v>
      </c>
      <c r="O76">
        <f>O75-B75</f>
        <v>92.979000000000013</v>
      </c>
      <c r="P76">
        <f>P75-B75</f>
        <v>274.822</v>
      </c>
      <c r="Q76">
        <f>Q75-B75</f>
        <v>241.68999999999997</v>
      </c>
      <c r="R76">
        <f>R75-B75</f>
        <v>406.76</v>
      </c>
      <c r="S76">
        <f>S75-B75</f>
        <v>227.1</v>
      </c>
      <c r="T76">
        <f>T75-B75</f>
        <v>399.697</v>
      </c>
      <c r="U76">
        <f>U75-B75</f>
        <v>324.85699999999997</v>
      </c>
      <c r="V76">
        <f>V75-B75</f>
        <v>124.893</v>
      </c>
    </row>
    <row r="77" spans="1:27" x14ac:dyDescent="0.2">
      <c r="A77" t="s">
        <v>31</v>
      </c>
      <c r="D77">
        <v>18.832999999999998</v>
      </c>
      <c r="E77">
        <v>5.8540000000000001</v>
      </c>
      <c r="F77">
        <v>4.4089999999999998</v>
      </c>
      <c r="G77">
        <v>3.4609999999999999</v>
      </c>
      <c r="H77">
        <v>2.9660000000000002</v>
      </c>
      <c r="I77">
        <v>3.22</v>
      </c>
      <c r="J77">
        <v>2.4900000000000002</v>
      </c>
      <c r="K77">
        <v>2.6589999999999998</v>
      </c>
      <c r="L77">
        <v>2.415</v>
      </c>
      <c r="M77">
        <v>3.3340000000000001</v>
      </c>
      <c r="N77">
        <v>2.4729999999999999</v>
      </c>
      <c r="O77">
        <v>2.1339999999999999</v>
      </c>
      <c r="P77">
        <v>2.1549999999999998</v>
      </c>
      <c r="Q77">
        <v>1.8879999999999999</v>
      </c>
      <c r="R77">
        <v>2.0699999999999998</v>
      </c>
      <c r="S77">
        <v>1.732</v>
      </c>
      <c r="T77">
        <v>2.56</v>
      </c>
      <c r="U77">
        <v>2.2719999999999998</v>
      </c>
      <c r="V77">
        <v>1.98</v>
      </c>
    </row>
    <row r="78" spans="1:27" x14ac:dyDescent="0.2">
      <c r="A78" t="s">
        <v>17</v>
      </c>
      <c r="D78">
        <f t="shared" ref="D78:V78" si="17">SQRT(1+D77^2)</f>
        <v>18.859530455448777</v>
      </c>
      <c r="E78">
        <f t="shared" si="17"/>
        <v>5.9387975213842745</v>
      </c>
      <c r="F78">
        <f t="shared" si="17"/>
        <v>4.5209823047651927</v>
      </c>
      <c r="G78">
        <f t="shared" si="17"/>
        <v>3.6025714427336482</v>
      </c>
      <c r="H78">
        <f t="shared" si="17"/>
        <v>3.1300408943015428</v>
      </c>
      <c r="I78">
        <f t="shared" si="17"/>
        <v>3.371705799739948</v>
      </c>
      <c r="J78">
        <f t="shared" si="17"/>
        <v>2.6833002068348595</v>
      </c>
      <c r="K78">
        <f t="shared" si="17"/>
        <v>2.8408240001802292</v>
      </c>
      <c r="L78">
        <f t="shared" si="17"/>
        <v>2.6138525207057879</v>
      </c>
      <c r="M78">
        <f t="shared" si="17"/>
        <v>3.480740725765135</v>
      </c>
      <c r="N78">
        <f t="shared" si="17"/>
        <v>2.6675323803095621</v>
      </c>
      <c r="O78">
        <f t="shared" si="17"/>
        <v>2.3566832625535405</v>
      </c>
      <c r="P78">
        <f t="shared" si="17"/>
        <v>2.3757156816420602</v>
      </c>
      <c r="Q78">
        <f t="shared" si="17"/>
        <v>2.1364793469631294</v>
      </c>
      <c r="R78">
        <f t="shared" si="17"/>
        <v>2.2988910370002316</v>
      </c>
      <c r="S78">
        <f t="shared" si="17"/>
        <v>1.9999559995159892</v>
      </c>
      <c r="T78">
        <f t="shared" si="17"/>
        <v>2.7483813418083014</v>
      </c>
      <c r="U78">
        <f t="shared" si="17"/>
        <v>2.4823343852108239</v>
      </c>
      <c r="V78">
        <f t="shared" si="17"/>
        <v>2.2181974664127626</v>
      </c>
    </row>
    <row r="79" spans="1:27" x14ac:dyDescent="0.2">
      <c r="A79" t="s">
        <v>251</v>
      </c>
      <c r="E79">
        <f t="shared" ref="E79:V79" si="18">E76/39.3872</f>
        <v>2.0618119592151758</v>
      </c>
      <c r="F79">
        <f t="shared" si="18"/>
        <v>2.3631027338830886</v>
      </c>
      <c r="G79">
        <f t="shared" si="18"/>
        <v>5.9437329893975708</v>
      </c>
      <c r="H79">
        <f t="shared" si="18"/>
        <v>12.194494658163055</v>
      </c>
      <c r="I79">
        <f t="shared" si="18"/>
        <v>10.211464638258112</v>
      </c>
      <c r="J79">
        <f t="shared" si="18"/>
        <v>16.279324247471259</v>
      </c>
      <c r="K79">
        <f t="shared" si="18"/>
        <v>9.0892980460657249</v>
      </c>
      <c r="L79">
        <f t="shared" si="18"/>
        <v>3.5504427834423371</v>
      </c>
      <c r="M79">
        <f t="shared" si="18"/>
        <v>5.8572581955559162</v>
      </c>
      <c r="N79">
        <f t="shared" si="18"/>
        <v>4.4019630742982496</v>
      </c>
      <c r="O79">
        <f t="shared" si="18"/>
        <v>2.3606400048746803</v>
      </c>
      <c r="P79">
        <f t="shared" si="18"/>
        <v>6.9774444489580372</v>
      </c>
      <c r="Q79">
        <f t="shared" si="18"/>
        <v>6.1362574643539007</v>
      </c>
      <c r="R79">
        <f t="shared" si="18"/>
        <v>10.327212901653329</v>
      </c>
      <c r="S79">
        <f t="shared" si="18"/>
        <v>5.7658325547385951</v>
      </c>
      <c r="T79">
        <f t="shared" si="18"/>
        <v>10.147890685298778</v>
      </c>
      <c r="U79">
        <f t="shared" si="18"/>
        <v>8.247781004996547</v>
      </c>
      <c r="V79">
        <f t="shared" si="18"/>
        <v>3.1709032376000326</v>
      </c>
    </row>
    <row r="81" spans="1:17" s="1" customFormat="1" x14ac:dyDescent="0.2">
      <c r="A81" s="1" t="s">
        <v>22</v>
      </c>
      <c r="B81" s="1" t="s">
        <v>2</v>
      </c>
      <c r="D81" s="1" t="s">
        <v>254</v>
      </c>
    </row>
    <row r="82" spans="1:17" x14ac:dyDescent="0.2">
      <c r="A82" t="s">
        <v>253</v>
      </c>
      <c r="B82">
        <v>214.45500000000001</v>
      </c>
      <c r="D82">
        <v>239.191</v>
      </c>
      <c r="E82">
        <v>281.95699999999999</v>
      </c>
      <c r="F82">
        <v>298.77300000000002</v>
      </c>
      <c r="G82">
        <v>312.512</v>
      </c>
      <c r="H82">
        <v>427.82799999999997</v>
      </c>
      <c r="I82">
        <v>472.93</v>
      </c>
      <c r="J82">
        <v>434.17599999999999</v>
      </c>
      <c r="K82">
        <v>354.70299999999997</v>
      </c>
      <c r="L82">
        <v>282.93</v>
      </c>
      <c r="M82">
        <v>253.922</v>
      </c>
      <c r="N82">
        <v>248.40600000000001</v>
      </c>
      <c r="O82">
        <v>251.55500000000001</v>
      </c>
      <c r="P82">
        <v>241.52699999999999</v>
      </c>
      <c r="Q82">
        <v>287.10500000000002</v>
      </c>
    </row>
    <row r="83" spans="1:17" x14ac:dyDescent="0.2">
      <c r="A83" t="s">
        <v>252</v>
      </c>
      <c r="D83">
        <f>D82-B82</f>
        <v>24.73599999999999</v>
      </c>
      <c r="E83">
        <f>E82-B82</f>
        <v>67.501999999999981</v>
      </c>
      <c r="F83">
        <f>F82-B82</f>
        <v>84.318000000000012</v>
      </c>
      <c r="G83">
        <f>G82-B82</f>
        <v>98.056999999999988</v>
      </c>
      <c r="H83">
        <f>H82-B82</f>
        <v>213.37299999999996</v>
      </c>
      <c r="I83">
        <f>I82-B82</f>
        <v>258.47500000000002</v>
      </c>
      <c r="J83">
        <f>J82-B82</f>
        <v>219.72099999999998</v>
      </c>
      <c r="K83">
        <f>K82-B82</f>
        <v>140.24799999999996</v>
      </c>
      <c r="L83">
        <f>L82-B82</f>
        <v>68.474999999999994</v>
      </c>
      <c r="M83">
        <f>M82-B82</f>
        <v>39.466999999999985</v>
      </c>
      <c r="N83">
        <f>N82-B82</f>
        <v>33.950999999999993</v>
      </c>
      <c r="O83">
        <f>O82-B82</f>
        <v>37.099999999999994</v>
      </c>
      <c r="P83">
        <f>P82-B82</f>
        <v>27.071999999999974</v>
      </c>
      <c r="Q83">
        <f>Q82-B82</f>
        <v>72.650000000000006</v>
      </c>
    </row>
    <row r="84" spans="1:17" x14ac:dyDescent="0.2">
      <c r="A84" t="s">
        <v>31</v>
      </c>
      <c r="D84">
        <v>1.573</v>
      </c>
      <c r="E84">
        <v>2.2250000000000001</v>
      </c>
      <c r="F84">
        <v>2.59</v>
      </c>
      <c r="G84">
        <v>3.0489999999999999</v>
      </c>
      <c r="H84">
        <v>2.12</v>
      </c>
      <c r="I84">
        <v>2.0209999999999999</v>
      </c>
      <c r="J84">
        <v>3.0249999999999999</v>
      </c>
      <c r="K84">
        <v>1.7989999999999999</v>
      </c>
      <c r="L84">
        <v>2.54</v>
      </c>
      <c r="M84">
        <v>3.23</v>
      </c>
      <c r="N84">
        <v>3.782</v>
      </c>
      <c r="O84">
        <v>2.7280000000000002</v>
      </c>
      <c r="P84">
        <v>2.5910000000000002</v>
      </c>
      <c r="Q84">
        <v>2.2719999999999998</v>
      </c>
    </row>
    <row r="85" spans="1:17" x14ac:dyDescent="0.2">
      <c r="A85" t="s">
        <v>17</v>
      </c>
      <c r="D85">
        <f t="shared" ref="D85:Q85" si="19">SQRT(4+D84^2)</f>
        <v>2.5444702788596292</v>
      </c>
      <c r="E85">
        <f t="shared" si="19"/>
        <v>2.9917595157365171</v>
      </c>
      <c r="F85">
        <f t="shared" si="19"/>
        <v>3.2723233336576016</v>
      </c>
      <c r="G85">
        <f t="shared" si="19"/>
        <v>3.6464230418315426</v>
      </c>
      <c r="H85">
        <f t="shared" si="19"/>
        <v>2.9145153971114994</v>
      </c>
      <c r="I85">
        <f t="shared" si="19"/>
        <v>2.8433151425756518</v>
      </c>
      <c r="J85">
        <f t="shared" si="19"/>
        <v>3.6263790480312452</v>
      </c>
      <c r="K85">
        <f t="shared" si="19"/>
        <v>2.6900559473735859</v>
      </c>
      <c r="L85">
        <f t="shared" si="19"/>
        <v>3.232893440866865</v>
      </c>
      <c r="M85">
        <f t="shared" si="19"/>
        <v>3.7990656746100084</v>
      </c>
      <c r="N85">
        <f t="shared" si="19"/>
        <v>4.278261796571126</v>
      </c>
      <c r="O85">
        <f t="shared" si="19"/>
        <v>3.3826001832909549</v>
      </c>
      <c r="P85">
        <f t="shared" si="19"/>
        <v>3.2731148772996042</v>
      </c>
      <c r="Q85">
        <f t="shared" si="19"/>
        <v>3.0268769383640293</v>
      </c>
    </row>
    <row r="86" spans="1:17" x14ac:dyDescent="0.2">
      <c r="A86" t="s">
        <v>251</v>
      </c>
      <c r="D86">
        <f t="shared" ref="D86:Q86" si="20">D83/39.3872</f>
        <v>0.62802128610309926</v>
      </c>
      <c r="E86">
        <f t="shared" si="20"/>
        <v>1.7138055002640447</v>
      </c>
      <c r="F86">
        <f t="shared" si="20"/>
        <v>2.1407462322785071</v>
      </c>
      <c r="G86">
        <f t="shared" si="20"/>
        <v>2.4895651379128241</v>
      </c>
      <c r="H86">
        <f t="shared" si="20"/>
        <v>5.4173183166104719</v>
      </c>
      <c r="I86">
        <f t="shared" si="20"/>
        <v>6.5624111386440269</v>
      </c>
      <c r="J86">
        <f t="shared" si="20"/>
        <v>5.5784874273875769</v>
      </c>
      <c r="K86">
        <f t="shared" si="20"/>
        <v>3.5607507007352632</v>
      </c>
      <c r="L86">
        <f t="shared" si="20"/>
        <v>1.7385089572246819</v>
      </c>
      <c r="M86">
        <f t="shared" si="20"/>
        <v>1.0020260389161957</v>
      </c>
      <c r="N86">
        <f t="shared" si="20"/>
        <v>0.86198054190193751</v>
      </c>
      <c r="O86">
        <f t="shared" si="20"/>
        <v>0.94193037331925078</v>
      </c>
      <c r="P86">
        <f t="shared" si="20"/>
        <v>0.68732989397570721</v>
      </c>
      <c r="Q86">
        <f t="shared" si="20"/>
        <v>1.84450786042166</v>
      </c>
    </row>
    <row r="89" spans="1:17" x14ac:dyDescent="0.2">
      <c r="A89" t="s">
        <v>33</v>
      </c>
      <c r="B89">
        <f>AVERAGE(D76,D69,D55,D41,D34,D27,C20,C12,)</f>
        <v>39.387222222222213</v>
      </c>
    </row>
    <row r="90" spans="1:17" x14ac:dyDescent="0.2">
      <c r="A90" t="s">
        <v>27</v>
      </c>
      <c r="B90">
        <v>47.031999999999996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3440-E5FB-AA44-98A5-660B76A951CD}">
  <dimension ref="A1:AF95"/>
  <sheetViews>
    <sheetView workbookViewId="0">
      <selection activeCell="W52" sqref="W52"/>
    </sheetView>
  </sheetViews>
  <sheetFormatPr baseColWidth="10" defaultColWidth="8.83203125" defaultRowHeight="15" x14ac:dyDescent="0.2"/>
  <cols>
    <col min="1" max="1" width="17.83203125" customWidth="1"/>
    <col min="2" max="2" width="19.1640625" customWidth="1"/>
    <col min="5" max="5" width="11.1640625" customWidth="1"/>
  </cols>
  <sheetData>
    <row r="1" spans="1:17" x14ac:dyDescent="0.2">
      <c r="A1" t="s">
        <v>258</v>
      </c>
    </row>
    <row r="2" spans="1:17" s="1" customFormat="1" x14ac:dyDescent="0.2">
      <c r="A2" s="1" t="s">
        <v>1</v>
      </c>
      <c r="B2" s="1" t="s">
        <v>256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</row>
    <row r="3" spans="1:17" x14ac:dyDescent="0.2">
      <c r="A3" t="s">
        <v>269</v>
      </c>
      <c r="C3">
        <v>811.74199999999996</v>
      </c>
      <c r="D3">
        <v>401.94499999999999</v>
      </c>
      <c r="E3">
        <v>759.30100000000004</v>
      </c>
      <c r="F3">
        <v>1432.008</v>
      </c>
      <c r="G3">
        <v>458.64100000000002</v>
      </c>
      <c r="H3">
        <v>542.45699999999999</v>
      </c>
      <c r="I3">
        <v>2526.473</v>
      </c>
      <c r="J3">
        <v>4174.2420000000002</v>
      </c>
      <c r="K3">
        <v>3171.48</v>
      </c>
      <c r="L3">
        <v>3229.7420000000002</v>
      </c>
      <c r="M3">
        <v>2960.16</v>
      </c>
      <c r="N3">
        <v>1718.8869999999999</v>
      </c>
      <c r="O3">
        <v>1628.828</v>
      </c>
    </row>
    <row r="4" spans="1:17" x14ac:dyDescent="0.2">
      <c r="A4" t="s">
        <v>252</v>
      </c>
      <c r="C4">
        <f t="shared" ref="C4:O4" si="0">C3-$B$30</f>
        <v>589.60199999999998</v>
      </c>
      <c r="D4">
        <f t="shared" si="0"/>
        <v>179.80500000000001</v>
      </c>
      <c r="E4">
        <f t="shared" si="0"/>
        <v>537.16100000000006</v>
      </c>
      <c r="F4">
        <f t="shared" si="0"/>
        <v>1209.8679999999999</v>
      </c>
      <c r="G4">
        <f t="shared" si="0"/>
        <v>236.50100000000003</v>
      </c>
      <c r="H4">
        <f t="shared" si="0"/>
        <v>320.31700000000001</v>
      </c>
      <c r="I4">
        <f t="shared" si="0"/>
        <v>2304.3330000000001</v>
      </c>
      <c r="J4">
        <f t="shared" si="0"/>
        <v>3952.1020000000003</v>
      </c>
      <c r="K4">
        <f t="shared" si="0"/>
        <v>2949.34</v>
      </c>
      <c r="L4">
        <f t="shared" si="0"/>
        <v>3007.6020000000003</v>
      </c>
      <c r="M4">
        <f t="shared" si="0"/>
        <v>2738.02</v>
      </c>
      <c r="N4">
        <f t="shared" si="0"/>
        <v>1496.7469999999998</v>
      </c>
      <c r="O4">
        <f t="shared" si="0"/>
        <v>1406.6880000000001</v>
      </c>
    </row>
    <row r="5" spans="1:17" x14ac:dyDescent="0.2">
      <c r="A5" t="s">
        <v>31</v>
      </c>
      <c r="C5">
        <v>3.2890000000000001</v>
      </c>
      <c r="D5">
        <v>5.3920000000000003</v>
      </c>
      <c r="E5">
        <v>1.7070000000000001</v>
      </c>
      <c r="F5">
        <v>1.1499999999999999</v>
      </c>
      <c r="G5">
        <v>6.665</v>
      </c>
      <c r="H5">
        <v>14.167</v>
      </c>
      <c r="I5">
        <v>3.798</v>
      </c>
      <c r="J5">
        <v>3.004</v>
      </c>
      <c r="K5">
        <v>3.101</v>
      </c>
      <c r="L5">
        <v>2.6219999999999999</v>
      </c>
      <c r="M5">
        <v>2.2879999999999998</v>
      </c>
      <c r="N5">
        <v>3.2040000000000002</v>
      </c>
      <c r="O5">
        <v>3.2309999999999999</v>
      </c>
    </row>
    <row r="6" spans="1:17" x14ac:dyDescent="0.2">
      <c r="A6" t="s">
        <v>17</v>
      </c>
      <c r="C6">
        <f t="shared" ref="C6:O6" si="1">SQRT(4+(C5^2))</f>
        <v>3.8493533223127234</v>
      </c>
      <c r="D6">
        <f t="shared" si="1"/>
        <v>5.7509707006730615</v>
      </c>
      <c r="E6">
        <f t="shared" si="1"/>
        <v>2.6294198980003176</v>
      </c>
      <c r="F6">
        <f t="shared" si="1"/>
        <v>2.3070543990118653</v>
      </c>
      <c r="G6">
        <f t="shared" si="1"/>
        <v>6.9586079786118145</v>
      </c>
      <c r="H6">
        <f t="shared" si="1"/>
        <v>14.307476681791238</v>
      </c>
      <c r="I6">
        <f t="shared" si="1"/>
        <v>4.2924123753432637</v>
      </c>
      <c r="J6">
        <f t="shared" si="1"/>
        <v>3.6088801587195993</v>
      </c>
      <c r="K6">
        <f t="shared" si="1"/>
        <v>3.6900136856114774</v>
      </c>
      <c r="L6">
        <f t="shared" si="1"/>
        <v>3.2977089016467174</v>
      </c>
      <c r="M6">
        <f t="shared" si="1"/>
        <v>3.0389050659735983</v>
      </c>
      <c r="N6">
        <f t="shared" si="1"/>
        <v>3.776985041008238</v>
      </c>
      <c r="O6">
        <f t="shared" si="1"/>
        <v>3.7999159201224439</v>
      </c>
    </row>
    <row r="7" spans="1:17" x14ac:dyDescent="0.2">
      <c r="A7" t="s">
        <v>251</v>
      </c>
      <c r="I7">
        <f t="shared" ref="I7:O7" si="2">I4/$B$95</f>
        <v>5.5618808614271691</v>
      </c>
      <c r="J7">
        <f t="shared" si="2"/>
        <v>9.5390381842416172</v>
      </c>
      <c r="K7">
        <f t="shared" si="2"/>
        <v>7.1187097089880709</v>
      </c>
      <c r="L7">
        <f t="shared" si="2"/>
        <v>7.2593344809930151</v>
      </c>
      <c r="M7">
        <f t="shared" si="2"/>
        <v>6.6086546676217441</v>
      </c>
      <c r="N7">
        <f t="shared" si="2"/>
        <v>3.6126412691648864</v>
      </c>
      <c r="O7">
        <f t="shared" si="2"/>
        <v>3.3952692884228375</v>
      </c>
    </row>
    <row r="9" spans="1:17" s="1" customFormat="1" x14ac:dyDescent="0.2">
      <c r="A9" s="1" t="s">
        <v>8</v>
      </c>
      <c r="B9" s="1" t="s">
        <v>256</v>
      </c>
      <c r="C9" s="1">
        <v>1</v>
      </c>
      <c r="D9" s="1">
        <v>1</v>
      </c>
      <c r="E9" s="1">
        <v>1</v>
      </c>
      <c r="F9" s="1">
        <v>1</v>
      </c>
      <c r="G9" s="1">
        <v>1</v>
      </c>
    </row>
    <row r="10" spans="1:17" x14ac:dyDescent="0.2">
      <c r="A10" t="s">
        <v>253</v>
      </c>
      <c r="C10">
        <v>988.03499999999997</v>
      </c>
      <c r="D10">
        <v>912.14800000000002</v>
      </c>
      <c r="E10">
        <v>829.16399999999999</v>
      </c>
      <c r="F10">
        <v>1139.48</v>
      </c>
      <c r="G10">
        <v>571.28499999999997</v>
      </c>
      <c r="H10">
        <v>292.50700000000001</v>
      </c>
      <c r="I10">
        <v>420.93400000000003</v>
      </c>
      <c r="J10">
        <v>1898.1880000000001</v>
      </c>
      <c r="K10">
        <v>2518.27</v>
      </c>
      <c r="L10">
        <v>2155.0160000000001</v>
      </c>
      <c r="M10">
        <v>1566.9259999999999</v>
      </c>
      <c r="N10">
        <v>2269.1840000000002</v>
      </c>
      <c r="O10">
        <v>1904.4380000000001</v>
      </c>
      <c r="P10">
        <v>3974.3119999999999</v>
      </c>
      <c r="Q10">
        <v>3199.8090000000002</v>
      </c>
    </row>
    <row r="11" spans="1:17" x14ac:dyDescent="0.2">
      <c r="A11" t="s">
        <v>252</v>
      </c>
      <c r="C11">
        <f t="shared" ref="C11:Q11" si="3">C10-$B$30</f>
        <v>765.89499999999998</v>
      </c>
      <c r="D11">
        <f t="shared" si="3"/>
        <v>690.00800000000004</v>
      </c>
      <c r="E11">
        <f t="shared" si="3"/>
        <v>607.024</v>
      </c>
      <c r="F11">
        <f t="shared" si="3"/>
        <v>917.34</v>
      </c>
      <c r="G11">
        <f t="shared" si="3"/>
        <v>349.14499999999998</v>
      </c>
      <c r="H11">
        <f t="shared" si="3"/>
        <v>70.367000000000019</v>
      </c>
      <c r="I11">
        <f t="shared" si="3"/>
        <v>198.79400000000004</v>
      </c>
      <c r="J11">
        <f t="shared" si="3"/>
        <v>1676.0480000000002</v>
      </c>
      <c r="K11">
        <f t="shared" si="3"/>
        <v>2296.13</v>
      </c>
      <c r="L11">
        <f t="shared" si="3"/>
        <v>1932.8760000000002</v>
      </c>
      <c r="M11">
        <f t="shared" si="3"/>
        <v>1344.7860000000001</v>
      </c>
      <c r="N11">
        <f t="shared" si="3"/>
        <v>2047.0440000000003</v>
      </c>
      <c r="O11">
        <f t="shared" si="3"/>
        <v>1682.2980000000002</v>
      </c>
      <c r="P11">
        <f t="shared" si="3"/>
        <v>3752.172</v>
      </c>
      <c r="Q11">
        <f t="shared" si="3"/>
        <v>2977.6690000000003</v>
      </c>
    </row>
    <row r="12" spans="1:17" x14ac:dyDescent="0.2">
      <c r="A12" t="s">
        <v>31</v>
      </c>
      <c r="C12">
        <v>3.2040000000000002</v>
      </c>
      <c r="D12">
        <v>1.702</v>
      </c>
      <c r="E12">
        <v>5.2510000000000003</v>
      </c>
      <c r="F12">
        <v>1.752</v>
      </c>
      <c r="G12">
        <v>6.1879999999999997</v>
      </c>
      <c r="H12">
        <v>6.4720000000000004</v>
      </c>
      <c r="I12">
        <v>14.089</v>
      </c>
      <c r="J12">
        <v>2.78</v>
      </c>
      <c r="K12">
        <v>2.9340000000000002</v>
      </c>
      <c r="L12">
        <v>2.8090000000000002</v>
      </c>
      <c r="M12">
        <v>2.1640000000000001</v>
      </c>
      <c r="N12">
        <v>1.3009999999999999</v>
      </c>
      <c r="O12">
        <v>1.8240000000000001</v>
      </c>
      <c r="P12">
        <v>3.355</v>
      </c>
      <c r="Q12">
        <v>3.2040000000000002</v>
      </c>
    </row>
    <row r="13" spans="1:17" x14ac:dyDescent="0.2">
      <c r="A13" t="s">
        <v>17</v>
      </c>
      <c r="C13">
        <f t="shared" ref="C13:Q13" si="4">SQRT(1+((C12^2)))</f>
        <v>3.3564290548140594</v>
      </c>
      <c r="D13">
        <f t="shared" si="4"/>
        <v>1.9740324212129849</v>
      </c>
      <c r="E13">
        <f t="shared" si="4"/>
        <v>5.345371923449294</v>
      </c>
      <c r="F13">
        <f t="shared" si="4"/>
        <v>2.017301167401635</v>
      </c>
      <c r="G13">
        <f t="shared" si="4"/>
        <v>6.2682807850318891</v>
      </c>
      <c r="H13">
        <f t="shared" si="4"/>
        <v>6.5488001954556534</v>
      </c>
      <c r="I13">
        <f t="shared" si="4"/>
        <v>14.124444095255573</v>
      </c>
      <c r="J13">
        <f t="shared" si="4"/>
        <v>2.9543865691544156</v>
      </c>
      <c r="K13">
        <f t="shared" si="4"/>
        <v>3.0997348273683025</v>
      </c>
      <c r="L13">
        <f t="shared" si="4"/>
        <v>2.9816909631952138</v>
      </c>
      <c r="M13">
        <f t="shared" si="4"/>
        <v>2.3838825474423024</v>
      </c>
      <c r="N13">
        <f t="shared" si="4"/>
        <v>1.6409146839491686</v>
      </c>
      <c r="O13">
        <f t="shared" si="4"/>
        <v>2.0801384569302113</v>
      </c>
      <c r="P13">
        <f t="shared" si="4"/>
        <v>3.5008606084790066</v>
      </c>
      <c r="Q13">
        <f t="shared" si="4"/>
        <v>3.3564290548140594</v>
      </c>
    </row>
    <row r="14" spans="1:17" x14ac:dyDescent="0.2">
      <c r="A14" t="s">
        <v>251</v>
      </c>
      <c r="H14">
        <f t="shared" ref="H14:Q14" si="5">H11/$B$95</f>
        <v>0.16984214980041762</v>
      </c>
      <c r="I14">
        <f t="shared" si="5"/>
        <v>0.47982151189370326</v>
      </c>
      <c r="J14">
        <f t="shared" si="5"/>
        <v>4.0454132688432116</v>
      </c>
      <c r="K14">
        <f t="shared" si="5"/>
        <v>5.5420815925253715</v>
      </c>
      <c r="L14">
        <f t="shared" si="5"/>
        <v>4.6653092378193177</v>
      </c>
      <c r="M14">
        <f t="shared" si="5"/>
        <v>3.2458587869527529</v>
      </c>
      <c r="N14">
        <f t="shared" si="5"/>
        <v>4.9408721942962757</v>
      </c>
      <c r="O14">
        <f t="shared" si="5"/>
        <v>4.0604986559742908</v>
      </c>
      <c r="P14">
        <f t="shared" si="5"/>
        <v>9.0564747523829698</v>
      </c>
      <c r="Q14">
        <f t="shared" si="5"/>
        <v>7.1870863381138834</v>
      </c>
    </row>
    <row r="16" spans="1:17" s="1" customFormat="1" x14ac:dyDescent="0.2">
      <c r="A16" s="1" t="s">
        <v>268</v>
      </c>
      <c r="B16" s="1" t="s">
        <v>30</v>
      </c>
      <c r="C16" s="1" t="s">
        <v>23</v>
      </c>
      <c r="E16" s="1" t="s">
        <v>254</v>
      </c>
    </row>
    <row r="17" spans="1:32" x14ac:dyDescent="0.2">
      <c r="A17" t="s">
        <v>253</v>
      </c>
      <c r="B17">
        <v>222.14</v>
      </c>
      <c r="C17">
        <v>323.44900000000001</v>
      </c>
      <c r="D17">
        <v>376.90199999999999</v>
      </c>
      <c r="E17">
        <v>639.26199999999994</v>
      </c>
      <c r="F17">
        <v>664.21100000000001</v>
      </c>
      <c r="G17">
        <v>366.82799999999997</v>
      </c>
      <c r="H17">
        <v>495.66800000000001</v>
      </c>
      <c r="I17">
        <v>780.625</v>
      </c>
      <c r="J17">
        <v>883.28899999999999</v>
      </c>
      <c r="K17">
        <v>675.98400000000004</v>
      </c>
      <c r="L17">
        <v>632.96500000000003</v>
      </c>
      <c r="M17">
        <v>1209.0820000000001</v>
      </c>
      <c r="N17">
        <v>831.34799999999996</v>
      </c>
      <c r="O17">
        <v>510.64100000000002</v>
      </c>
      <c r="P17">
        <v>405.98</v>
      </c>
      <c r="Q17">
        <v>588.57000000000005</v>
      </c>
      <c r="R17">
        <v>487.70699999999999</v>
      </c>
      <c r="S17">
        <v>478.88</v>
      </c>
      <c r="T17">
        <v>501.68799999999999</v>
      </c>
      <c r="U17">
        <v>651.06200000000001</v>
      </c>
      <c r="V17">
        <v>462.53500000000003</v>
      </c>
      <c r="W17">
        <v>350.28100000000001</v>
      </c>
      <c r="X17">
        <v>971.81200000000001</v>
      </c>
      <c r="Y17">
        <v>934.05499999999995</v>
      </c>
      <c r="Z17">
        <v>2165.91</v>
      </c>
      <c r="AA17">
        <v>991.5</v>
      </c>
      <c r="AB17">
        <v>1412.7270000000001</v>
      </c>
      <c r="AC17">
        <v>789.54700000000003</v>
      </c>
      <c r="AD17">
        <v>1575.385</v>
      </c>
      <c r="AE17">
        <v>1801.2270000000001</v>
      </c>
      <c r="AF17">
        <v>1206.1880000000001</v>
      </c>
    </row>
    <row r="18" spans="1:32" x14ac:dyDescent="0.2">
      <c r="A18" t="s">
        <v>252</v>
      </c>
      <c r="C18">
        <f>C17-B17</f>
        <v>101.30900000000003</v>
      </c>
      <c r="D18">
        <f>D17-B17</f>
        <v>154.762</v>
      </c>
      <c r="E18">
        <f>E17-B17</f>
        <v>417.12199999999996</v>
      </c>
      <c r="F18">
        <f>F17-B17</f>
        <v>442.07100000000003</v>
      </c>
      <c r="G18">
        <f>G17-B17</f>
        <v>144.68799999999999</v>
      </c>
      <c r="H18">
        <f>H17-B17</f>
        <v>273.52800000000002</v>
      </c>
      <c r="I18">
        <f>I17-B17</f>
        <v>558.48500000000001</v>
      </c>
      <c r="J18">
        <f>J17-B17</f>
        <v>661.149</v>
      </c>
      <c r="K18">
        <f>K17-B17</f>
        <v>453.84400000000005</v>
      </c>
      <c r="L18">
        <f>L17-B17</f>
        <v>410.82500000000005</v>
      </c>
      <c r="M18">
        <f>M17-B17</f>
        <v>986.94200000000012</v>
      </c>
      <c r="N18">
        <f>N17-B17</f>
        <v>609.20799999999997</v>
      </c>
      <c r="O18">
        <f>O17-B17</f>
        <v>288.50100000000003</v>
      </c>
      <c r="P18">
        <f>P17-B17</f>
        <v>183.84000000000003</v>
      </c>
      <c r="Q18">
        <f>Q17-B17</f>
        <v>366.43000000000006</v>
      </c>
      <c r="R18">
        <f>R17-B17</f>
        <v>265.56700000000001</v>
      </c>
      <c r="S18">
        <f>S17-B17</f>
        <v>256.74</v>
      </c>
      <c r="T18">
        <f>B17</f>
        <v>222.14</v>
      </c>
      <c r="U18">
        <f>U17-B17</f>
        <v>428.92200000000003</v>
      </c>
      <c r="V18">
        <f>V17-B17</f>
        <v>240.39500000000004</v>
      </c>
      <c r="W18">
        <f>W17-B17</f>
        <v>128.14100000000002</v>
      </c>
      <c r="X18">
        <f>X17-B17</f>
        <v>749.67200000000003</v>
      </c>
      <c r="Y18">
        <f>Y17-B17</f>
        <v>711.91499999999996</v>
      </c>
      <c r="Z18">
        <f>Z17-B17</f>
        <v>1943.77</v>
      </c>
      <c r="AA18">
        <f>AA17-B17</f>
        <v>769.36</v>
      </c>
      <c r="AB18">
        <f>AB17-B17</f>
        <v>1190.587</v>
      </c>
      <c r="AC18">
        <f>AC17-B17</f>
        <v>567.40700000000004</v>
      </c>
      <c r="AD18">
        <f>AD17-B17</f>
        <v>1353.2449999999999</v>
      </c>
      <c r="AE18">
        <f>AE17-B17</f>
        <v>1579.087</v>
      </c>
      <c r="AF18">
        <f>AF17-B17</f>
        <v>984.04800000000012</v>
      </c>
    </row>
    <row r="19" spans="1:32" x14ac:dyDescent="0.2">
      <c r="A19" t="s">
        <v>31</v>
      </c>
      <c r="C19">
        <v>7.3719999999999999</v>
      </c>
      <c r="D19">
        <v>1.7390000000000001</v>
      </c>
      <c r="E19">
        <v>7.609</v>
      </c>
      <c r="F19">
        <v>6.1059999999999999</v>
      </c>
      <c r="G19">
        <v>5.29</v>
      </c>
      <c r="H19">
        <v>6.2469999999999999</v>
      </c>
      <c r="I19">
        <v>6.0279999999999996</v>
      </c>
      <c r="J19">
        <v>5.7279999999999998</v>
      </c>
      <c r="K19">
        <v>2.57</v>
      </c>
      <c r="L19">
        <v>1.84</v>
      </c>
      <c r="M19">
        <v>1.0129999999999999</v>
      </c>
      <c r="N19">
        <v>1.5089999999999999</v>
      </c>
      <c r="O19">
        <v>1.99</v>
      </c>
      <c r="P19">
        <v>1.6559999999999999</v>
      </c>
      <c r="Q19">
        <v>2.4710000000000001</v>
      </c>
      <c r="R19">
        <v>2.9239999999999999</v>
      </c>
      <c r="S19">
        <v>2.1739999999999999</v>
      </c>
      <c r="T19">
        <v>3.0379999999999998</v>
      </c>
      <c r="U19">
        <v>3.2829999999999999</v>
      </c>
      <c r="V19">
        <v>2.8239999999999998</v>
      </c>
      <c r="W19">
        <v>3.2759999999999998</v>
      </c>
      <c r="X19">
        <v>3.3130000000000002</v>
      </c>
      <c r="Y19">
        <v>1.0289999999999999</v>
      </c>
      <c r="Z19">
        <v>1.143</v>
      </c>
      <c r="AA19">
        <v>2.2730000000000001</v>
      </c>
      <c r="AB19">
        <v>2.0179999999999998</v>
      </c>
      <c r="AC19">
        <v>2.0249999999999999</v>
      </c>
      <c r="AD19">
        <v>2.8109999999999999</v>
      </c>
      <c r="AE19">
        <v>3.1930000000000001</v>
      </c>
      <c r="AF19">
        <v>3.2480000000000002</v>
      </c>
    </row>
    <row r="20" spans="1:32" x14ac:dyDescent="0.2">
      <c r="A20" t="s">
        <v>251</v>
      </c>
      <c r="E20">
        <f t="shared" ref="E20:AF20" si="6">E18/$B$95</f>
        <v>1.0067914961423645</v>
      </c>
      <c r="F20">
        <f t="shared" si="6"/>
        <v>1.0670099479076895</v>
      </c>
      <c r="G20">
        <f t="shared" si="6"/>
        <v>0.34922791891544069</v>
      </c>
      <c r="H20">
        <f t="shared" si="6"/>
        <v>0.66020412339034806</v>
      </c>
      <c r="I20">
        <f t="shared" si="6"/>
        <v>1.3479939891040715</v>
      </c>
      <c r="J20">
        <f t="shared" si="6"/>
        <v>1.5957901786120805</v>
      </c>
      <c r="K20">
        <f t="shared" si="6"/>
        <v>1.0954259899387599</v>
      </c>
      <c r="L20">
        <f t="shared" si="6"/>
        <v>0.99159266690006043</v>
      </c>
      <c r="M20">
        <f t="shared" si="6"/>
        <v>2.3821443433473606</v>
      </c>
      <c r="N20">
        <f t="shared" si="6"/>
        <v>1.4704221637360237</v>
      </c>
      <c r="O20">
        <f t="shared" si="6"/>
        <v>0.69634388363253052</v>
      </c>
      <c r="P20">
        <f t="shared" si="6"/>
        <v>0.44372761122839927</v>
      </c>
      <c r="Q20">
        <f t="shared" si="6"/>
        <v>0.88443814503058282</v>
      </c>
      <c r="R20">
        <f t="shared" si="6"/>
        <v>0.64098896067826527</v>
      </c>
      <c r="S20">
        <f t="shared" si="6"/>
        <v>0.61968356672530034</v>
      </c>
      <c r="T20">
        <f t="shared" si="6"/>
        <v>0.53617086356764898</v>
      </c>
      <c r="U20">
        <f t="shared" si="6"/>
        <v>1.0352727070458412</v>
      </c>
      <c r="V20">
        <f t="shared" si="6"/>
        <v>0.58023226230010361</v>
      </c>
      <c r="W20">
        <f t="shared" si="6"/>
        <v>0.30928905477816748</v>
      </c>
      <c r="X20">
        <f t="shared" si="6"/>
        <v>1.8094547746127965</v>
      </c>
      <c r="Y20">
        <f t="shared" si="6"/>
        <v>1.7183221407074944</v>
      </c>
      <c r="Z20">
        <f t="shared" si="6"/>
        <v>4.6916036710042723</v>
      </c>
      <c r="AA20">
        <f t="shared" si="6"/>
        <v>1.8569749509066644</v>
      </c>
      <c r="AB20">
        <f t="shared" si="6"/>
        <v>2.8736745293167214</v>
      </c>
      <c r="AC20">
        <f t="shared" si="6"/>
        <v>1.3695286809414291</v>
      </c>
      <c r="AD20">
        <f t="shared" si="6"/>
        <v>3.2662759533114394</v>
      </c>
      <c r="AE20">
        <f t="shared" si="6"/>
        <v>3.8113821933845689</v>
      </c>
      <c r="AF20">
        <f t="shared" si="6"/>
        <v>2.3751592056901862</v>
      </c>
    </row>
    <row r="22" spans="1:32" s="1" customFormat="1" x14ac:dyDescent="0.2">
      <c r="A22" s="1" t="s">
        <v>29</v>
      </c>
      <c r="B22" s="1" t="s">
        <v>30</v>
      </c>
      <c r="C22" s="1" t="s">
        <v>23</v>
      </c>
      <c r="F22" s="1" t="s">
        <v>24</v>
      </c>
    </row>
    <row r="23" spans="1:32" x14ac:dyDescent="0.2">
      <c r="A23" t="s">
        <v>253</v>
      </c>
      <c r="B23">
        <v>222.14</v>
      </c>
      <c r="C23">
        <v>332.65600000000001</v>
      </c>
      <c r="D23">
        <v>276.5</v>
      </c>
      <c r="E23">
        <v>382.95699999999999</v>
      </c>
      <c r="F23">
        <v>735.26199999999994</v>
      </c>
      <c r="G23">
        <v>817.60900000000004</v>
      </c>
      <c r="H23">
        <v>522.29300000000001</v>
      </c>
      <c r="I23">
        <v>481.15600000000001</v>
      </c>
      <c r="J23">
        <v>1862.0309999999999</v>
      </c>
      <c r="K23">
        <v>1965.82</v>
      </c>
      <c r="L23">
        <v>1208.684</v>
      </c>
      <c r="M23">
        <v>1200.32</v>
      </c>
      <c r="N23">
        <v>1701.895</v>
      </c>
      <c r="O23">
        <v>1506.578</v>
      </c>
      <c r="P23">
        <v>1249.43</v>
      </c>
      <c r="Q23">
        <v>1343.1949999999999</v>
      </c>
      <c r="R23">
        <v>932.29700000000003</v>
      </c>
      <c r="S23">
        <v>1102.066</v>
      </c>
      <c r="T23">
        <v>965.96100000000001</v>
      </c>
      <c r="U23">
        <v>869.89800000000002</v>
      </c>
      <c r="V23">
        <v>386.62900000000002</v>
      </c>
      <c r="W23">
        <v>926.52700000000004</v>
      </c>
      <c r="X23">
        <v>1557.3910000000001</v>
      </c>
      <c r="Y23">
        <v>925.70299999999997</v>
      </c>
      <c r="Z23">
        <v>695.18399999999997</v>
      </c>
      <c r="AA23">
        <v>1673.68</v>
      </c>
      <c r="AB23">
        <v>2626.9839999999999</v>
      </c>
      <c r="AC23">
        <v>1403.6369999999999</v>
      </c>
      <c r="AD23">
        <v>1253.3399999999999</v>
      </c>
    </row>
    <row r="24" spans="1:32" x14ac:dyDescent="0.2">
      <c r="A24" t="s">
        <v>252</v>
      </c>
      <c r="C24">
        <f>C23-B23</f>
        <v>110.51600000000002</v>
      </c>
      <c r="D24">
        <f>D23-B23</f>
        <v>54.360000000000014</v>
      </c>
      <c r="E24">
        <f>E23-B23</f>
        <v>160.81700000000001</v>
      </c>
      <c r="F24">
        <f>F23-B23</f>
        <v>513.12199999999996</v>
      </c>
      <c r="G24">
        <f>G23-B23</f>
        <v>595.46900000000005</v>
      </c>
      <c r="H24">
        <f>H23-B23</f>
        <v>300.15300000000002</v>
      </c>
      <c r="I24">
        <f>I23-B23</f>
        <v>259.01600000000002</v>
      </c>
      <c r="J24">
        <f>J23-B23</f>
        <v>1639.8910000000001</v>
      </c>
      <c r="K24">
        <f>K23-B23</f>
        <v>1743.6799999999998</v>
      </c>
      <c r="L24">
        <f>L23-B23</f>
        <v>986.54399999999998</v>
      </c>
      <c r="M24">
        <f>M23-B23</f>
        <v>978.18</v>
      </c>
      <c r="N24">
        <f>N23-B23</f>
        <v>1479.7550000000001</v>
      </c>
      <c r="O24">
        <f>O23-B23</f>
        <v>1284.4380000000001</v>
      </c>
      <c r="P24">
        <f>P23-B23</f>
        <v>1027.29</v>
      </c>
      <c r="Q24">
        <f>Q23-B23</f>
        <v>1121.0549999999998</v>
      </c>
      <c r="R24">
        <f>R23-B23</f>
        <v>710.15700000000004</v>
      </c>
      <c r="S24">
        <f>S23-B23</f>
        <v>879.92600000000004</v>
      </c>
      <c r="T24">
        <f>T23-B23</f>
        <v>743.82100000000003</v>
      </c>
      <c r="U24">
        <f>U23-B23</f>
        <v>647.75800000000004</v>
      </c>
      <c r="V24">
        <f>V23-B23</f>
        <v>164.48900000000003</v>
      </c>
      <c r="W24">
        <f>W23-B23</f>
        <v>704.38700000000006</v>
      </c>
      <c r="X24">
        <f>X23-B23</f>
        <v>1335.2510000000002</v>
      </c>
      <c r="Y24">
        <f>Y23-B23</f>
        <v>703.56299999999999</v>
      </c>
      <c r="Z24">
        <f>Z23-B23</f>
        <v>473.04399999999998</v>
      </c>
      <c r="AA24">
        <f>AA23-B23</f>
        <v>1451.54</v>
      </c>
      <c r="AB24">
        <f>AB23-B23</f>
        <v>2404.8440000000001</v>
      </c>
      <c r="AC24">
        <f>AC23-B23</f>
        <v>1181.4969999999998</v>
      </c>
      <c r="AD24">
        <f>AD23-B23</f>
        <v>1031.1999999999998</v>
      </c>
    </row>
    <row r="25" spans="1:32" x14ac:dyDescent="0.2">
      <c r="A25" t="s">
        <v>31</v>
      </c>
      <c r="C25">
        <v>6.4889999999999999</v>
      </c>
      <c r="D25">
        <v>10.507999999999999</v>
      </c>
      <c r="E25">
        <v>4.431</v>
      </c>
      <c r="F25">
        <v>7.5419999999999998</v>
      </c>
      <c r="G25">
        <v>7.2</v>
      </c>
      <c r="H25">
        <v>2.1179999999999999</v>
      </c>
      <c r="I25">
        <v>7.8650000000000002</v>
      </c>
      <c r="J25">
        <v>5.9710000000000001</v>
      </c>
      <c r="K25">
        <v>5.5979999999999999</v>
      </c>
      <c r="L25">
        <v>1.399</v>
      </c>
      <c r="M25">
        <v>1.99</v>
      </c>
      <c r="N25">
        <v>2.6869999999999998</v>
      </c>
      <c r="O25">
        <v>2.3279999999999998</v>
      </c>
      <c r="P25">
        <v>0.80300000000000005</v>
      </c>
      <c r="Q25">
        <v>1.5649999999999999</v>
      </c>
      <c r="R25">
        <v>1.5640000000000001</v>
      </c>
      <c r="S25">
        <v>1.6379999999999999</v>
      </c>
      <c r="T25">
        <v>2.411</v>
      </c>
      <c r="U25">
        <v>2.86</v>
      </c>
      <c r="V25">
        <v>1.7490000000000001</v>
      </c>
      <c r="W25">
        <v>3.3149999999999999</v>
      </c>
      <c r="X25">
        <v>1.034</v>
      </c>
      <c r="Y25">
        <v>1.758</v>
      </c>
      <c r="Z25">
        <v>2.4409999999999998</v>
      </c>
      <c r="AA25">
        <v>3.2429999999999999</v>
      </c>
      <c r="AB25">
        <v>3.274</v>
      </c>
      <c r="AC25">
        <v>2.1339999999999999</v>
      </c>
      <c r="AD25">
        <v>2.1539999999999999</v>
      </c>
    </row>
    <row r="26" spans="1:32" x14ac:dyDescent="0.2">
      <c r="A26" t="s">
        <v>17</v>
      </c>
      <c r="C26">
        <f t="shared" ref="C26:AD26" si="7">SQRT(1+C25^2)</f>
        <v>6.565601343365282</v>
      </c>
      <c r="D26">
        <f t="shared" si="7"/>
        <v>10.555475545895598</v>
      </c>
      <c r="E26">
        <f t="shared" si="7"/>
        <v>4.5424399830927875</v>
      </c>
      <c r="F26">
        <f t="shared" si="7"/>
        <v>7.6080065720266044</v>
      </c>
      <c r="G26">
        <f t="shared" si="7"/>
        <v>7.2691127381544991</v>
      </c>
      <c r="H26">
        <f t="shared" si="7"/>
        <v>2.3422049440644601</v>
      </c>
      <c r="I26">
        <f t="shared" si="7"/>
        <v>7.9283179174399914</v>
      </c>
      <c r="J26">
        <f t="shared" si="7"/>
        <v>6.0541589837069854</v>
      </c>
      <c r="K26">
        <f t="shared" si="7"/>
        <v>5.6866162170485888</v>
      </c>
      <c r="L26">
        <f t="shared" si="7"/>
        <v>1.7196514181659026</v>
      </c>
      <c r="M26">
        <f t="shared" si="7"/>
        <v>2.2271281956816047</v>
      </c>
      <c r="N26">
        <f t="shared" si="7"/>
        <v>2.8670488311153681</v>
      </c>
      <c r="O26">
        <f t="shared" si="7"/>
        <v>2.5336897994821701</v>
      </c>
      <c r="P26">
        <f t="shared" si="7"/>
        <v>1.2825010721243082</v>
      </c>
      <c r="Q26">
        <f t="shared" si="7"/>
        <v>1.8572089273961612</v>
      </c>
      <c r="R26">
        <f t="shared" si="7"/>
        <v>1.856366343155359</v>
      </c>
      <c r="S26">
        <f t="shared" si="7"/>
        <v>1.9191258426690001</v>
      </c>
      <c r="T26">
        <f t="shared" si="7"/>
        <v>2.610157274954902</v>
      </c>
      <c r="U26">
        <f t="shared" si="7"/>
        <v>3.0297854709533478</v>
      </c>
      <c r="V26">
        <f t="shared" si="7"/>
        <v>2.0146962550220815</v>
      </c>
      <c r="W26">
        <f t="shared" si="7"/>
        <v>3.462546028574927</v>
      </c>
      <c r="X26">
        <f t="shared" si="7"/>
        <v>1.4384561168141348</v>
      </c>
      <c r="Y26">
        <f t="shared" si="7"/>
        <v>2.0225142768346531</v>
      </c>
      <c r="Z26">
        <f t="shared" si="7"/>
        <v>2.6378932882131525</v>
      </c>
      <c r="AA26">
        <f t="shared" si="7"/>
        <v>3.3936777984953137</v>
      </c>
      <c r="AB26">
        <f t="shared" si="7"/>
        <v>3.4233135994238095</v>
      </c>
      <c r="AC26">
        <f t="shared" si="7"/>
        <v>2.3566832625535405</v>
      </c>
      <c r="AD26">
        <f t="shared" si="7"/>
        <v>2.374808623868458</v>
      </c>
    </row>
    <row r="27" spans="1:32" x14ac:dyDescent="0.2">
      <c r="A27" t="s">
        <v>251</v>
      </c>
      <c r="F27">
        <f t="shared" ref="F27:AD27" si="8">F24/$B$95</f>
        <v>1.2385030424757324</v>
      </c>
      <c r="G27">
        <f t="shared" si="8"/>
        <v>1.4372608623290015</v>
      </c>
      <c r="H27">
        <f t="shared" si="8"/>
        <v>0.72446787256874301</v>
      </c>
      <c r="I27">
        <f t="shared" si="8"/>
        <v>0.62517706130295392</v>
      </c>
      <c r="J27">
        <f t="shared" si="8"/>
        <v>3.9581424940434662</v>
      </c>
      <c r="K27">
        <f t="shared" si="8"/>
        <v>4.2086540532350689</v>
      </c>
      <c r="L27">
        <f t="shared" si="8"/>
        <v>2.3811837058948533</v>
      </c>
      <c r="M27">
        <f t="shared" si="8"/>
        <v>2.3609958374205586</v>
      </c>
      <c r="N27">
        <f t="shared" si="8"/>
        <v>3.5716283254638808</v>
      </c>
      <c r="O27">
        <f t="shared" si="8"/>
        <v>3.1001991161389393</v>
      </c>
      <c r="P27">
        <f t="shared" si="8"/>
        <v>2.4795307753417219</v>
      </c>
      <c r="Q27">
        <f t="shared" si="8"/>
        <v>2.7058477872370159</v>
      </c>
      <c r="R27">
        <f t="shared" si="8"/>
        <v>1.7140789230152649</v>
      </c>
      <c r="S27">
        <f t="shared" si="8"/>
        <v>2.1238438970722391</v>
      </c>
      <c r="T27">
        <f t="shared" si="8"/>
        <v>1.7953324385961658</v>
      </c>
      <c r="U27">
        <f t="shared" si="8"/>
        <v>1.5634688315605167</v>
      </c>
      <c r="V27">
        <f t="shared" si="8"/>
        <v>0.39702083900863888</v>
      </c>
      <c r="W27">
        <f t="shared" si="8"/>
        <v>1.7001520936158532</v>
      </c>
      <c r="X27">
        <f t="shared" si="8"/>
        <v>3.2228445203455793</v>
      </c>
      <c r="Y27">
        <f t="shared" si="8"/>
        <v>1.6981632361764916</v>
      </c>
      <c r="Z27">
        <f t="shared" si="8"/>
        <v>1.1417682992054332</v>
      </c>
      <c r="AA27">
        <f t="shared" si="8"/>
        <v>3.5035268537993391</v>
      </c>
      <c r="AB27">
        <f t="shared" si="8"/>
        <v>5.8044804367762639</v>
      </c>
      <c r="AC27">
        <f t="shared" si="8"/>
        <v>2.8517343422732804</v>
      </c>
      <c r="AD27">
        <f t="shared" si="8"/>
        <v>2.4889681935309245</v>
      </c>
    </row>
    <row r="29" spans="1:32" s="1" customFormat="1" x14ac:dyDescent="0.2">
      <c r="A29" s="1" t="s">
        <v>13</v>
      </c>
      <c r="B29" s="1" t="s">
        <v>2</v>
      </c>
      <c r="C29" s="1" t="s">
        <v>23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1</v>
      </c>
    </row>
    <row r="30" spans="1:32" x14ac:dyDescent="0.2">
      <c r="A30" t="s">
        <v>253</v>
      </c>
      <c r="B30">
        <v>222.14</v>
      </c>
      <c r="C30">
        <v>479.88299999999998</v>
      </c>
      <c r="D30">
        <v>437.78899999999999</v>
      </c>
      <c r="E30">
        <v>473.92200000000003</v>
      </c>
      <c r="F30">
        <v>549.41</v>
      </c>
      <c r="G30">
        <v>668.93</v>
      </c>
      <c r="H30">
        <v>459.46899999999999</v>
      </c>
      <c r="I30">
        <v>1024.934</v>
      </c>
      <c r="J30">
        <v>787.38300000000004</v>
      </c>
      <c r="K30">
        <v>592.11699999999996</v>
      </c>
      <c r="L30">
        <v>442.34800000000001</v>
      </c>
      <c r="M30">
        <v>1111.32</v>
      </c>
      <c r="N30">
        <v>946.10500000000002</v>
      </c>
      <c r="O30">
        <v>729.84100000000001</v>
      </c>
      <c r="P30">
        <v>1180.723</v>
      </c>
      <c r="Q30">
        <v>864.00800000000004</v>
      </c>
      <c r="R30">
        <v>1356.83</v>
      </c>
      <c r="S30">
        <v>3007.9879999999998</v>
      </c>
      <c r="T30">
        <v>2948.0039999999999</v>
      </c>
      <c r="U30">
        <v>2927.6640000000002</v>
      </c>
      <c r="V30">
        <v>2587.453</v>
      </c>
      <c r="W30">
        <v>2219.973</v>
      </c>
      <c r="X30">
        <v>1319.93</v>
      </c>
      <c r="Y30">
        <v>1374.0509999999999</v>
      </c>
      <c r="Z30">
        <v>2549</v>
      </c>
      <c r="AA30">
        <v>1896.52</v>
      </c>
    </row>
    <row r="31" spans="1:32" x14ac:dyDescent="0.2">
      <c r="A31" t="s">
        <v>267</v>
      </c>
      <c r="C31">
        <f t="shared" ref="C31:AA31" si="9">C30-$B$30</f>
        <v>257.74299999999999</v>
      </c>
      <c r="D31">
        <f t="shared" si="9"/>
        <v>215.649</v>
      </c>
      <c r="E31">
        <f t="shared" si="9"/>
        <v>251.78200000000004</v>
      </c>
      <c r="F31">
        <f t="shared" si="9"/>
        <v>327.27</v>
      </c>
      <c r="G31">
        <f t="shared" si="9"/>
        <v>446.78999999999996</v>
      </c>
      <c r="H31">
        <f t="shared" si="9"/>
        <v>237.32900000000001</v>
      </c>
      <c r="I31">
        <f t="shared" si="9"/>
        <v>802.79399999999998</v>
      </c>
      <c r="J31">
        <f t="shared" si="9"/>
        <v>565.24300000000005</v>
      </c>
      <c r="K31">
        <f t="shared" si="9"/>
        <v>369.97699999999998</v>
      </c>
      <c r="L31">
        <f t="shared" si="9"/>
        <v>220.20800000000003</v>
      </c>
      <c r="M31">
        <f t="shared" si="9"/>
        <v>889.18</v>
      </c>
      <c r="N31">
        <f t="shared" si="9"/>
        <v>723.96500000000003</v>
      </c>
      <c r="O31">
        <f t="shared" si="9"/>
        <v>507.70100000000002</v>
      </c>
      <c r="P31">
        <f t="shared" si="9"/>
        <v>958.58299999999997</v>
      </c>
      <c r="Q31">
        <f t="shared" si="9"/>
        <v>641.86800000000005</v>
      </c>
      <c r="R31">
        <f t="shared" si="9"/>
        <v>1134.69</v>
      </c>
      <c r="S31">
        <f t="shared" si="9"/>
        <v>2785.848</v>
      </c>
      <c r="T31">
        <f t="shared" si="9"/>
        <v>2725.864</v>
      </c>
      <c r="U31">
        <f t="shared" si="9"/>
        <v>2705.5240000000003</v>
      </c>
      <c r="V31">
        <f t="shared" si="9"/>
        <v>2365.3130000000001</v>
      </c>
      <c r="W31">
        <f t="shared" si="9"/>
        <v>1997.8330000000001</v>
      </c>
      <c r="X31">
        <f t="shared" si="9"/>
        <v>1097.79</v>
      </c>
      <c r="Y31">
        <f t="shared" si="9"/>
        <v>1151.9110000000001</v>
      </c>
      <c r="Z31">
        <f t="shared" si="9"/>
        <v>2326.86</v>
      </c>
      <c r="AA31">
        <f t="shared" si="9"/>
        <v>1674.38</v>
      </c>
    </row>
    <row r="32" spans="1:32" x14ac:dyDescent="0.2">
      <c r="A32" t="s">
        <v>31</v>
      </c>
      <c r="C32">
        <v>12.01</v>
      </c>
      <c r="D32">
        <v>10.582000000000001</v>
      </c>
      <c r="E32">
        <v>7.7350000000000003</v>
      </c>
      <c r="F32">
        <v>7.7709999999999999</v>
      </c>
      <c r="G32">
        <v>2.5369999999999999</v>
      </c>
      <c r="H32">
        <v>3.2410000000000001</v>
      </c>
      <c r="I32">
        <v>5.7569999999999997</v>
      </c>
      <c r="J32">
        <v>5.7130000000000001</v>
      </c>
      <c r="K32">
        <v>4.4859999999999998</v>
      </c>
      <c r="L32">
        <v>7.65</v>
      </c>
      <c r="M32">
        <v>14.895</v>
      </c>
      <c r="N32">
        <v>15.093999999999999</v>
      </c>
      <c r="O32">
        <v>2.0819999999999999</v>
      </c>
      <c r="P32">
        <v>1.77</v>
      </c>
      <c r="Q32">
        <v>1.034</v>
      </c>
      <c r="R32">
        <v>1.915</v>
      </c>
      <c r="S32">
        <v>1.4610000000000001</v>
      </c>
      <c r="T32">
        <v>2.54</v>
      </c>
      <c r="U32">
        <v>1.9330000000000001</v>
      </c>
      <c r="W32">
        <v>2.2050000000000001</v>
      </c>
      <c r="X32">
        <v>1.399</v>
      </c>
      <c r="Y32">
        <v>2.4769999999999999</v>
      </c>
      <c r="Z32">
        <v>3.3889999999999998</v>
      </c>
      <c r="AA32">
        <v>3.4969999999999999</v>
      </c>
    </row>
    <row r="33" spans="1:27" x14ac:dyDescent="0.2">
      <c r="A33" t="s">
        <v>17</v>
      </c>
      <c r="C33">
        <f t="shared" ref="C33:U33" si="10">SQRT(4+(C32^2))</f>
        <v>12.175389110825165</v>
      </c>
      <c r="D33">
        <f t="shared" si="10"/>
        <v>10.769341855471021</v>
      </c>
      <c r="E33">
        <f t="shared" si="10"/>
        <v>7.989382016151187</v>
      </c>
      <c r="F33">
        <f t="shared" si="10"/>
        <v>8.0242408363657685</v>
      </c>
      <c r="G33">
        <f t="shared" si="10"/>
        <v>3.2305369522727951</v>
      </c>
      <c r="H33">
        <f t="shared" si="10"/>
        <v>3.8084223767854324</v>
      </c>
      <c r="I33">
        <f t="shared" si="10"/>
        <v>6.0945097423828933</v>
      </c>
      <c r="J33">
        <f t="shared" si="10"/>
        <v>6.0529636542771348</v>
      </c>
      <c r="K33">
        <f t="shared" si="10"/>
        <v>4.9116388303701646</v>
      </c>
      <c r="L33">
        <f t="shared" si="10"/>
        <v>7.9071170473188275</v>
      </c>
      <c r="M33">
        <f t="shared" si="10"/>
        <v>15.028673427817905</v>
      </c>
      <c r="N33">
        <f t="shared" si="10"/>
        <v>15.225926441435345</v>
      </c>
      <c r="O33">
        <f t="shared" si="10"/>
        <v>2.8869922064321543</v>
      </c>
      <c r="P33">
        <f t="shared" si="10"/>
        <v>2.670748958625651</v>
      </c>
      <c r="Q33">
        <f t="shared" si="10"/>
        <v>2.2514786252594092</v>
      </c>
      <c r="R33">
        <f t="shared" si="10"/>
        <v>2.7689754422890789</v>
      </c>
      <c r="S33">
        <f t="shared" si="10"/>
        <v>2.4767965197003972</v>
      </c>
      <c r="T33">
        <f t="shared" si="10"/>
        <v>3.232893440866865</v>
      </c>
      <c r="U33">
        <f t="shared" si="10"/>
        <v>2.7814544756296122</v>
      </c>
      <c r="W33">
        <f>SQRT(4+(W32^2))</f>
        <v>2.9769153498210188</v>
      </c>
      <c r="X33">
        <f>SQRT(4+(X32^2))</f>
        <v>2.4407377982896894</v>
      </c>
      <c r="Y33">
        <f>SQRT(4+(Y32^2))</f>
        <v>3.1836345581740373</v>
      </c>
      <c r="Z33">
        <f>SQRT(4+(Z32^2))</f>
        <v>3.9351392605599105</v>
      </c>
      <c r="AA33">
        <f>SQRT(4+(AA32^2))</f>
        <v>4.0285244196852021</v>
      </c>
    </row>
    <row r="34" spans="1:27" x14ac:dyDescent="0.2">
      <c r="A34" t="s">
        <v>251</v>
      </c>
      <c r="O34">
        <f t="shared" ref="O34:AA34" si="11">O31/$B$95</f>
        <v>1.2254185810937201</v>
      </c>
      <c r="P34">
        <f t="shared" si="11"/>
        <v>2.313695304363319</v>
      </c>
      <c r="Q34">
        <f t="shared" si="11"/>
        <v>1.5492523627281884</v>
      </c>
      <c r="R34">
        <f t="shared" si="11"/>
        <v>2.7387580678021775</v>
      </c>
      <c r="S34">
        <f t="shared" si="11"/>
        <v>6.7240952909345815</v>
      </c>
      <c r="T34">
        <f t="shared" si="11"/>
        <v>6.5793141930672823</v>
      </c>
      <c r="U34">
        <f t="shared" si="11"/>
        <v>6.5302203091879001</v>
      </c>
      <c r="V34">
        <f t="shared" si="11"/>
        <v>5.7090659665876773</v>
      </c>
      <c r="W34">
        <f t="shared" si="11"/>
        <v>4.8220934765190737</v>
      </c>
      <c r="X34">
        <f t="shared" si="11"/>
        <v>2.649693942180289</v>
      </c>
      <c r="Y34">
        <f t="shared" si="11"/>
        <v>2.7803237400876664</v>
      </c>
      <c r="Z34">
        <f t="shared" si="11"/>
        <v>5.6162534239714583</v>
      </c>
      <c r="AA34">
        <f t="shared" si="11"/>
        <v>4.0413872807256697</v>
      </c>
    </row>
    <row r="36" spans="1:27" s="1" customFormat="1" x14ac:dyDescent="0.2">
      <c r="A36" s="1" t="s">
        <v>14</v>
      </c>
      <c r="B36" s="1" t="s">
        <v>2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</row>
    <row r="37" spans="1:27" x14ac:dyDescent="0.2">
      <c r="A37" t="s">
        <v>253</v>
      </c>
      <c r="C37">
        <v>535.64499999999998</v>
      </c>
      <c r="D37">
        <v>586.73800000000006</v>
      </c>
      <c r="E37">
        <v>513.99199999999996</v>
      </c>
      <c r="F37">
        <v>424.40199999999999</v>
      </c>
      <c r="G37">
        <v>744.76199999999994</v>
      </c>
      <c r="H37">
        <v>769.77300000000002</v>
      </c>
      <c r="I37">
        <v>416.52</v>
      </c>
      <c r="J37">
        <v>1500.4770000000001</v>
      </c>
      <c r="K37">
        <v>1746.4880000000001</v>
      </c>
      <c r="L37">
        <v>2717.7460000000001</v>
      </c>
      <c r="M37">
        <v>2747.1990000000001</v>
      </c>
      <c r="N37">
        <v>3155.895</v>
      </c>
      <c r="O37">
        <v>2364.8519999999999</v>
      </c>
      <c r="P37">
        <v>1455.6089999999999</v>
      </c>
      <c r="Q37">
        <v>678.51599999999996</v>
      </c>
    </row>
    <row r="38" spans="1:27" x14ac:dyDescent="0.2">
      <c r="A38" t="s">
        <v>252</v>
      </c>
      <c r="C38">
        <f t="shared" ref="C38:Q38" si="12">C37-$B$30</f>
        <v>313.505</v>
      </c>
      <c r="D38">
        <f t="shared" si="12"/>
        <v>364.59800000000007</v>
      </c>
      <c r="E38">
        <f t="shared" si="12"/>
        <v>291.85199999999998</v>
      </c>
      <c r="F38">
        <f t="shared" si="12"/>
        <v>202.262</v>
      </c>
      <c r="G38">
        <f t="shared" si="12"/>
        <v>522.62199999999996</v>
      </c>
      <c r="H38">
        <f t="shared" si="12"/>
        <v>547.63300000000004</v>
      </c>
      <c r="I38">
        <f t="shared" si="12"/>
        <v>194.38</v>
      </c>
      <c r="J38">
        <f t="shared" si="12"/>
        <v>1278.337</v>
      </c>
      <c r="K38">
        <f t="shared" si="12"/>
        <v>1524.348</v>
      </c>
      <c r="L38">
        <f t="shared" si="12"/>
        <v>2495.6060000000002</v>
      </c>
      <c r="M38">
        <f t="shared" si="12"/>
        <v>2525.0590000000002</v>
      </c>
      <c r="N38">
        <f t="shared" si="12"/>
        <v>2933.7550000000001</v>
      </c>
      <c r="O38">
        <f t="shared" si="12"/>
        <v>2142.712</v>
      </c>
      <c r="P38">
        <f t="shared" si="12"/>
        <v>1233.4690000000001</v>
      </c>
      <c r="Q38">
        <f t="shared" si="12"/>
        <v>456.37599999999998</v>
      </c>
    </row>
    <row r="39" spans="1:27" x14ac:dyDescent="0.2">
      <c r="A39" t="s">
        <v>31</v>
      </c>
      <c r="C39">
        <v>14.831</v>
      </c>
      <c r="D39">
        <v>10.644</v>
      </c>
      <c r="E39">
        <v>5.2830000000000004</v>
      </c>
      <c r="F39">
        <v>3.7719999999999998</v>
      </c>
      <c r="G39">
        <v>2.8530000000000002</v>
      </c>
      <c r="H39">
        <v>3.1619999999999999</v>
      </c>
      <c r="I39">
        <v>12.093999999999999</v>
      </c>
      <c r="J39">
        <v>2.8420000000000001</v>
      </c>
      <c r="K39">
        <v>1.746</v>
      </c>
      <c r="L39">
        <v>2.1070000000000002</v>
      </c>
      <c r="M39">
        <v>2.2879999999999998</v>
      </c>
      <c r="N39">
        <v>2.0419999999999998</v>
      </c>
      <c r="O39">
        <v>2.4550000000000001</v>
      </c>
      <c r="P39">
        <v>1.9410000000000001</v>
      </c>
      <c r="Q39">
        <v>3.4630000000000001</v>
      </c>
    </row>
    <row r="40" spans="1:27" x14ac:dyDescent="0.2">
      <c r="A40" t="s">
        <v>17</v>
      </c>
      <c r="C40">
        <f t="shared" ref="C40:Q40" si="13">SQRT(9+(C39^2))</f>
        <v>15.13137670537615</v>
      </c>
      <c r="D40">
        <f t="shared" si="13"/>
        <v>11.058695040555191</v>
      </c>
      <c r="E40">
        <f t="shared" si="13"/>
        <v>6.0753673962979393</v>
      </c>
      <c r="F40">
        <f t="shared" si="13"/>
        <v>4.8195418869431981</v>
      </c>
      <c r="G40">
        <f t="shared" si="13"/>
        <v>4.1400010869563788</v>
      </c>
      <c r="H40">
        <f t="shared" si="13"/>
        <v>4.3586975118720961</v>
      </c>
      <c r="I40">
        <f t="shared" si="13"/>
        <v>12.460531128326753</v>
      </c>
      <c r="J40">
        <f t="shared" si="13"/>
        <v>4.1324283417864613</v>
      </c>
      <c r="K40">
        <f t="shared" si="13"/>
        <v>3.4710972328645591</v>
      </c>
      <c r="L40">
        <f t="shared" si="13"/>
        <v>3.6659854064084869</v>
      </c>
      <c r="M40">
        <f t="shared" si="13"/>
        <v>3.7729224746872281</v>
      </c>
      <c r="N40">
        <f t="shared" si="13"/>
        <v>3.6290169467777358</v>
      </c>
      <c r="O40">
        <f t="shared" si="13"/>
        <v>3.8764706886548232</v>
      </c>
      <c r="P40">
        <f t="shared" si="13"/>
        <v>3.5731612054314033</v>
      </c>
      <c r="Q40">
        <f t="shared" si="13"/>
        <v>4.5817430089432118</v>
      </c>
    </row>
    <row r="41" spans="1:27" x14ac:dyDescent="0.2">
      <c r="A41" t="s">
        <v>251</v>
      </c>
      <c r="J41">
        <f t="shared" ref="J41:Q41" si="14">J38/$B$95</f>
        <v>3.0854733646370653</v>
      </c>
      <c r="K41">
        <f t="shared" si="14"/>
        <v>3.679260752397671</v>
      </c>
      <c r="L41">
        <f t="shared" si="14"/>
        <v>6.0235492218628179</v>
      </c>
      <c r="M41">
        <f t="shared" si="14"/>
        <v>6.0946388070102833</v>
      </c>
      <c r="N41">
        <f t="shared" si="14"/>
        <v>7.0810927876380125</v>
      </c>
      <c r="O41">
        <f t="shared" si="14"/>
        <v>5.1717824048652394</v>
      </c>
      <c r="P41">
        <f t="shared" si="14"/>
        <v>2.977177180669508</v>
      </c>
      <c r="Q41">
        <f t="shared" si="14"/>
        <v>1.1015373819733023</v>
      </c>
    </row>
    <row r="43" spans="1:27" s="1" customFormat="1" x14ac:dyDescent="0.2">
      <c r="A43" s="1" t="s">
        <v>15</v>
      </c>
      <c r="B43" s="1" t="s">
        <v>2</v>
      </c>
      <c r="C43" s="1">
        <v>1</v>
      </c>
      <c r="D43" s="1">
        <v>1</v>
      </c>
      <c r="E43" s="1">
        <v>1</v>
      </c>
    </row>
    <row r="44" spans="1:27" x14ac:dyDescent="0.2">
      <c r="A44" t="s">
        <v>253</v>
      </c>
      <c r="C44">
        <v>427.94900000000001</v>
      </c>
      <c r="D44">
        <v>1105.6020000000001</v>
      </c>
      <c r="E44">
        <v>664.13699999999994</v>
      </c>
      <c r="F44">
        <v>1299.73</v>
      </c>
      <c r="G44">
        <v>1775.2149999999999</v>
      </c>
      <c r="H44">
        <v>810.46500000000003</v>
      </c>
    </row>
    <row r="45" spans="1:27" x14ac:dyDescent="0.2">
      <c r="A45" t="s">
        <v>252</v>
      </c>
      <c r="C45">
        <f t="shared" ref="C45:H45" si="15">C44-$B$30</f>
        <v>205.80900000000003</v>
      </c>
      <c r="D45">
        <f t="shared" si="15"/>
        <v>883.4620000000001</v>
      </c>
      <c r="E45">
        <f t="shared" si="15"/>
        <v>441.99699999999996</v>
      </c>
      <c r="F45">
        <f t="shared" si="15"/>
        <v>1077.5900000000001</v>
      </c>
      <c r="G45">
        <f t="shared" si="15"/>
        <v>1553.0749999999998</v>
      </c>
      <c r="H45">
        <f t="shared" si="15"/>
        <v>588.32500000000005</v>
      </c>
    </row>
    <row r="46" spans="1:27" x14ac:dyDescent="0.2">
      <c r="A46" t="s">
        <v>31</v>
      </c>
      <c r="C46">
        <v>10.673999999999999</v>
      </c>
      <c r="D46">
        <v>7.0220000000000002</v>
      </c>
      <c r="E46">
        <v>5.1929999999999996</v>
      </c>
      <c r="F46">
        <v>2.9039999999999999</v>
      </c>
      <c r="G46">
        <v>2.2989999999999999</v>
      </c>
      <c r="H46">
        <v>1.8260000000000001</v>
      </c>
    </row>
    <row r="47" spans="1:27" x14ac:dyDescent="0.2">
      <c r="A47" t="s">
        <v>17</v>
      </c>
      <c r="C47">
        <f t="shared" ref="C47:H47" si="16">SQRT(16+(C46^2))</f>
        <v>11.398871698549817</v>
      </c>
      <c r="D47">
        <f t="shared" si="16"/>
        <v>8.0813664686116038</v>
      </c>
      <c r="E47">
        <f t="shared" si="16"/>
        <v>6.5549408082758456</v>
      </c>
      <c r="F47">
        <f t="shared" si="16"/>
        <v>4.9429966619450596</v>
      </c>
      <c r="G47">
        <f t="shared" si="16"/>
        <v>4.6136104083461573</v>
      </c>
      <c r="H47">
        <f t="shared" si="16"/>
        <v>4.3970758465143627</v>
      </c>
    </row>
    <row r="48" spans="1:27" x14ac:dyDescent="0.2">
      <c r="A48" t="s">
        <v>251</v>
      </c>
      <c r="F48">
        <f>F45/$B$95</f>
        <v>2.6009379709726432</v>
      </c>
      <c r="G48">
        <f>G45/$B$95</f>
        <v>3.74859801897599</v>
      </c>
      <c r="H48">
        <f>H45/$B$95</f>
        <v>1.4200176614226934</v>
      </c>
    </row>
    <row r="50" spans="1:4" s="1" customFormat="1" x14ac:dyDescent="0.2">
      <c r="A50" s="1" t="s">
        <v>16</v>
      </c>
      <c r="B50" s="1" t="s">
        <v>2</v>
      </c>
      <c r="C50" s="1">
        <v>1</v>
      </c>
      <c r="D50" s="1">
        <v>1</v>
      </c>
    </row>
    <row r="51" spans="1:4" x14ac:dyDescent="0.2">
      <c r="A51" t="s">
        <v>253</v>
      </c>
      <c r="C51">
        <v>1039.75</v>
      </c>
      <c r="D51">
        <v>487.113</v>
      </c>
    </row>
    <row r="52" spans="1:4" x14ac:dyDescent="0.2">
      <c r="A52" t="s">
        <v>252</v>
      </c>
      <c r="C52">
        <f>C51-$B$30</f>
        <v>817.61</v>
      </c>
      <c r="D52">
        <f>D51-$B$30</f>
        <v>264.97300000000001</v>
      </c>
    </row>
    <row r="53" spans="1:4" x14ac:dyDescent="0.2">
      <c r="A53" t="s">
        <v>31</v>
      </c>
      <c r="C53">
        <v>6.9619999999999997</v>
      </c>
      <c r="D53">
        <v>8.4</v>
      </c>
    </row>
    <row r="54" spans="1:4" x14ac:dyDescent="0.2">
      <c r="A54" t="s">
        <v>17</v>
      </c>
      <c r="C54">
        <f>SQRT(25+(C53^2))</f>
        <v>8.571431852380325</v>
      </c>
      <c r="D54">
        <f>SQRT(25+(D53^2))</f>
        <v>9.7754795278799502</v>
      </c>
    </row>
    <row r="55" spans="1:4" x14ac:dyDescent="0.2">
      <c r="A55" t="s">
        <v>251</v>
      </c>
    </row>
    <row r="57" spans="1:4" s="1" customFormat="1" x14ac:dyDescent="0.2">
      <c r="A57" s="1" t="s">
        <v>18</v>
      </c>
      <c r="B57" s="1" t="s">
        <v>2</v>
      </c>
      <c r="C57" s="1">
        <v>1</v>
      </c>
    </row>
    <row r="58" spans="1:4" x14ac:dyDescent="0.2">
      <c r="A58" t="s">
        <v>253</v>
      </c>
      <c r="C58">
        <v>461.14100000000002</v>
      </c>
    </row>
    <row r="59" spans="1:4" x14ac:dyDescent="0.2">
      <c r="A59" t="s">
        <v>252</v>
      </c>
      <c r="C59">
        <f>C58-B30</f>
        <v>239.00100000000003</v>
      </c>
    </row>
    <row r="60" spans="1:4" x14ac:dyDescent="0.2">
      <c r="A60" t="s">
        <v>31</v>
      </c>
      <c r="C60">
        <v>8.3919999999999995</v>
      </c>
    </row>
    <row r="61" spans="1:4" x14ac:dyDescent="0.2">
      <c r="A61" t="s">
        <v>17</v>
      </c>
      <c r="C61">
        <f>SQRT(36+(C60^2))</f>
        <v>10.316281500618331</v>
      </c>
    </row>
    <row r="62" spans="1:4" x14ac:dyDescent="0.2">
      <c r="A62" t="s">
        <v>251</v>
      </c>
    </row>
    <row r="64" spans="1:4" s="1" customFormat="1" x14ac:dyDescent="0.2">
      <c r="A64" s="1" t="s">
        <v>19</v>
      </c>
      <c r="B64" s="1" t="s">
        <v>2</v>
      </c>
      <c r="C64" s="1">
        <v>1</v>
      </c>
    </row>
    <row r="65" spans="1:4" x14ac:dyDescent="0.2">
      <c r="A65" t="s">
        <v>253</v>
      </c>
      <c r="C65">
        <v>387.5</v>
      </c>
    </row>
    <row r="66" spans="1:4" x14ac:dyDescent="0.2">
      <c r="A66" t="s">
        <v>252</v>
      </c>
      <c r="C66">
        <f>C65-B30</f>
        <v>165.36</v>
      </c>
    </row>
    <row r="67" spans="1:4" x14ac:dyDescent="0.2">
      <c r="A67" t="s">
        <v>31</v>
      </c>
      <c r="C67">
        <v>4.8</v>
      </c>
    </row>
    <row r="68" spans="1:4" x14ac:dyDescent="0.2">
      <c r="A68" t="s">
        <v>17</v>
      </c>
      <c r="C68">
        <f>SQRT(49+(C67^2))</f>
        <v>8.4876380695691775</v>
      </c>
    </row>
    <row r="69" spans="1:4" x14ac:dyDescent="0.2">
      <c r="A69" t="s">
        <v>251</v>
      </c>
    </row>
    <row r="71" spans="1:4" s="1" customFormat="1" x14ac:dyDescent="0.2">
      <c r="A71" s="1" t="s">
        <v>37</v>
      </c>
      <c r="B71" s="1" t="s">
        <v>30</v>
      </c>
      <c r="C71" s="1">
        <v>1</v>
      </c>
      <c r="D71" s="1">
        <v>1</v>
      </c>
    </row>
    <row r="72" spans="1:4" x14ac:dyDescent="0.2">
      <c r="A72" t="s">
        <v>253</v>
      </c>
      <c r="C72">
        <v>436.67599999999999</v>
      </c>
      <c r="D72">
        <v>489.74200000000002</v>
      </c>
    </row>
    <row r="73" spans="1:4" x14ac:dyDescent="0.2">
      <c r="A73" t="s">
        <v>252</v>
      </c>
      <c r="C73">
        <f>C72-B23</f>
        <v>214.536</v>
      </c>
      <c r="D73">
        <f>D72-B30</f>
        <v>267.60200000000003</v>
      </c>
    </row>
    <row r="74" spans="1:4" x14ac:dyDescent="0.2">
      <c r="A74" t="s">
        <v>31</v>
      </c>
      <c r="C74">
        <v>4.8</v>
      </c>
      <c r="D74">
        <v>6.4560000000000004</v>
      </c>
    </row>
    <row r="75" spans="1:4" x14ac:dyDescent="0.2">
      <c r="A75" t="s">
        <v>17</v>
      </c>
      <c r="C75">
        <f>SQRT(64+(C74^2))</f>
        <v>9.3295230317524798</v>
      </c>
      <c r="D75">
        <f>SQRT(64+(D74^2))</f>
        <v>10.280074707899743</v>
      </c>
    </row>
    <row r="76" spans="1:4" x14ac:dyDescent="0.2">
      <c r="A76" t="s">
        <v>251</v>
      </c>
    </row>
    <row r="78" spans="1:4" s="1" customFormat="1" x14ac:dyDescent="0.2">
      <c r="A78" s="1" t="s">
        <v>22</v>
      </c>
      <c r="B78" s="1" t="s">
        <v>2</v>
      </c>
    </row>
    <row r="79" spans="1:4" x14ac:dyDescent="0.2">
      <c r="A79" t="s">
        <v>261</v>
      </c>
      <c r="C79">
        <v>948.95299999999997</v>
      </c>
    </row>
    <row r="80" spans="1:4" x14ac:dyDescent="0.2">
      <c r="A80" t="s">
        <v>252</v>
      </c>
      <c r="C80">
        <f>C79-B30</f>
        <v>726.81299999999999</v>
      </c>
    </row>
    <row r="81" spans="1:3" x14ac:dyDescent="0.2">
      <c r="A81" t="s">
        <v>31</v>
      </c>
      <c r="C81">
        <v>6.3959999999999999</v>
      </c>
    </row>
    <row r="82" spans="1:3" x14ac:dyDescent="0.2">
      <c r="A82" t="s">
        <v>17</v>
      </c>
      <c r="C82">
        <f>SQRT(81+(C81^2))</f>
        <v>11.041232539893361</v>
      </c>
    </row>
    <row r="83" spans="1:3" x14ac:dyDescent="0.2">
      <c r="A83" t="s">
        <v>251</v>
      </c>
      <c r="C83">
        <f>C80/B95</f>
        <v>1.754280876304104</v>
      </c>
    </row>
    <row r="85" spans="1:3" s="1" customFormat="1" x14ac:dyDescent="0.2">
      <c r="A85" s="1" t="s">
        <v>45</v>
      </c>
      <c r="B85" s="1" t="s">
        <v>2</v>
      </c>
    </row>
    <row r="86" spans="1:3" x14ac:dyDescent="0.2">
      <c r="A86" t="s">
        <v>253</v>
      </c>
      <c r="C86">
        <v>380.85199999999998</v>
      </c>
    </row>
    <row r="87" spans="1:3" x14ac:dyDescent="0.2">
      <c r="A87" t="s">
        <v>252</v>
      </c>
      <c r="C87">
        <f>C86-B30</f>
        <v>158.71199999999999</v>
      </c>
    </row>
    <row r="88" spans="1:3" x14ac:dyDescent="0.2">
      <c r="A88" t="s">
        <v>31</v>
      </c>
      <c r="C88">
        <v>6.5609999999999999</v>
      </c>
    </row>
    <row r="89" spans="1:3" x14ac:dyDescent="0.2">
      <c r="A89" t="s">
        <v>17</v>
      </c>
      <c r="C89">
        <f>SQRT(100+(C88^2))</f>
        <v>11.960214086712663</v>
      </c>
    </row>
    <row r="90" spans="1:3" x14ac:dyDescent="0.2">
      <c r="A90" t="s">
        <v>251</v>
      </c>
      <c r="C90">
        <f>C87/B95</f>
        <v>0.38307711397564015</v>
      </c>
    </row>
    <row r="95" spans="1:3" x14ac:dyDescent="0.2">
      <c r="A95" t="s">
        <v>266</v>
      </c>
      <c r="B95">
        <f>AVERAGE(C4,D4,E4,F4,G4,H4,C11,D11,E11,F11,G11,C18,D18,C24,D24,E24,C31,D31,E31,F31,G31,H31,I31,J31,K31,L31,M31,N31,C38,D38,E38,F38,G38,H38,I38,C45,D45,E45,C52,D52,C59,C66,C73,D73)</f>
        <v>414.30822727272732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53EA-9D12-3C4E-B4F2-4381A23D0746}">
  <dimension ref="A1:S43"/>
  <sheetViews>
    <sheetView workbookViewId="0">
      <selection activeCell="E45" sqref="E45:E46"/>
    </sheetView>
  </sheetViews>
  <sheetFormatPr baseColWidth="10" defaultRowHeight="16" x14ac:dyDescent="0.2"/>
  <cols>
    <col min="1" max="1" width="20.83203125" style="30" bestFit="1" customWidth="1"/>
    <col min="2" max="2" width="17.5" style="30" bestFit="1" customWidth="1"/>
    <col min="3" max="16384" width="10.83203125" style="30"/>
  </cols>
  <sheetData>
    <row r="1" spans="1:19" x14ac:dyDescent="0.2">
      <c r="A1" s="30" t="s">
        <v>518</v>
      </c>
      <c r="B1" s="42">
        <v>45236</v>
      </c>
      <c r="C1" s="30" t="s">
        <v>525</v>
      </c>
    </row>
    <row r="2" spans="1:19" x14ac:dyDescent="0.2">
      <c r="A2" s="30" t="s">
        <v>27</v>
      </c>
      <c r="B2" s="30">
        <v>41.959000000000003</v>
      </c>
      <c r="D2" s="30" t="s">
        <v>73</v>
      </c>
      <c r="E2" s="30">
        <f>AVERAGE(C6:P6,C12:E12,C19:D19,C26:F26,C33:D33,C40)</f>
        <v>2397.3036153846151</v>
      </c>
      <c r="I2" s="30" t="s">
        <v>496</v>
      </c>
      <c r="J2" s="30" t="s">
        <v>495</v>
      </c>
    </row>
    <row r="3" spans="1:19" ht="17" thickBot="1" x14ac:dyDescent="0.25"/>
    <row r="4" spans="1:19" ht="17" thickBot="1" x14ac:dyDescent="0.25">
      <c r="A4" s="41" t="s">
        <v>524</v>
      </c>
      <c r="B4" s="40" t="s">
        <v>70</v>
      </c>
      <c r="C4" s="30">
        <v>1</v>
      </c>
      <c r="D4" s="30">
        <v>1</v>
      </c>
      <c r="E4" s="30">
        <v>1</v>
      </c>
      <c r="F4" s="30">
        <v>1</v>
      </c>
      <c r="G4" s="30">
        <v>1</v>
      </c>
      <c r="H4" s="30">
        <v>1</v>
      </c>
      <c r="I4" s="30">
        <v>1</v>
      </c>
      <c r="J4" s="30">
        <v>1</v>
      </c>
      <c r="K4" s="30">
        <v>1</v>
      </c>
      <c r="L4" s="30">
        <v>1</v>
      </c>
      <c r="M4" s="30">
        <v>1</v>
      </c>
      <c r="N4" s="30">
        <v>1</v>
      </c>
      <c r="O4" s="30">
        <v>1</v>
      </c>
      <c r="P4" s="30">
        <v>1</v>
      </c>
    </row>
    <row r="5" spans="1:19" x14ac:dyDescent="0.2">
      <c r="A5" s="39" t="s">
        <v>63</v>
      </c>
      <c r="B5" s="30">
        <v>457.25400000000002</v>
      </c>
      <c r="C5" s="30">
        <v>1969.269</v>
      </c>
      <c r="D5" s="30">
        <v>3152.692</v>
      </c>
      <c r="E5" s="30">
        <v>2913.1149999999998</v>
      </c>
      <c r="F5" s="30">
        <v>3015.038</v>
      </c>
      <c r="G5" s="30">
        <v>2752.288</v>
      </c>
      <c r="H5" s="30">
        <v>1938.038</v>
      </c>
      <c r="I5" s="30">
        <v>3735.904</v>
      </c>
      <c r="J5" s="30">
        <v>3640.288</v>
      </c>
      <c r="K5" s="30">
        <v>2578.346</v>
      </c>
      <c r="L5" s="30">
        <v>2814.346</v>
      </c>
      <c r="M5" s="30">
        <v>3390.6149999999998</v>
      </c>
      <c r="N5" s="30">
        <v>3134.3649999999998</v>
      </c>
      <c r="O5" s="30">
        <v>4416.442</v>
      </c>
      <c r="P5" s="30">
        <v>3951.9810000000002</v>
      </c>
      <c r="Q5" s="30">
        <v>3984.788</v>
      </c>
      <c r="R5" s="30">
        <v>3218.904</v>
      </c>
      <c r="S5" s="30">
        <v>3227.942</v>
      </c>
    </row>
    <row r="6" spans="1:19" x14ac:dyDescent="0.2">
      <c r="A6" s="39" t="s">
        <v>62</v>
      </c>
      <c r="C6" s="30">
        <f t="shared" ref="C6:S6" si="0">C5-$B$5</f>
        <v>1512.0149999999999</v>
      </c>
      <c r="D6" s="30">
        <f t="shared" si="0"/>
        <v>2695.4380000000001</v>
      </c>
      <c r="E6" s="30">
        <f t="shared" si="0"/>
        <v>2455.8609999999999</v>
      </c>
      <c r="F6" s="30">
        <f t="shared" si="0"/>
        <v>2557.7840000000001</v>
      </c>
      <c r="G6" s="30">
        <f t="shared" si="0"/>
        <v>2295.0340000000001</v>
      </c>
      <c r="H6" s="30">
        <f t="shared" si="0"/>
        <v>1480.7840000000001</v>
      </c>
      <c r="I6" s="30">
        <f t="shared" si="0"/>
        <v>3278.65</v>
      </c>
      <c r="J6" s="30">
        <f t="shared" si="0"/>
        <v>3183.0340000000001</v>
      </c>
      <c r="K6" s="30">
        <f t="shared" si="0"/>
        <v>2121.0920000000001</v>
      </c>
      <c r="L6" s="30">
        <f t="shared" si="0"/>
        <v>2357.0920000000001</v>
      </c>
      <c r="M6" s="30">
        <f t="shared" si="0"/>
        <v>2933.3609999999999</v>
      </c>
      <c r="N6" s="30">
        <f t="shared" si="0"/>
        <v>2677.1109999999999</v>
      </c>
      <c r="O6" s="30">
        <f t="shared" si="0"/>
        <v>3959.1880000000001</v>
      </c>
      <c r="P6" s="30">
        <f t="shared" si="0"/>
        <v>3494.7270000000003</v>
      </c>
      <c r="Q6" s="30">
        <f t="shared" si="0"/>
        <v>3527.5340000000001</v>
      </c>
      <c r="R6" s="30">
        <f t="shared" si="0"/>
        <v>2761.65</v>
      </c>
      <c r="S6" s="30">
        <f t="shared" si="0"/>
        <v>2770.6880000000001</v>
      </c>
    </row>
    <row r="7" spans="1:19" x14ac:dyDescent="0.2">
      <c r="A7" s="39" t="s">
        <v>61</v>
      </c>
      <c r="C7" s="30">
        <v>3.73</v>
      </c>
      <c r="D7" s="30">
        <v>2.8940000000000001</v>
      </c>
      <c r="E7" s="30">
        <v>3.4449999999999998</v>
      </c>
      <c r="F7" s="30">
        <v>3.4449999999999998</v>
      </c>
      <c r="G7" s="30">
        <v>2.6269999999999998</v>
      </c>
      <c r="H7" s="30">
        <v>2.7610000000000001</v>
      </c>
      <c r="I7" s="30">
        <v>2.145</v>
      </c>
      <c r="J7" s="30">
        <v>1.9410000000000001</v>
      </c>
      <c r="K7" s="30">
        <v>1.3879999999999999</v>
      </c>
      <c r="L7" s="30">
        <v>2.036</v>
      </c>
      <c r="M7" s="30">
        <v>2.544</v>
      </c>
      <c r="N7" s="30">
        <v>2.12</v>
      </c>
      <c r="O7" s="30">
        <v>1.5449999999999999</v>
      </c>
      <c r="P7" s="30">
        <v>2.08</v>
      </c>
      <c r="Q7" s="30">
        <v>3.2309999999999999</v>
      </c>
      <c r="R7" s="30">
        <v>1.97</v>
      </c>
      <c r="S7" s="30">
        <v>1.776</v>
      </c>
    </row>
    <row r="8" spans="1:19" x14ac:dyDescent="0.2">
      <c r="A8" s="39" t="s">
        <v>59</v>
      </c>
      <c r="Q8" s="30">
        <f>Q6/$E$2</f>
        <v>1.4714590080965004</v>
      </c>
      <c r="R8" s="30">
        <f>R6/$E$2</f>
        <v>1.1519817441050038</v>
      </c>
      <c r="S8" s="30">
        <f>S6/$E$2</f>
        <v>1.1557518130866709</v>
      </c>
    </row>
    <row r="10" spans="1:19" x14ac:dyDescent="0.2">
      <c r="A10" s="39" t="s">
        <v>523</v>
      </c>
      <c r="C10" s="30">
        <v>1</v>
      </c>
      <c r="D10" s="30">
        <v>1</v>
      </c>
      <c r="E10" s="30">
        <v>1</v>
      </c>
    </row>
    <row r="11" spans="1:19" x14ac:dyDescent="0.2">
      <c r="A11" s="39" t="s">
        <v>63</v>
      </c>
      <c r="C11" s="30">
        <v>2417.4810000000002</v>
      </c>
      <c r="D11" s="30">
        <v>2834.904</v>
      </c>
      <c r="E11" s="30">
        <v>3236.9810000000002</v>
      </c>
      <c r="F11" s="30">
        <v>2586.096</v>
      </c>
      <c r="G11" s="30">
        <v>5865.4620000000004</v>
      </c>
    </row>
    <row r="12" spans="1:19" x14ac:dyDescent="0.2">
      <c r="A12" s="39" t="s">
        <v>62</v>
      </c>
      <c r="C12" s="30">
        <f>C11-$B$5</f>
        <v>1960.2270000000003</v>
      </c>
      <c r="D12" s="30">
        <f>D11-$B$5</f>
        <v>2377.65</v>
      </c>
      <c r="E12" s="30">
        <f>E11-$B$5</f>
        <v>2779.7270000000003</v>
      </c>
      <c r="F12" s="30">
        <f>F11-$B$5</f>
        <v>2128.8420000000001</v>
      </c>
      <c r="G12" s="30">
        <f>G11-$B$5</f>
        <v>5408.2080000000005</v>
      </c>
    </row>
    <row r="13" spans="1:19" x14ac:dyDescent="0.2">
      <c r="A13" s="39" t="s">
        <v>61</v>
      </c>
      <c r="C13" s="30">
        <v>1.647</v>
      </c>
      <c r="D13" s="30">
        <v>2.0779999999999998</v>
      </c>
      <c r="E13" s="30">
        <v>2.4529999999999998</v>
      </c>
      <c r="F13" s="30">
        <v>2.7639999999999998</v>
      </c>
      <c r="G13" s="30">
        <v>1.708</v>
      </c>
    </row>
    <row r="14" spans="1:19" x14ac:dyDescent="0.2">
      <c r="A14" s="39" t="s">
        <v>60</v>
      </c>
      <c r="C14" s="30">
        <f>SQRT((1+(C13^2)))</f>
        <v>1.9268131720537931</v>
      </c>
      <c r="D14" s="30">
        <f>SQRT((1+(D13^2)))</f>
        <v>2.3060971358552957</v>
      </c>
      <c r="E14" s="30">
        <f>SQRT((1+(E13^2)))</f>
        <v>2.6490015100033446</v>
      </c>
      <c r="F14" s="30">
        <f>SQRT((1+(F13^2)))</f>
        <v>2.9393359794348108</v>
      </c>
      <c r="G14" s="30">
        <f>SQRT((1+(G13^2)))</f>
        <v>1.97920792237703</v>
      </c>
    </row>
    <row r="15" spans="1:19" x14ac:dyDescent="0.2">
      <c r="A15" s="39" t="s">
        <v>59</v>
      </c>
      <c r="F15" s="30">
        <f>F12/$E$2</f>
        <v>0.8880151793616079</v>
      </c>
      <c r="G15" s="30">
        <f>G12/$E$2</f>
        <v>2.2559545504762135</v>
      </c>
    </row>
    <row r="17" spans="1:12" x14ac:dyDescent="0.2">
      <c r="A17" s="39" t="s">
        <v>522</v>
      </c>
      <c r="C17" s="30">
        <v>1</v>
      </c>
      <c r="D17" s="30">
        <v>1</v>
      </c>
    </row>
    <row r="18" spans="1:12" x14ac:dyDescent="0.2">
      <c r="A18" s="39" t="s">
        <v>63</v>
      </c>
      <c r="C18" s="30">
        <v>2448.6729999999998</v>
      </c>
      <c r="D18" s="30">
        <v>2947.712</v>
      </c>
      <c r="E18" s="30">
        <v>2092.308</v>
      </c>
      <c r="F18" s="30">
        <v>3465.808</v>
      </c>
      <c r="G18" s="30">
        <v>2637.5</v>
      </c>
      <c r="H18" s="30">
        <v>3171.5770000000002</v>
      </c>
      <c r="I18" s="30">
        <v>3901.6350000000002</v>
      </c>
      <c r="J18" s="30">
        <v>5250.7879999999996</v>
      </c>
      <c r="K18" s="30">
        <v>5095.5379999999996</v>
      </c>
      <c r="L18" s="30">
        <v>6373.8270000000002</v>
      </c>
    </row>
    <row r="19" spans="1:12" x14ac:dyDescent="0.2">
      <c r="A19" s="39" t="s">
        <v>62</v>
      </c>
      <c r="C19" s="30">
        <f t="shared" ref="C19:L19" si="1">C18-$B$5</f>
        <v>1991.4189999999999</v>
      </c>
      <c r="D19" s="30">
        <f t="shared" si="1"/>
        <v>2490.4580000000001</v>
      </c>
      <c r="E19" s="30">
        <f t="shared" si="1"/>
        <v>1635.0540000000001</v>
      </c>
      <c r="F19" s="30">
        <f t="shared" si="1"/>
        <v>3008.5540000000001</v>
      </c>
      <c r="G19" s="30">
        <f t="shared" si="1"/>
        <v>2180.2460000000001</v>
      </c>
      <c r="H19" s="30">
        <f t="shared" si="1"/>
        <v>2714.3230000000003</v>
      </c>
      <c r="I19" s="30">
        <f t="shared" si="1"/>
        <v>3444.3810000000003</v>
      </c>
      <c r="J19" s="30">
        <f t="shared" si="1"/>
        <v>4793.5339999999997</v>
      </c>
      <c r="K19" s="30">
        <f t="shared" si="1"/>
        <v>4638.2839999999997</v>
      </c>
      <c r="L19" s="30">
        <f t="shared" si="1"/>
        <v>5916.5730000000003</v>
      </c>
    </row>
    <row r="20" spans="1:12" x14ac:dyDescent="0.2">
      <c r="A20" s="39" t="s">
        <v>61</v>
      </c>
      <c r="C20" s="30">
        <v>1.671</v>
      </c>
      <c r="D20" s="30">
        <v>1.274</v>
      </c>
      <c r="E20" s="30">
        <v>1.419</v>
      </c>
      <c r="F20" s="30">
        <v>0.28299999999999997</v>
      </c>
      <c r="G20" s="30">
        <v>0.84899999999999998</v>
      </c>
      <c r="H20" s="30">
        <v>0.46100000000000002</v>
      </c>
      <c r="I20" s="30">
        <v>1.0429999999999999</v>
      </c>
      <c r="J20" s="30">
        <v>1.3220000000000001</v>
      </c>
      <c r="K20" s="30">
        <v>1.8839999999999999</v>
      </c>
      <c r="L20" s="30">
        <v>2.617</v>
      </c>
    </row>
    <row r="21" spans="1:12" x14ac:dyDescent="0.2">
      <c r="A21" s="39" t="s">
        <v>60</v>
      </c>
      <c r="C21" s="30">
        <f t="shared" ref="C21:L21" si="2">SQRT((4+(C20^2)))</f>
        <v>2.606192817118488</v>
      </c>
      <c r="D21" s="30">
        <f t="shared" si="2"/>
        <v>2.3713025956212337</v>
      </c>
      <c r="E21" s="30">
        <f t="shared" si="2"/>
        <v>2.452256307974352</v>
      </c>
      <c r="F21" s="30">
        <f t="shared" si="2"/>
        <v>2.0199230183351049</v>
      </c>
      <c r="G21" s="30">
        <f t="shared" si="2"/>
        <v>2.1727404354869453</v>
      </c>
      <c r="H21" s="30">
        <f t="shared" si="2"/>
        <v>2.0524426910391433</v>
      </c>
      <c r="I21" s="30">
        <f t="shared" si="2"/>
        <v>2.2556260771679333</v>
      </c>
      <c r="J21" s="30">
        <f t="shared" si="2"/>
        <v>2.3974327936357258</v>
      </c>
      <c r="K21" s="30">
        <f t="shared" si="2"/>
        <v>2.7476273400881714</v>
      </c>
      <c r="L21" s="30">
        <f t="shared" si="2"/>
        <v>3.2937348102116539</v>
      </c>
    </row>
    <row r="22" spans="1:12" x14ac:dyDescent="0.2">
      <c r="A22" s="39" t="s">
        <v>59</v>
      </c>
      <c r="E22" s="30">
        <f t="shared" ref="E22:L22" si="3">E19/$E$2</f>
        <v>0.68203876618176196</v>
      </c>
      <c r="F22" s="30">
        <f t="shared" si="3"/>
        <v>1.2549741220480819</v>
      </c>
      <c r="G22" s="30">
        <f t="shared" si="3"/>
        <v>0.90945760312058299</v>
      </c>
      <c r="H22" s="30">
        <f t="shared" si="3"/>
        <v>1.1322399810274026</v>
      </c>
      <c r="I22" s="30">
        <f t="shared" si="3"/>
        <v>1.4367729552050901</v>
      </c>
      <c r="J22" s="30">
        <f t="shared" si="3"/>
        <v>1.9995523175444516</v>
      </c>
      <c r="K22" s="30">
        <f t="shared" si="3"/>
        <v>1.9347920598100168</v>
      </c>
      <c r="L22" s="30">
        <f t="shared" si="3"/>
        <v>2.4680115451503899</v>
      </c>
    </row>
    <row r="24" spans="1:12" x14ac:dyDescent="0.2">
      <c r="A24" s="39" t="s">
        <v>521</v>
      </c>
      <c r="C24" s="30">
        <v>1</v>
      </c>
      <c r="D24" s="30">
        <v>1</v>
      </c>
      <c r="E24" s="30">
        <v>1</v>
      </c>
      <c r="F24" s="30">
        <v>1</v>
      </c>
    </row>
    <row r="25" spans="1:12" x14ac:dyDescent="0.2">
      <c r="A25" s="39" t="s">
        <v>63</v>
      </c>
      <c r="C25" s="30">
        <v>2362.192</v>
      </c>
      <c r="D25" s="30">
        <v>2092.5770000000002</v>
      </c>
      <c r="E25" s="30">
        <v>2325</v>
      </c>
      <c r="F25" s="30">
        <v>2354.596</v>
      </c>
      <c r="G25" s="30">
        <v>2742.7310000000002</v>
      </c>
      <c r="H25" s="30">
        <v>6601.5379999999996</v>
      </c>
      <c r="I25" s="30">
        <v>5361.5</v>
      </c>
      <c r="J25" s="30">
        <v>2879.5770000000002</v>
      </c>
      <c r="K25" s="30">
        <v>2877.904</v>
      </c>
      <c r="L25" s="30">
        <v>1993.846</v>
      </c>
    </row>
    <row r="26" spans="1:12" x14ac:dyDescent="0.2">
      <c r="A26" s="39" t="s">
        <v>62</v>
      </c>
      <c r="C26" s="30">
        <f t="shared" ref="C26:L26" si="4">C25-$B$5</f>
        <v>1904.9380000000001</v>
      </c>
      <c r="D26" s="30">
        <f t="shared" si="4"/>
        <v>1635.3230000000003</v>
      </c>
      <c r="E26" s="30">
        <f t="shared" si="4"/>
        <v>1867.7460000000001</v>
      </c>
      <c r="F26" s="30">
        <f t="shared" si="4"/>
        <v>1897.3420000000001</v>
      </c>
      <c r="G26" s="30">
        <f t="shared" si="4"/>
        <v>2285.4770000000003</v>
      </c>
      <c r="H26" s="30">
        <f t="shared" si="4"/>
        <v>6144.2839999999997</v>
      </c>
      <c r="I26" s="30">
        <f t="shared" si="4"/>
        <v>4904.2460000000001</v>
      </c>
      <c r="J26" s="30">
        <f t="shared" si="4"/>
        <v>2422.3230000000003</v>
      </c>
      <c r="K26" s="30">
        <f t="shared" si="4"/>
        <v>2420.65</v>
      </c>
      <c r="L26" s="30">
        <f t="shared" si="4"/>
        <v>1536.5920000000001</v>
      </c>
    </row>
    <row r="27" spans="1:12" x14ac:dyDescent="0.2">
      <c r="A27" s="39" t="s">
        <v>61</v>
      </c>
      <c r="C27" s="30">
        <v>2.923</v>
      </c>
      <c r="D27" s="30">
        <v>2.569</v>
      </c>
      <c r="E27" s="30">
        <v>2.0009999999999999</v>
      </c>
      <c r="F27" s="30">
        <v>1.5269999999999999</v>
      </c>
      <c r="G27" s="30">
        <v>3.0950000000000002</v>
      </c>
      <c r="H27" s="30">
        <v>2.7810000000000001</v>
      </c>
      <c r="I27" s="30">
        <v>2.2229999999999999</v>
      </c>
      <c r="J27" s="30">
        <v>1.7549999999999999</v>
      </c>
      <c r="K27" s="30">
        <v>1.627</v>
      </c>
      <c r="L27" s="30">
        <v>1.9570000000000001</v>
      </c>
    </row>
    <row r="28" spans="1:12" x14ac:dyDescent="0.2">
      <c r="A28" s="39" t="s">
        <v>60</v>
      </c>
      <c r="C28" s="30">
        <f t="shared" ref="C28:L28" si="5">SQRT((1+(C27^2)))</f>
        <v>3.0893250071819898</v>
      </c>
      <c r="D28" s="30">
        <f t="shared" si="5"/>
        <v>2.7567664028713059</v>
      </c>
      <c r="E28" s="30">
        <f t="shared" si="5"/>
        <v>2.2369624493942672</v>
      </c>
      <c r="F28" s="30">
        <f t="shared" si="5"/>
        <v>1.8253024406930485</v>
      </c>
      <c r="G28" s="30">
        <f t="shared" si="5"/>
        <v>3.2525413141111676</v>
      </c>
      <c r="H28" s="30">
        <f t="shared" si="5"/>
        <v>2.9553275622170889</v>
      </c>
      <c r="I28" s="30">
        <f t="shared" si="5"/>
        <v>2.4375662042291282</v>
      </c>
      <c r="J28" s="30">
        <f t="shared" si="5"/>
        <v>2.0199071760850793</v>
      </c>
      <c r="K28" s="30">
        <f t="shared" si="5"/>
        <v>1.9097457946019936</v>
      </c>
      <c r="L28" s="30">
        <f t="shared" si="5"/>
        <v>2.1976917436255703</v>
      </c>
    </row>
    <row r="29" spans="1:12" x14ac:dyDescent="0.2">
      <c r="A29" s="39" t="s">
        <v>59</v>
      </c>
      <c r="G29" s="30">
        <f t="shared" ref="G29:L29" si="6">G26/$E$2</f>
        <v>0.95335316950803761</v>
      </c>
      <c r="H29" s="30">
        <f t="shared" si="6"/>
        <v>2.5629978449826982</v>
      </c>
      <c r="I29" s="30">
        <f t="shared" si="6"/>
        <v>2.0457342025962699</v>
      </c>
      <c r="J29" s="30">
        <f t="shared" si="6"/>
        <v>1.0104364688956478</v>
      </c>
      <c r="K29" s="30">
        <f t="shared" si="6"/>
        <v>1.0097386015127832</v>
      </c>
      <c r="L29" s="30">
        <f t="shared" si="6"/>
        <v>0.64096678874506041</v>
      </c>
    </row>
    <row r="31" spans="1:12" x14ac:dyDescent="0.2">
      <c r="A31" s="39" t="s">
        <v>520</v>
      </c>
      <c r="C31" s="30">
        <v>1</v>
      </c>
      <c r="D31" s="30">
        <v>1</v>
      </c>
    </row>
    <row r="32" spans="1:12" x14ac:dyDescent="0.2">
      <c r="A32" s="39" t="s">
        <v>63</v>
      </c>
      <c r="C32" s="30">
        <v>2330.462</v>
      </c>
      <c r="D32" s="30">
        <v>3911.9810000000002</v>
      </c>
    </row>
    <row r="33" spans="1:4" x14ac:dyDescent="0.2">
      <c r="A33" s="39" t="s">
        <v>62</v>
      </c>
      <c r="C33" s="30">
        <f>C32-$B$5</f>
        <v>1873.2080000000001</v>
      </c>
      <c r="D33" s="30">
        <f>D32-$B$5</f>
        <v>3454.7270000000003</v>
      </c>
    </row>
    <row r="34" spans="1:4" x14ac:dyDescent="0.2">
      <c r="A34" s="39" t="s">
        <v>61</v>
      </c>
      <c r="C34" s="30">
        <v>3.226</v>
      </c>
      <c r="D34" s="30">
        <v>2.8319999999999999</v>
      </c>
    </row>
    <row r="35" spans="1:4" x14ac:dyDescent="0.2">
      <c r="A35" s="39" t="s">
        <v>60</v>
      </c>
      <c r="C35" s="30">
        <f>SQRT((4+(C34^2)))</f>
        <v>3.7956654225576836</v>
      </c>
      <c r="D35" s="30">
        <f>SQRT((4+(D34^2)))</f>
        <v>3.4670194692271341</v>
      </c>
    </row>
    <row r="36" spans="1:4" x14ac:dyDescent="0.2">
      <c r="A36" s="39" t="s">
        <v>59</v>
      </c>
    </row>
    <row r="38" spans="1:4" x14ac:dyDescent="0.2">
      <c r="A38" s="39" t="s">
        <v>519</v>
      </c>
      <c r="C38" s="30">
        <v>1</v>
      </c>
    </row>
    <row r="39" spans="1:4" x14ac:dyDescent="0.2">
      <c r="A39" s="39" t="s">
        <v>63</v>
      </c>
      <c r="C39" s="30">
        <v>1553.212</v>
      </c>
    </row>
    <row r="40" spans="1:4" x14ac:dyDescent="0.2">
      <c r="A40" s="39" t="s">
        <v>62</v>
      </c>
      <c r="C40" s="30">
        <f>C39-B5</f>
        <v>1095.9580000000001</v>
      </c>
    </row>
    <row r="41" spans="1:4" x14ac:dyDescent="0.2">
      <c r="A41" s="39" t="s">
        <v>61</v>
      </c>
      <c r="C41" s="30">
        <v>3.0859999999999999</v>
      </c>
    </row>
    <row r="42" spans="1:4" x14ac:dyDescent="0.2">
      <c r="A42" s="39" t="s">
        <v>60</v>
      </c>
      <c r="C42" s="30">
        <f>SQRT((25+(C41^2)))</f>
        <v>5.8756613244808449</v>
      </c>
    </row>
    <row r="43" spans="1:4" x14ac:dyDescent="0.2">
      <c r="A43" s="39" t="s">
        <v>59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46BF-0366-0B44-8015-2BB953E54AEA}">
  <dimension ref="A1:U46"/>
  <sheetViews>
    <sheetView topLeftCell="A20" workbookViewId="0">
      <selection activeCell="P58" sqref="P58"/>
    </sheetView>
  </sheetViews>
  <sheetFormatPr baseColWidth="10" defaultColWidth="8.83203125" defaultRowHeight="15" x14ac:dyDescent="0.2"/>
  <cols>
    <col min="1" max="2" width="18.5" customWidth="1"/>
  </cols>
  <sheetData>
    <row r="1" spans="1:12" x14ac:dyDescent="0.2">
      <c r="A1" t="s">
        <v>276</v>
      </c>
    </row>
    <row r="2" spans="1:12" s="1" customFormat="1" x14ac:dyDescent="0.2">
      <c r="A2" s="1" t="s">
        <v>29</v>
      </c>
      <c r="B2" s="1" t="s">
        <v>30</v>
      </c>
      <c r="C2" s="1" t="s">
        <v>23</v>
      </c>
      <c r="D2" s="1" t="s">
        <v>25</v>
      </c>
    </row>
    <row r="3" spans="1:12" x14ac:dyDescent="0.2">
      <c r="A3" t="s">
        <v>9</v>
      </c>
      <c r="B3">
        <v>210.416</v>
      </c>
      <c r="C3">
        <v>230.68799999999999</v>
      </c>
      <c r="D3">
        <v>255.35499999999999</v>
      </c>
      <c r="E3">
        <v>280.61700000000002</v>
      </c>
      <c r="F3">
        <v>309.53500000000003</v>
      </c>
      <c r="G3">
        <v>345.80900000000003</v>
      </c>
    </row>
    <row r="4" spans="1:12" x14ac:dyDescent="0.2">
      <c r="A4" t="s">
        <v>4</v>
      </c>
      <c r="C4">
        <f>C3-B3</f>
        <v>20.271999999999991</v>
      </c>
      <c r="D4">
        <f>D3-B3</f>
        <v>44.938999999999993</v>
      </c>
      <c r="E4">
        <f>E3-B3</f>
        <v>70.201000000000022</v>
      </c>
      <c r="F4">
        <f>F3-B3</f>
        <v>99.119000000000028</v>
      </c>
      <c r="G4">
        <f>G3-B3</f>
        <v>135.39300000000003</v>
      </c>
    </row>
    <row r="5" spans="1:12" x14ac:dyDescent="0.2">
      <c r="A5" t="s">
        <v>5</v>
      </c>
      <c r="C5">
        <v>20.061</v>
      </c>
      <c r="D5">
        <v>3.4039999999999999</v>
      </c>
      <c r="E5">
        <v>1.77</v>
      </c>
      <c r="F5">
        <v>1.3680000000000001</v>
      </c>
      <c r="G5">
        <v>1.173</v>
      </c>
    </row>
    <row r="6" spans="1:12" x14ac:dyDescent="0.2">
      <c r="A6" t="s">
        <v>6</v>
      </c>
      <c r="C6">
        <f>SQRT(4+C5^2)</f>
        <v>20.160449424554006</v>
      </c>
      <c r="D6">
        <f>SQRT(4+D5^2)</f>
        <v>3.9480648424259699</v>
      </c>
      <c r="E6">
        <f>SQRT(4+E5^2)</f>
        <v>2.670748958625651</v>
      </c>
      <c r="F6">
        <f>SQRT(4+F5^2)</f>
        <v>2.4231021439468869</v>
      </c>
      <c r="G6">
        <f>SQRT(4+G5^2)</f>
        <v>2.3186049685101602</v>
      </c>
    </row>
    <row r="7" spans="1:12" x14ac:dyDescent="0.2">
      <c r="A7" t="s">
        <v>10</v>
      </c>
      <c r="D7">
        <f>D4/32.303</f>
        <v>1.3911710986595671</v>
      </c>
      <c r="E7">
        <f>E4/32.303</f>
        <v>2.173203727208</v>
      </c>
      <c r="F7">
        <f>F4/32.303</f>
        <v>3.0684146983252343</v>
      </c>
      <c r="G7">
        <f>G4/32.303</f>
        <v>4.1913444571711622</v>
      </c>
    </row>
    <row r="9" spans="1:12" s="1" customFormat="1" x14ac:dyDescent="0.2">
      <c r="A9" s="1" t="s">
        <v>13</v>
      </c>
      <c r="C9" s="1" t="s">
        <v>275</v>
      </c>
      <c r="D9" s="1" t="s">
        <v>25</v>
      </c>
    </row>
    <row r="10" spans="1:12" x14ac:dyDescent="0.2">
      <c r="A10" t="s">
        <v>3</v>
      </c>
      <c r="B10">
        <v>210.416</v>
      </c>
      <c r="C10">
        <v>234.05500000000001</v>
      </c>
      <c r="D10">
        <v>268.41000000000003</v>
      </c>
      <c r="E10">
        <v>259.06599999999997</v>
      </c>
      <c r="F10">
        <v>351.77699999999999</v>
      </c>
      <c r="G10">
        <v>451.66399999999999</v>
      </c>
      <c r="H10">
        <v>375.85899999999998</v>
      </c>
      <c r="I10">
        <v>271.53899999999999</v>
      </c>
      <c r="J10">
        <v>272.69900000000001</v>
      </c>
      <c r="K10">
        <v>273.66000000000003</v>
      </c>
      <c r="L10">
        <v>248.74600000000001</v>
      </c>
    </row>
    <row r="11" spans="1:12" x14ac:dyDescent="0.2">
      <c r="A11" t="s">
        <v>4</v>
      </c>
      <c r="C11">
        <f>C10-B10</f>
        <v>23.63900000000001</v>
      </c>
      <c r="D11">
        <f>D10-B10</f>
        <v>57.994000000000028</v>
      </c>
      <c r="E11">
        <f>E10-B10</f>
        <v>48.649999999999977</v>
      </c>
      <c r="F11">
        <f>F10-B10</f>
        <v>141.36099999999999</v>
      </c>
      <c r="G11">
        <f>G10-B10</f>
        <v>241.24799999999999</v>
      </c>
      <c r="H11">
        <f>H10-B10</f>
        <v>165.44299999999998</v>
      </c>
      <c r="I11">
        <f>I10-B10</f>
        <v>61.12299999999999</v>
      </c>
      <c r="J11">
        <f>J10-B10</f>
        <v>62.283000000000015</v>
      </c>
      <c r="K11">
        <f>K10-B10</f>
        <v>63.244000000000028</v>
      </c>
      <c r="L11">
        <f>L10-B10</f>
        <v>38.330000000000013</v>
      </c>
    </row>
    <row r="12" spans="1:12" x14ac:dyDescent="0.2">
      <c r="A12" t="s">
        <v>5</v>
      </c>
      <c r="C12">
        <v>19.875</v>
      </c>
      <c r="D12">
        <v>3.266</v>
      </c>
      <c r="E12">
        <v>1.57</v>
      </c>
      <c r="F12">
        <v>1.034</v>
      </c>
      <c r="G12">
        <v>1.266</v>
      </c>
      <c r="H12">
        <v>1.6160000000000001</v>
      </c>
      <c r="I12">
        <v>1.381</v>
      </c>
      <c r="J12">
        <v>2.3679999999999999</v>
      </c>
      <c r="K12">
        <v>14.394</v>
      </c>
      <c r="L12">
        <v>14.002000000000001</v>
      </c>
    </row>
    <row r="13" spans="1:12" x14ac:dyDescent="0.2">
      <c r="A13" t="s">
        <v>17</v>
      </c>
      <c r="C13">
        <f t="shared" ref="C13:L13" si="0">SQRT(1+C12^2)</f>
        <v>19.900141331156419</v>
      </c>
      <c r="D13">
        <f t="shared" si="0"/>
        <v>3.4156633323558103</v>
      </c>
      <c r="E13">
        <f t="shared" si="0"/>
        <v>1.8614241859393577</v>
      </c>
      <c r="F13">
        <f t="shared" si="0"/>
        <v>1.4384561168141348</v>
      </c>
      <c r="G13">
        <f t="shared" si="0"/>
        <v>1.6133059226321584</v>
      </c>
      <c r="H13">
        <f t="shared" si="0"/>
        <v>1.9003831192683227</v>
      </c>
      <c r="I13">
        <f t="shared" si="0"/>
        <v>1.7050398822314978</v>
      </c>
      <c r="J13">
        <f t="shared" si="0"/>
        <v>2.5704910036800359</v>
      </c>
      <c r="K13">
        <f t="shared" si="0"/>
        <v>14.428694882074401</v>
      </c>
      <c r="L13">
        <f t="shared" si="0"/>
        <v>14.03766376574108</v>
      </c>
    </row>
    <row r="14" spans="1:12" x14ac:dyDescent="0.2">
      <c r="A14" t="s">
        <v>10</v>
      </c>
      <c r="D14">
        <f t="shared" ref="D14:L14" si="1">D11/32.303</f>
        <v>1.7953131288115665</v>
      </c>
      <c r="E14">
        <f t="shared" si="1"/>
        <v>1.5060520694672315</v>
      </c>
      <c r="F14">
        <f t="shared" si="1"/>
        <v>4.3760950995263599</v>
      </c>
      <c r="G14">
        <f t="shared" si="1"/>
        <v>7.4682846794415383</v>
      </c>
      <c r="H14">
        <f t="shared" si="1"/>
        <v>5.1215986131319076</v>
      </c>
      <c r="I14">
        <f t="shared" si="1"/>
        <v>1.89217719716435</v>
      </c>
      <c r="J14">
        <f t="shared" si="1"/>
        <v>1.9280871745658303</v>
      </c>
      <c r="K14">
        <f t="shared" si="1"/>
        <v>1.9578367334303326</v>
      </c>
      <c r="L14">
        <f t="shared" si="1"/>
        <v>1.186577098102344</v>
      </c>
    </row>
    <row r="16" spans="1:12" s="1" customFormat="1" x14ac:dyDescent="0.2">
      <c r="A16" s="1" t="s">
        <v>14</v>
      </c>
      <c r="C16" s="1" t="s">
        <v>23</v>
      </c>
      <c r="D16" s="1" t="s">
        <v>24</v>
      </c>
    </row>
    <row r="17" spans="1:21" x14ac:dyDescent="0.2">
      <c r="A17" t="s">
        <v>9</v>
      </c>
      <c r="B17">
        <v>210.416</v>
      </c>
      <c r="C17">
        <v>245.65199999999999</v>
      </c>
      <c r="D17">
        <v>317.20699999999999</v>
      </c>
      <c r="E17">
        <v>286.27300000000002</v>
      </c>
      <c r="F17">
        <v>251.94499999999999</v>
      </c>
      <c r="G17">
        <v>296.94099999999997</v>
      </c>
      <c r="H17">
        <v>292.45699999999999</v>
      </c>
      <c r="I17">
        <v>313.02300000000002</v>
      </c>
      <c r="J17">
        <v>351.44499999999999</v>
      </c>
      <c r="K17">
        <v>297.27699999999999</v>
      </c>
      <c r="L17">
        <v>318.01600000000002</v>
      </c>
      <c r="M17">
        <v>354.30099999999999</v>
      </c>
    </row>
    <row r="18" spans="1:21" x14ac:dyDescent="0.2">
      <c r="A18" t="s">
        <v>4</v>
      </c>
      <c r="C18">
        <f>C17-B17</f>
        <v>35.23599999999999</v>
      </c>
      <c r="D18">
        <f>D17-B17</f>
        <v>106.791</v>
      </c>
      <c r="E18">
        <f>E17-B17</f>
        <v>75.857000000000028</v>
      </c>
      <c r="F18">
        <f>F17-B17</f>
        <v>41.528999999999996</v>
      </c>
      <c r="G18">
        <f>G17-B17</f>
        <v>86.524999999999977</v>
      </c>
      <c r="H18">
        <f>H17-B17</f>
        <v>82.040999999999997</v>
      </c>
      <c r="I18">
        <f>I17-B17</f>
        <v>102.60700000000003</v>
      </c>
      <c r="J18">
        <f>J17-B17</f>
        <v>141.029</v>
      </c>
      <c r="K18">
        <f>K17-B17</f>
        <v>86.86099999999999</v>
      </c>
      <c r="L18">
        <f>L17-B17</f>
        <v>107.60000000000002</v>
      </c>
      <c r="M18">
        <f>M17-B17</f>
        <v>143.88499999999999</v>
      </c>
    </row>
    <row r="19" spans="1:21" x14ac:dyDescent="0.2">
      <c r="A19" t="s">
        <v>5</v>
      </c>
      <c r="C19">
        <v>14.65</v>
      </c>
      <c r="D19">
        <v>14.536</v>
      </c>
      <c r="E19">
        <v>14.117000000000001</v>
      </c>
      <c r="F19">
        <v>18.706</v>
      </c>
      <c r="G19">
        <v>3.0750000000000002</v>
      </c>
      <c r="H19">
        <v>2.3319999999999999</v>
      </c>
      <c r="I19">
        <v>2.2610000000000001</v>
      </c>
      <c r="J19">
        <v>1.659</v>
      </c>
      <c r="K19">
        <v>1.4730000000000001</v>
      </c>
      <c r="L19">
        <v>0.70099999999999996</v>
      </c>
      <c r="M19">
        <v>3.5150000000000001</v>
      </c>
    </row>
    <row r="20" spans="1:21" x14ac:dyDescent="0.2">
      <c r="A20" t="s">
        <v>17</v>
      </c>
      <c r="D20">
        <f t="shared" ref="D20:M20" si="2">D18/32.303</f>
        <v>3.3059158592081235</v>
      </c>
      <c r="E20">
        <f t="shared" si="2"/>
        <v>2.3482958239172844</v>
      </c>
      <c r="F20">
        <f t="shared" si="2"/>
        <v>1.285608147850045</v>
      </c>
      <c r="G20">
        <f t="shared" si="2"/>
        <v>2.6785437885026155</v>
      </c>
      <c r="H20">
        <f t="shared" si="2"/>
        <v>2.5397331517196546</v>
      </c>
      <c r="I20">
        <f t="shared" si="2"/>
        <v>3.1763922855462354</v>
      </c>
      <c r="J20">
        <f t="shared" si="2"/>
        <v>4.3658174163390404</v>
      </c>
      <c r="K20">
        <f t="shared" si="2"/>
        <v>2.6889452991982168</v>
      </c>
      <c r="L20">
        <f t="shared" si="2"/>
        <v>3.3309599727579493</v>
      </c>
      <c r="M20">
        <f t="shared" si="2"/>
        <v>4.4542302572516483</v>
      </c>
    </row>
    <row r="21" spans="1:21" x14ac:dyDescent="0.2">
      <c r="A21" t="s">
        <v>10</v>
      </c>
    </row>
    <row r="23" spans="1:21" s="1" customFormat="1" x14ac:dyDescent="0.2">
      <c r="A23" s="1" t="s">
        <v>274</v>
      </c>
      <c r="C23" s="1" t="s">
        <v>23</v>
      </c>
      <c r="D23" s="1" t="s">
        <v>25</v>
      </c>
    </row>
    <row r="24" spans="1:21" x14ac:dyDescent="0.2">
      <c r="A24" t="s">
        <v>9</v>
      </c>
      <c r="B24">
        <v>210.416</v>
      </c>
      <c r="C24">
        <v>260.48</v>
      </c>
      <c r="D24">
        <v>273.14800000000002</v>
      </c>
      <c r="E24">
        <v>311.73399999999998</v>
      </c>
      <c r="F24">
        <v>329.71499999999997</v>
      </c>
      <c r="G24">
        <v>251.422</v>
      </c>
      <c r="H24">
        <v>293.50799999999998</v>
      </c>
      <c r="I24">
        <v>288.29300000000001</v>
      </c>
      <c r="J24">
        <v>277.48</v>
      </c>
      <c r="K24">
        <v>293.113</v>
      </c>
      <c r="L24">
        <v>270.60899999999998</v>
      </c>
      <c r="M24">
        <v>258.32799999999997</v>
      </c>
      <c r="N24">
        <v>328.46499999999997</v>
      </c>
      <c r="O24">
        <v>334.80500000000001</v>
      </c>
      <c r="P24">
        <v>402.58600000000001</v>
      </c>
      <c r="Q24">
        <v>359.41399999999999</v>
      </c>
      <c r="R24">
        <v>241.71100000000001</v>
      </c>
      <c r="S24">
        <v>351.79300000000001</v>
      </c>
      <c r="T24">
        <v>304.69099999999997</v>
      </c>
      <c r="U24">
        <v>326.29300000000001</v>
      </c>
    </row>
    <row r="25" spans="1:21" x14ac:dyDescent="0.2">
      <c r="A25" t="s">
        <v>4</v>
      </c>
      <c r="C25">
        <f>C24-B24</f>
        <v>50.064000000000021</v>
      </c>
      <c r="D25">
        <f>D24-B24</f>
        <v>62.732000000000028</v>
      </c>
      <c r="E25">
        <f>E24-B24</f>
        <v>101.31799999999998</v>
      </c>
      <c r="F25">
        <f>F24-B24</f>
        <v>119.29899999999998</v>
      </c>
      <c r="G25">
        <f>G24-B24</f>
        <v>41.006</v>
      </c>
      <c r="H25">
        <f>H24-B24</f>
        <v>83.091999999999985</v>
      </c>
      <c r="I25">
        <f>I24-B24</f>
        <v>77.87700000000001</v>
      </c>
      <c r="J25">
        <f>J24-B24</f>
        <v>67.064000000000021</v>
      </c>
      <c r="K25">
        <f>K24-B24</f>
        <v>82.697000000000003</v>
      </c>
      <c r="L25">
        <f>L24-B24</f>
        <v>60.192999999999984</v>
      </c>
      <c r="M25">
        <f>M24-B24</f>
        <v>47.911999999999978</v>
      </c>
      <c r="N25">
        <f>N24-B24</f>
        <v>118.04899999999998</v>
      </c>
      <c r="O25">
        <f>O24-B24</f>
        <v>124.38900000000001</v>
      </c>
      <c r="P25">
        <f>P24-B24</f>
        <v>192.17000000000002</v>
      </c>
      <c r="Q25">
        <f>Q24-B24</f>
        <v>148.99799999999999</v>
      </c>
      <c r="R25">
        <f>R24-B24</f>
        <v>31.295000000000016</v>
      </c>
      <c r="S25">
        <f>S24-B24</f>
        <v>141.37700000000001</v>
      </c>
      <c r="T25">
        <f>T24-B24</f>
        <v>94.274999999999977</v>
      </c>
      <c r="U25">
        <f>U24-B24</f>
        <v>115.87700000000001</v>
      </c>
    </row>
    <row r="26" spans="1:21" x14ac:dyDescent="0.2">
      <c r="A26" t="s">
        <v>5</v>
      </c>
      <c r="C26">
        <v>1.119</v>
      </c>
      <c r="D26">
        <v>1.2250000000000001</v>
      </c>
      <c r="E26">
        <v>2.9390000000000001</v>
      </c>
      <c r="F26">
        <v>2.0840000000000001</v>
      </c>
      <c r="G26">
        <v>1.444</v>
      </c>
      <c r="H26">
        <v>2.9729999999999999</v>
      </c>
      <c r="I26">
        <v>2.5030000000000001</v>
      </c>
      <c r="J26">
        <v>3.1030000000000002</v>
      </c>
      <c r="K26">
        <v>3.7679999999999998</v>
      </c>
      <c r="L26">
        <v>2.484</v>
      </c>
      <c r="M26">
        <v>2.41</v>
      </c>
      <c r="N26">
        <v>3.3370000000000002</v>
      </c>
      <c r="O26">
        <v>3.2320000000000002</v>
      </c>
      <c r="P26">
        <v>3.988</v>
      </c>
      <c r="Q26">
        <v>3.6869999999999998</v>
      </c>
      <c r="R26">
        <v>12.832000000000001</v>
      </c>
      <c r="S26">
        <v>18.422999999999998</v>
      </c>
      <c r="T26">
        <v>18.18</v>
      </c>
      <c r="U26">
        <v>17.774000000000001</v>
      </c>
    </row>
    <row r="27" spans="1:21" x14ac:dyDescent="0.2">
      <c r="A27" t="s">
        <v>10</v>
      </c>
      <c r="D27">
        <f t="shared" ref="D27:U27" si="3">D25/32.303</f>
        <v>1.9419868123703692</v>
      </c>
      <c r="E27">
        <f t="shared" si="3"/>
        <v>3.136488871002693</v>
      </c>
      <c r="F27">
        <f t="shared" si="3"/>
        <v>3.6931244776026992</v>
      </c>
      <c r="G27">
        <f t="shared" si="3"/>
        <v>1.2694177011423089</v>
      </c>
      <c r="H27">
        <f t="shared" si="3"/>
        <v>2.5722688295204779</v>
      </c>
      <c r="I27">
        <f t="shared" si="3"/>
        <v>2.410828715599171</v>
      </c>
      <c r="J27">
        <f t="shared" si="3"/>
        <v>2.0760920038386534</v>
      </c>
      <c r="K27">
        <f t="shared" si="3"/>
        <v>2.5600408630777332</v>
      </c>
      <c r="L27">
        <f t="shared" si="3"/>
        <v>1.8633873014890254</v>
      </c>
      <c r="M27">
        <f t="shared" si="3"/>
        <v>1.4832058941893935</v>
      </c>
      <c r="N27">
        <f t="shared" si="3"/>
        <v>3.6544283812648977</v>
      </c>
      <c r="O27">
        <f t="shared" si="3"/>
        <v>3.8506949818902276</v>
      </c>
      <c r="P27">
        <f t="shared" si="3"/>
        <v>5.9489830665882435</v>
      </c>
      <c r="Q27">
        <f t="shared" si="3"/>
        <v>4.6125127697117918</v>
      </c>
      <c r="R27">
        <f t="shared" si="3"/>
        <v>0.96879546791319748</v>
      </c>
      <c r="S27">
        <f t="shared" si="3"/>
        <v>4.3765904095594843</v>
      </c>
      <c r="T27">
        <f t="shared" si="3"/>
        <v>2.9184595857969842</v>
      </c>
      <c r="U27">
        <f t="shared" si="3"/>
        <v>3.5871900442683349</v>
      </c>
    </row>
    <row r="30" spans="1:21" s="1" customFormat="1" x14ac:dyDescent="0.2">
      <c r="A30" s="1" t="s">
        <v>16</v>
      </c>
      <c r="C30" s="1" t="s">
        <v>25</v>
      </c>
    </row>
    <row r="31" spans="1:21" x14ac:dyDescent="0.2">
      <c r="A31" t="s">
        <v>9</v>
      </c>
      <c r="B31">
        <v>210.416</v>
      </c>
      <c r="C31">
        <v>316.94499999999999</v>
      </c>
      <c r="D31">
        <v>325.01600000000002</v>
      </c>
      <c r="E31">
        <v>271.24200000000002</v>
      </c>
      <c r="F31">
        <v>272.42599999999999</v>
      </c>
      <c r="G31">
        <v>354.28899999999999</v>
      </c>
      <c r="H31">
        <v>332.35899999999998</v>
      </c>
      <c r="I31">
        <v>272.08999999999997</v>
      </c>
      <c r="J31">
        <v>345.887</v>
      </c>
      <c r="K31">
        <v>402.69099999999997</v>
      </c>
      <c r="L31">
        <v>349.90600000000001</v>
      </c>
      <c r="M31">
        <v>248.238</v>
      </c>
      <c r="N31">
        <v>295.82799999999997</v>
      </c>
      <c r="O31">
        <v>286.21899999999999</v>
      </c>
      <c r="P31">
        <v>247.35900000000001</v>
      </c>
    </row>
    <row r="32" spans="1:21" x14ac:dyDescent="0.2">
      <c r="A32" t="s">
        <v>4</v>
      </c>
      <c r="C32">
        <f>C31-B31</f>
        <v>106.529</v>
      </c>
      <c r="D32">
        <f>D31-B31</f>
        <v>114.60000000000002</v>
      </c>
      <c r="E32">
        <f>E31-B31</f>
        <v>60.826000000000022</v>
      </c>
      <c r="F32">
        <f>F31-B31</f>
        <v>62.009999999999991</v>
      </c>
      <c r="G32">
        <f>G31-B31</f>
        <v>143.87299999999999</v>
      </c>
      <c r="H32">
        <f>H31-B31</f>
        <v>121.94299999999998</v>
      </c>
      <c r="I32">
        <f>I31-B31</f>
        <v>61.673999999999978</v>
      </c>
      <c r="J32">
        <f>J31-B31</f>
        <v>135.471</v>
      </c>
      <c r="K32">
        <f>K31-B31</f>
        <v>192.27499999999998</v>
      </c>
      <c r="L32">
        <f>L31-B31</f>
        <v>139.49</v>
      </c>
      <c r="M32">
        <f>M31-B31</f>
        <v>37.822000000000003</v>
      </c>
      <c r="N32">
        <f>N31-B31</f>
        <v>85.411999999999978</v>
      </c>
      <c r="O32">
        <f>O31-B31</f>
        <v>75.802999999999997</v>
      </c>
      <c r="P32">
        <f>P31-B31</f>
        <v>36.943000000000012</v>
      </c>
    </row>
    <row r="33" spans="1:16" x14ac:dyDescent="0.2">
      <c r="A33" t="s">
        <v>5</v>
      </c>
      <c r="C33">
        <v>1.5569999999999999</v>
      </c>
      <c r="D33">
        <v>1.796</v>
      </c>
      <c r="E33">
        <v>2.5030000000000001</v>
      </c>
      <c r="F33">
        <v>3.0910000000000002</v>
      </c>
      <c r="G33">
        <v>2.5910000000000002</v>
      </c>
      <c r="H33">
        <v>3.5059999999999998</v>
      </c>
      <c r="I33">
        <v>2.59</v>
      </c>
      <c r="J33">
        <v>3.6760000000000002</v>
      </c>
      <c r="K33">
        <v>3.2869999999999999</v>
      </c>
      <c r="L33">
        <v>4.1920000000000002</v>
      </c>
      <c r="M33">
        <v>13.18</v>
      </c>
      <c r="N33">
        <v>18.593</v>
      </c>
      <c r="O33">
        <v>18.364000000000001</v>
      </c>
      <c r="P33">
        <v>17.667000000000002</v>
      </c>
    </row>
    <row r="34" spans="1:16" x14ac:dyDescent="0.2">
      <c r="A34" t="s">
        <v>6</v>
      </c>
      <c r="C34">
        <f t="shared" ref="C34:P34" si="4">SQRT(1+C33^2)</f>
        <v>1.850472642326819</v>
      </c>
      <c r="D34">
        <f t="shared" si="4"/>
        <v>2.0556303169587671</v>
      </c>
      <c r="E34">
        <f t="shared" si="4"/>
        <v>2.6953680639200281</v>
      </c>
      <c r="F34">
        <f t="shared" si="4"/>
        <v>3.2487352923868698</v>
      </c>
      <c r="G34">
        <f t="shared" si="4"/>
        <v>2.7772794241847545</v>
      </c>
      <c r="H34">
        <f t="shared" si="4"/>
        <v>3.6458244609415846</v>
      </c>
      <c r="I34">
        <f t="shared" si="4"/>
        <v>2.7763465201591822</v>
      </c>
      <c r="J34">
        <f t="shared" si="4"/>
        <v>3.8095900041868025</v>
      </c>
      <c r="K34">
        <f t="shared" si="4"/>
        <v>3.4357486811465123</v>
      </c>
      <c r="L34">
        <f t="shared" si="4"/>
        <v>4.3096245776169413</v>
      </c>
      <c r="M34">
        <f t="shared" si="4"/>
        <v>13.217881827282312</v>
      </c>
      <c r="N34">
        <f t="shared" si="4"/>
        <v>18.619872421689681</v>
      </c>
      <c r="O34">
        <f t="shared" si="4"/>
        <v>18.391207029447525</v>
      </c>
      <c r="P34">
        <f t="shared" si="4"/>
        <v>17.695278720607938</v>
      </c>
    </row>
    <row r="35" spans="1:16" x14ac:dyDescent="0.2">
      <c r="A35" t="s">
        <v>10</v>
      </c>
      <c r="C35">
        <f t="shared" ref="C35:P35" si="5">C32/32.303</f>
        <v>3.2978051574157199</v>
      </c>
      <c r="D35">
        <f t="shared" si="5"/>
        <v>3.5476581122496373</v>
      </c>
      <c r="E35">
        <f t="shared" si="5"/>
        <v>1.8829830046744893</v>
      </c>
      <c r="F35">
        <f t="shared" si="5"/>
        <v>1.9196359471256539</v>
      </c>
      <c r="G35">
        <f t="shared" si="5"/>
        <v>4.4538587747268057</v>
      </c>
      <c r="H35">
        <f t="shared" si="5"/>
        <v>3.7749744605764168</v>
      </c>
      <c r="I35">
        <f t="shared" si="5"/>
        <v>1.9092344364300524</v>
      </c>
      <c r="J35">
        <f t="shared" si="5"/>
        <v>4.1937590935826394</v>
      </c>
      <c r="K35">
        <f t="shared" si="5"/>
        <v>5.952233538680618</v>
      </c>
      <c r="L35">
        <f t="shared" si="5"/>
        <v>4.3181747825279393</v>
      </c>
      <c r="M35">
        <f t="shared" si="5"/>
        <v>1.170851004550661</v>
      </c>
      <c r="N35">
        <f t="shared" si="5"/>
        <v>2.6440887843234369</v>
      </c>
      <c r="O35">
        <f t="shared" si="5"/>
        <v>2.3466241525554903</v>
      </c>
      <c r="P35">
        <f t="shared" si="5"/>
        <v>1.1436399096059193</v>
      </c>
    </row>
    <row r="37" spans="1:16" s="1" customFormat="1" x14ac:dyDescent="0.2">
      <c r="A37" s="1" t="s">
        <v>18</v>
      </c>
      <c r="C37" s="1" t="s">
        <v>25</v>
      </c>
    </row>
    <row r="38" spans="1:16" x14ac:dyDescent="0.2">
      <c r="A38" t="s">
        <v>9</v>
      </c>
      <c r="B38">
        <v>210.416</v>
      </c>
      <c r="C38">
        <v>270.51600000000002</v>
      </c>
      <c r="D38">
        <v>257.19900000000001</v>
      </c>
      <c r="E38">
        <v>250.40199999999999</v>
      </c>
      <c r="F38">
        <v>278.988</v>
      </c>
      <c r="G38">
        <v>237.191</v>
      </c>
    </row>
    <row r="39" spans="1:16" x14ac:dyDescent="0.2">
      <c r="A39" t="s">
        <v>4</v>
      </c>
      <c r="C39">
        <f>C38-B38</f>
        <v>60.100000000000023</v>
      </c>
      <c r="D39">
        <f>D38-B38</f>
        <v>46.783000000000015</v>
      </c>
      <c r="E39">
        <f>E38-B38</f>
        <v>39.98599999999999</v>
      </c>
      <c r="F39">
        <f>F38-B38</f>
        <v>68.572000000000003</v>
      </c>
      <c r="G39">
        <f>G38-B38</f>
        <v>26.775000000000006</v>
      </c>
    </row>
    <row r="40" spans="1:16" x14ac:dyDescent="0.2">
      <c r="A40" t="s">
        <v>5</v>
      </c>
      <c r="C40">
        <v>1.4259999999999999</v>
      </c>
      <c r="D40">
        <v>3.0409999999999999</v>
      </c>
      <c r="E40">
        <v>3.4630000000000001</v>
      </c>
      <c r="F40">
        <v>4.1559999999999997</v>
      </c>
      <c r="G40">
        <v>12.302</v>
      </c>
    </row>
    <row r="41" spans="1:16" x14ac:dyDescent="0.2">
      <c r="A41" t="s">
        <v>6</v>
      </c>
      <c r="C41">
        <f>SQRT(4+C40^2)</f>
        <v>2.4563134979069754</v>
      </c>
      <c r="D41">
        <f>SQRT(4+D40^2)</f>
        <v>3.6397363915536523</v>
      </c>
      <c r="E41">
        <f>SQRT(4+E40^2)</f>
        <v>3.9990460112381805</v>
      </c>
      <c r="F41">
        <f>SQRT(4+F40^2)</f>
        <v>4.6121942717105915</v>
      </c>
      <c r="G41">
        <f>SQRT(4+G40^2)</f>
        <v>12.463514913538637</v>
      </c>
    </row>
    <row r="42" spans="1:16" x14ac:dyDescent="0.2">
      <c r="A42" t="s">
        <v>10</v>
      </c>
      <c r="C42">
        <f>C39/32.302</f>
        <v>1.8605659092316273</v>
      </c>
      <c r="D42">
        <f>D39/32.302</f>
        <v>1.4483004148349952</v>
      </c>
      <c r="E42">
        <f>E39/32.302</f>
        <v>1.2378800074298801</v>
      </c>
      <c r="F42">
        <f>F39/32.302</f>
        <v>2.1228406909788871</v>
      </c>
      <c r="G42">
        <f>G39/32.302</f>
        <v>0.82889604358863245</v>
      </c>
    </row>
    <row r="45" spans="1:16" x14ac:dyDescent="0.2">
      <c r="A45" t="s">
        <v>33</v>
      </c>
      <c r="B45">
        <f>AVERAGE(C25,C18,C11,C4)</f>
        <v>32.302750000000003</v>
      </c>
    </row>
    <row r="46" spans="1:16" x14ac:dyDescent="0.2">
      <c r="A46" t="s">
        <v>27</v>
      </c>
      <c r="B46">
        <v>49.284999999999997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9F08-24F0-9746-AC97-D61909FA38A3}">
  <dimension ref="A1:AG86"/>
  <sheetViews>
    <sheetView workbookViewId="0">
      <selection activeCell="L52" sqref="L52"/>
    </sheetView>
  </sheetViews>
  <sheetFormatPr baseColWidth="10" defaultColWidth="8.83203125" defaultRowHeight="15" x14ac:dyDescent="0.2"/>
  <cols>
    <col min="1" max="1" width="18.5" customWidth="1"/>
    <col min="2" max="2" width="18.33203125" customWidth="1"/>
  </cols>
  <sheetData>
    <row r="1" spans="1:16" x14ac:dyDescent="0.2">
      <c r="A1" t="s">
        <v>273</v>
      </c>
    </row>
    <row r="2" spans="1:16" s="1" customFormat="1" x14ac:dyDescent="0.2">
      <c r="A2" s="1" t="s">
        <v>1</v>
      </c>
      <c r="B2" s="1" t="s">
        <v>30</v>
      </c>
      <c r="C2" s="1" t="s">
        <v>25</v>
      </c>
    </row>
    <row r="3" spans="1:16" x14ac:dyDescent="0.2">
      <c r="A3" t="s">
        <v>3</v>
      </c>
      <c r="B3">
        <v>214.18899999999999</v>
      </c>
      <c r="C3">
        <v>405.25799999999998</v>
      </c>
      <c r="D3">
        <v>346.19900000000001</v>
      </c>
    </row>
    <row r="4" spans="1:16" x14ac:dyDescent="0.2">
      <c r="A4" t="s">
        <v>21</v>
      </c>
      <c r="C4">
        <f>C3-B3</f>
        <v>191.06899999999999</v>
      </c>
      <c r="D4">
        <f>D3-B3</f>
        <v>132.01000000000002</v>
      </c>
    </row>
    <row r="5" spans="1:16" x14ac:dyDescent="0.2">
      <c r="A5" t="s">
        <v>31</v>
      </c>
      <c r="C5">
        <v>6.0750000000000002</v>
      </c>
      <c r="D5">
        <v>5.4260000000000002</v>
      </c>
    </row>
    <row r="6" spans="1:16" x14ac:dyDescent="0.2">
      <c r="A6" t="s">
        <v>6</v>
      </c>
      <c r="C6">
        <f>SQRT(4+C5^2)</f>
        <v>6.39575054235232</v>
      </c>
      <c r="D6">
        <f>SQRT(4+D5^2)</f>
        <v>5.7828605378307367</v>
      </c>
    </row>
    <row r="7" spans="1:16" x14ac:dyDescent="0.2">
      <c r="A7" t="s">
        <v>10</v>
      </c>
      <c r="C7">
        <f>C4/287.515</f>
        <v>0.6645531537485001</v>
      </c>
      <c r="D7">
        <f>D4/287.515</f>
        <v>0.459141262195016</v>
      </c>
    </row>
    <row r="9" spans="1:16" s="1" customFormat="1" x14ac:dyDescent="0.2">
      <c r="A9" s="1" t="s">
        <v>8</v>
      </c>
      <c r="C9" s="1" t="s">
        <v>24</v>
      </c>
    </row>
    <row r="10" spans="1:16" x14ac:dyDescent="0.2">
      <c r="A10" t="s">
        <v>9</v>
      </c>
      <c r="B10">
        <v>214.18899999999999</v>
      </c>
      <c r="C10">
        <v>975.51599999999996</v>
      </c>
      <c r="D10">
        <v>1078.4259999999999</v>
      </c>
      <c r="E10">
        <v>648.56600000000003</v>
      </c>
      <c r="F10">
        <v>597.96100000000001</v>
      </c>
      <c r="G10">
        <v>681.22699999999998</v>
      </c>
      <c r="H10">
        <v>1024.078</v>
      </c>
      <c r="I10">
        <v>727.44899999999996</v>
      </c>
      <c r="J10">
        <v>507.44099999999997</v>
      </c>
      <c r="K10">
        <v>1673.5039999999999</v>
      </c>
      <c r="L10">
        <v>700.49199999999996</v>
      </c>
      <c r="M10">
        <v>620.25</v>
      </c>
      <c r="N10">
        <v>643.38300000000004</v>
      </c>
      <c r="O10">
        <v>824.62900000000002</v>
      </c>
      <c r="P10">
        <v>888.43799999999999</v>
      </c>
    </row>
    <row r="11" spans="1:16" x14ac:dyDescent="0.2">
      <c r="A11" t="s">
        <v>4</v>
      </c>
      <c r="C11">
        <f>C10-B10</f>
        <v>761.327</v>
      </c>
      <c r="D11">
        <f>D10-B10</f>
        <v>864.23699999999997</v>
      </c>
      <c r="E11">
        <f>E10-B10</f>
        <v>434.37700000000007</v>
      </c>
      <c r="F11">
        <f>F10-B10</f>
        <v>383.77200000000005</v>
      </c>
      <c r="G11">
        <f>G10-B10</f>
        <v>467.03800000000001</v>
      </c>
      <c r="H11">
        <f>H10-B10</f>
        <v>809.88900000000001</v>
      </c>
      <c r="I11">
        <f>I10-B10</f>
        <v>513.26</v>
      </c>
      <c r="J11">
        <f>J10-B10</f>
        <v>293.25199999999995</v>
      </c>
      <c r="K11">
        <f>K10-B10</f>
        <v>1459.3149999999998</v>
      </c>
      <c r="L11">
        <f>L10-B10</f>
        <v>486.303</v>
      </c>
      <c r="M11">
        <f>M10-B10</f>
        <v>406.06100000000004</v>
      </c>
      <c r="N11">
        <f>N10-B10</f>
        <v>429.19400000000007</v>
      </c>
      <c r="O11">
        <f>O10-B10</f>
        <v>610.44000000000005</v>
      </c>
      <c r="P11">
        <f>P10-B10</f>
        <v>674.24900000000002</v>
      </c>
    </row>
    <row r="12" spans="1:16" x14ac:dyDescent="0.2">
      <c r="A12" t="s">
        <v>5</v>
      </c>
      <c r="C12">
        <v>5.1980000000000004</v>
      </c>
      <c r="D12">
        <v>5.0979999999999999</v>
      </c>
      <c r="E12">
        <v>5.0359999999999996</v>
      </c>
      <c r="F12">
        <v>2.0619999999999998</v>
      </c>
      <c r="G12">
        <v>1.9350000000000001</v>
      </c>
      <c r="H12">
        <v>1.38</v>
      </c>
      <c r="I12">
        <v>1.9690000000000001</v>
      </c>
      <c r="J12">
        <v>2.8809999999999998</v>
      </c>
      <c r="K12">
        <v>6.3680000000000003</v>
      </c>
      <c r="L12">
        <v>4.1879999999999997</v>
      </c>
      <c r="M12">
        <v>3.5379999999999998</v>
      </c>
      <c r="N12">
        <v>4.032</v>
      </c>
      <c r="O12">
        <v>2.57</v>
      </c>
      <c r="P12">
        <v>2.4289999999999998</v>
      </c>
    </row>
    <row r="13" spans="1:16" x14ac:dyDescent="0.2">
      <c r="A13" t="s">
        <v>6</v>
      </c>
      <c r="C13">
        <f t="shared" ref="C13:P13" si="0">SQRT(1+C12^2)</f>
        <v>5.2933169185303841</v>
      </c>
      <c r="D13">
        <f t="shared" si="0"/>
        <v>5.1951519708281877</v>
      </c>
      <c r="E13">
        <f t="shared" si="0"/>
        <v>5.1343252721268051</v>
      </c>
      <c r="F13">
        <f t="shared" si="0"/>
        <v>2.291690205939712</v>
      </c>
      <c r="G13">
        <f t="shared" si="0"/>
        <v>2.1781241929697215</v>
      </c>
      <c r="H13">
        <f t="shared" si="0"/>
        <v>1.7042300314218148</v>
      </c>
      <c r="I13">
        <f t="shared" si="0"/>
        <v>2.2083842509853215</v>
      </c>
      <c r="J13">
        <f t="shared" si="0"/>
        <v>3.0496165332710272</v>
      </c>
      <c r="K13">
        <f t="shared" si="0"/>
        <v>6.4460394041612874</v>
      </c>
      <c r="L13">
        <f t="shared" si="0"/>
        <v>4.3057338515054546</v>
      </c>
      <c r="M13">
        <f t="shared" si="0"/>
        <v>3.676607675561808</v>
      </c>
      <c r="N13">
        <f t="shared" si="0"/>
        <v>4.1541574356299984</v>
      </c>
      <c r="O13">
        <f t="shared" si="0"/>
        <v>2.7576983156248254</v>
      </c>
      <c r="P13">
        <f t="shared" si="0"/>
        <v>2.6267929115177693</v>
      </c>
    </row>
    <row r="14" spans="1:16" x14ac:dyDescent="0.2">
      <c r="A14" t="s">
        <v>10</v>
      </c>
      <c r="C14">
        <f t="shared" ref="C14:P14" si="1">C11/287.515</f>
        <v>2.647955758829974</v>
      </c>
      <c r="D14">
        <f t="shared" si="1"/>
        <v>3.0058849103525032</v>
      </c>
      <c r="E14">
        <f t="shared" si="1"/>
        <v>1.5107976975114346</v>
      </c>
      <c r="F14">
        <f t="shared" si="1"/>
        <v>1.3347894892440397</v>
      </c>
      <c r="G14">
        <f t="shared" si="1"/>
        <v>1.6243952489435336</v>
      </c>
      <c r="H14">
        <f t="shared" si="1"/>
        <v>2.8168582508738678</v>
      </c>
      <c r="I14">
        <f t="shared" si="1"/>
        <v>1.7851590351807731</v>
      </c>
      <c r="J14">
        <f t="shared" si="1"/>
        <v>1.0199537415439193</v>
      </c>
      <c r="K14">
        <f t="shared" si="1"/>
        <v>5.0756134462549776</v>
      </c>
      <c r="L14">
        <f t="shared" si="1"/>
        <v>1.6914004486722432</v>
      </c>
      <c r="M14">
        <f t="shared" si="1"/>
        <v>1.4123124010921171</v>
      </c>
      <c r="N14">
        <f t="shared" si="1"/>
        <v>1.4927708119576373</v>
      </c>
      <c r="O14">
        <f t="shared" si="1"/>
        <v>2.1231587917152153</v>
      </c>
      <c r="P14">
        <f t="shared" si="1"/>
        <v>2.3450915604403249</v>
      </c>
    </row>
    <row r="16" spans="1:16" s="1" customFormat="1" x14ac:dyDescent="0.2">
      <c r="A16" s="1" t="s">
        <v>272</v>
      </c>
      <c r="C16" s="1" t="s">
        <v>23</v>
      </c>
      <c r="E16" s="1" t="s">
        <v>25</v>
      </c>
    </row>
    <row r="17" spans="1:33" x14ac:dyDescent="0.2">
      <c r="A17" t="s">
        <v>3</v>
      </c>
      <c r="B17">
        <v>214.18899999999999</v>
      </c>
      <c r="C17">
        <v>444.60899999999998</v>
      </c>
      <c r="D17">
        <v>655.09</v>
      </c>
      <c r="E17">
        <v>1084.77</v>
      </c>
      <c r="F17">
        <v>1366.8050000000001</v>
      </c>
      <c r="G17">
        <v>1338.578</v>
      </c>
      <c r="H17">
        <v>1667.18</v>
      </c>
      <c r="I17">
        <v>1250.711</v>
      </c>
      <c r="J17">
        <v>684.26199999999994</v>
      </c>
      <c r="K17">
        <v>600.91399999999999</v>
      </c>
      <c r="L17">
        <v>842.93</v>
      </c>
      <c r="M17">
        <v>1458.6679999999999</v>
      </c>
      <c r="N17">
        <v>2056.473</v>
      </c>
      <c r="O17">
        <v>780.13699999999994</v>
      </c>
      <c r="P17">
        <v>1999.1559999999999</v>
      </c>
      <c r="Q17">
        <v>1989.7149999999999</v>
      </c>
      <c r="R17">
        <v>1190.25</v>
      </c>
      <c r="S17">
        <v>1173.8320000000001</v>
      </c>
      <c r="T17">
        <v>1267.3630000000001</v>
      </c>
      <c r="U17">
        <v>949.57399999999996</v>
      </c>
      <c r="V17">
        <v>1912.691</v>
      </c>
      <c r="W17">
        <v>1661.2850000000001</v>
      </c>
      <c r="X17">
        <v>1283.9929999999999</v>
      </c>
      <c r="Y17">
        <v>1167.211</v>
      </c>
      <c r="Z17">
        <v>1504.145</v>
      </c>
      <c r="AA17">
        <v>1811.2149999999999</v>
      </c>
      <c r="AB17">
        <v>1803.559</v>
      </c>
    </row>
    <row r="18" spans="1:33" x14ac:dyDescent="0.2">
      <c r="A18" t="s">
        <v>21</v>
      </c>
      <c r="C18">
        <f>C17-B17</f>
        <v>230.42</v>
      </c>
      <c r="D18">
        <f>D17-B17</f>
        <v>440.90100000000007</v>
      </c>
      <c r="E18">
        <f>E17-B17</f>
        <v>870.58100000000002</v>
      </c>
      <c r="F18">
        <f>F17-B17</f>
        <v>1152.616</v>
      </c>
      <c r="G18">
        <f>G17-B17</f>
        <v>1124.3889999999999</v>
      </c>
      <c r="H18">
        <f>H17-B17</f>
        <v>1452.991</v>
      </c>
      <c r="I18">
        <f>I17-B17</f>
        <v>1036.5219999999999</v>
      </c>
      <c r="J18">
        <f>J17-B17</f>
        <v>470.07299999999998</v>
      </c>
      <c r="K18">
        <f>K17-B17</f>
        <v>386.72500000000002</v>
      </c>
      <c r="L18">
        <f>L17-B17</f>
        <v>628.74099999999999</v>
      </c>
      <c r="M18">
        <f>M17-B17</f>
        <v>1244.4789999999998</v>
      </c>
      <c r="N18">
        <f>N17-B17</f>
        <v>1842.2839999999999</v>
      </c>
      <c r="O18">
        <f>O17-B17</f>
        <v>565.94799999999998</v>
      </c>
      <c r="P18">
        <f>P17-B17</f>
        <v>1784.9669999999999</v>
      </c>
      <c r="Q18">
        <f>Q17-B17</f>
        <v>1775.5259999999998</v>
      </c>
      <c r="R18">
        <f>R17-B17</f>
        <v>976.06100000000004</v>
      </c>
      <c r="S18">
        <f>S17-B17</f>
        <v>959.64300000000014</v>
      </c>
      <c r="T18">
        <f>T17-B17</f>
        <v>1053.174</v>
      </c>
      <c r="U18">
        <f>U17-B17</f>
        <v>735.38499999999999</v>
      </c>
      <c r="V18">
        <f>V17-B17</f>
        <v>1698.502</v>
      </c>
      <c r="W18">
        <f>W17-B17</f>
        <v>1447.096</v>
      </c>
      <c r="X18">
        <f>X17-B17</f>
        <v>1069.8039999999999</v>
      </c>
      <c r="Y18">
        <f>Y17-B17</f>
        <v>953.02200000000005</v>
      </c>
      <c r="Z18">
        <f>Z17-B17</f>
        <v>1289.9559999999999</v>
      </c>
      <c r="AA18">
        <f>AA17-B17</f>
        <v>1597.0259999999998</v>
      </c>
      <c r="AB18">
        <f>AB17-B17</f>
        <v>1589.37</v>
      </c>
    </row>
    <row r="19" spans="1:33" x14ac:dyDescent="0.2">
      <c r="A19" t="s">
        <v>5</v>
      </c>
      <c r="C19">
        <v>4.593</v>
      </c>
      <c r="D19">
        <v>4.5439999999999996</v>
      </c>
      <c r="E19">
        <v>5.6349999999999998</v>
      </c>
      <c r="F19">
        <v>5.3819999999999997</v>
      </c>
      <c r="G19">
        <v>5.12</v>
      </c>
      <c r="H19">
        <v>2.6440000000000001</v>
      </c>
      <c r="I19">
        <v>2.8079999999999998</v>
      </c>
      <c r="J19">
        <v>1.976</v>
      </c>
      <c r="K19">
        <v>3.4630000000000001</v>
      </c>
      <c r="L19">
        <v>3.3580000000000001</v>
      </c>
      <c r="M19">
        <v>2.25</v>
      </c>
      <c r="N19">
        <v>1.982</v>
      </c>
      <c r="O19">
        <v>2.649</v>
      </c>
      <c r="P19">
        <v>0.86399999999999999</v>
      </c>
      <c r="Q19">
        <v>1.278</v>
      </c>
      <c r="R19">
        <v>1.649</v>
      </c>
      <c r="S19">
        <v>1.607</v>
      </c>
      <c r="T19">
        <v>2.1160000000000001</v>
      </c>
      <c r="U19">
        <v>3.22</v>
      </c>
      <c r="V19">
        <v>5.55</v>
      </c>
      <c r="W19">
        <v>5.8140000000000001</v>
      </c>
      <c r="X19">
        <v>3.4239999999999999</v>
      </c>
      <c r="Y19">
        <v>4.085</v>
      </c>
      <c r="Z19">
        <v>3.843</v>
      </c>
      <c r="AA19">
        <v>3.24</v>
      </c>
      <c r="AB19">
        <v>2.9630000000000001</v>
      </c>
    </row>
    <row r="20" spans="1:33" x14ac:dyDescent="0.2">
      <c r="A20" t="s">
        <v>10</v>
      </c>
      <c r="E20">
        <f t="shared" ref="E20:AB20" si="2">E18/287.515</f>
        <v>3.0279498460949865</v>
      </c>
      <c r="F20">
        <f t="shared" si="2"/>
        <v>4.0088899709580375</v>
      </c>
      <c r="G20">
        <f t="shared" si="2"/>
        <v>3.9107142236057246</v>
      </c>
      <c r="H20">
        <f t="shared" si="2"/>
        <v>5.0536180721005861</v>
      </c>
      <c r="I20">
        <f t="shared" si="2"/>
        <v>3.6051058205658832</v>
      </c>
      <c r="J20">
        <f t="shared" si="2"/>
        <v>1.6349512199363512</v>
      </c>
      <c r="K20">
        <f t="shared" si="2"/>
        <v>1.345060257725684</v>
      </c>
      <c r="L20">
        <f t="shared" si="2"/>
        <v>2.1868111228979359</v>
      </c>
      <c r="M20">
        <f t="shared" si="2"/>
        <v>4.3283967792984708</v>
      </c>
      <c r="N20">
        <f t="shared" si="2"/>
        <v>6.407610037737161</v>
      </c>
      <c r="O20">
        <f t="shared" si="2"/>
        <v>1.9684120828478515</v>
      </c>
      <c r="P20">
        <f t="shared" si="2"/>
        <v>6.2082569605064082</v>
      </c>
      <c r="Q20">
        <f t="shared" si="2"/>
        <v>6.175420412848025</v>
      </c>
      <c r="R20">
        <f t="shared" si="2"/>
        <v>3.3948176616872168</v>
      </c>
      <c r="S20">
        <f t="shared" si="2"/>
        <v>3.3377145540232691</v>
      </c>
      <c r="T20">
        <f t="shared" si="2"/>
        <v>3.6630227988104971</v>
      </c>
      <c r="U20">
        <f t="shared" si="2"/>
        <v>2.5577274229170652</v>
      </c>
      <c r="V20">
        <f t="shared" si="2"/>
        <v>5.90752482479175</v>
      </c>
      <c r="W20">
        <f t="shared" si="2"/>
        <v>5.0331147940107472</v>
      </c>
      <c r="X20">
        <f t="shared" si="2"/>
        <v>3.7208632593082096</v>
      </c>
      <c r="Y20">
        <f t="shared" si="2"/>
        <v>3.3146861902857245</v>
      </c>
      <c r="Z20">
        <f t="shared" si="2"/>
        <v>4.486569396379319</v>
      </c>
      <c r="AA20">
        <f t="shared" si="2"/>
        <v>5.5545832391353489</v>
      </c>
      <c r="AB20">
        <f t="shared" si="2"/>
        <v>5.527955063214093</v>
      </c>
    </row>
    <row r="22" spans="1:33" s="1" customFormat="1" x14ac:dyDescent="0.2">
      <c r="A22" s="1" t="s">
        <v>29</v>
      </c>
      <c r="C22" s="1" t="s">
        <v>23</v>
      </c>
      <c r="F22" s="1" t="s">
        <v>25</v>
      </c>
    </row>
    <row r="23" spans="1:33" x14ac:dyDescent="0.2">
      <c r="A23" t="s">
        <v>3</v>
      </c>
      <c r="B23">
        <v>214.18899999999999</v>
      </c>
      <c r="C23">
        <v>403.51600000000002</v>
      </c>
      <c r="D23">
        <v>442.30900000000003</v>
      </c>
      <c r="E23">
        <v>445</v>
      </c>
      <c r="F23">
        <v>511.29300000000001</v>
      </c>
      <c r="G23">
        <v>2551.605</v>
      </c>
      <c r="H23">
        <v>2927.328</v>
      </c>
      <c r="I23">
        <v>1537.117</v>
      </c>
      <c r="J23">
        <v>2706.1210000000001</v>
      </c>
      <c r="K23">
        <v>1284.68</v>
      </c>
      <c r="L23">
        <v>2550.1170000000002</v>
      </c>
      <c r="M23">
        <v>1351.2539999999999</v>
      </c>
      <c r="N23">
        <v>1021.852</v>
      </c>
      <c r="O23">
        <v>807.75400000000002</v>
      </c>
      <c r="P23">
        <v>1227.152</v>
      </c>
      <c r="Q23">
        <v>625.57799999999997</v>
      </c>
      <c r="R23">
        <v>731.52</v>
      </c>
      <c r="S23">
        <v>1729.7380000000001</v>
      </c>
      <c r="T23">
        <v>2961.0819999999999</v>
      </c>
      <c r="U23">
        <v>1953.2460000000001</v>
      </c>
      <c r="V23">
        <v>1514.1990000000001</v>
      </c>
      <c r="W23">
        <v>2332.3440000000001</v>
      </c>
      <c r="X23">
        <v>1838.3710000000001</v>
      </c>
      <c r="Y23">
        <v>856.30100000000004</v>
      </c>
      <c r="Z23">
        <v>1097.848</v>
      </c>
      <c r="AA23">
        <v>690.97699999999998</v>
      </c>
      <c r="AB23">
        <v>1502.184</v>
      </c>
      <c r="AC23">
        <v>1456.742</v>
      </c>
      <c r="AD23">
        <v>1146.2929999999999</v>
      </c>
      <c r="AE23">
        <v>873.62900000000002</v>
      </c>
      <c r="AF23">
        <v>542.53499999999997</v>
      </c>
      <c r="AG23">
        <v>497.98399999999998</v>
      </c>
    </row>
    <row r="24" spans="1:33" x14ac:dyDescent="0.2">
      <c r="A24" t="s">
        <v>4</v>
      </c>
      <c r="C24">
        <f>C23-B23</f>
        <v>189.32700000000003</v>
      </c>
      <c r="D24">
        <f>D23-B23</f>
        <v>228.12000000000003</v>
      </c>
      <c r="E24">
        <f>E23-B23</f>
        <v>230.81100000000001</v>
      </c>
      <c r="F24">
        <f>F23-B23</f>
        <v>297.10400000000004</v>
      </c>
      <c r="G24">
        <f>G23-B23</f>
        <v>2337.4160000000002</v>
      </c>
      <c r="H24">
        <f>H23-B23</f>
        <v>2713.1390000000001</v>
      </c>
      <c r="I24">
        <f>I23-B23</f>
        <v>1322.9279999999999</v>
      </c>
      <c r="J24">
        <f>J23-B23</f>
        <v>2491.9320000000002</v>
      </c>
      <c r="K24">
        <f>K23-B23</f>
        <v>1070.491</v>
      </c>
      <c r="L24">
        <f>L23-B23</f>
        <v>2335.9280000000003</v>
      </c>
      <c r="M24">
        <f>M23-B23</f>
        <v>1137.0649999999998</v>
      </c>
      <c r="N24">
        <f>N23-B23</f>
        <v>807.66300000000001</v>
      </c>
      <c r="O24">
        <f>O23-B23</f>
        <v>593.56500000000005</v>
      </c>
      <c r="P24">
        <f>P23-B23</f>
        <v>1012.9630000000001</v>
      </c>
      <c r="Q24">
        <f>Q23-B23</f>
        <v>411.38900000000001</v>
      </c>
      <c r="R24">
        <f>R23-B23</f>
        <v>517.33100000000002</v>
      </c>
      <c r="S24">
        <f>S23-B23</f>
        <v>1515.549</v>
      </c>
      <c r="T24">
        <f>T23-B23</f>
        <v>2746.893</v>
      </c>
      <c r="U24">
        <f>U23-B23</f>
        <v>1739.057</v>
      </c>
      <c r="V24">
        <f>V23-B23</f>
        <v>1300.01</v>
      </c>
      <c r="W24">
        <f>W23-B23</f>
        <v>2118.1550000000002</v>
      </c>
      <c r="X24">
        <f>X23-B23</f>
        <v>1624.182</v>
      </c>
      <c r="Y24">
        <f>Y23-B23</f>
        <v>642.11200000000008</v>
      </c>
      <c r="Z24">
        <f>Z23-B23</f>
        <v>883.65899999999999</v>
      </c>
      <c r="AA24">
        <f>AA23-B23</f>
        <v>476.78800000000001</v>
      </c>
      <c r="AB24">
        <f>AB23-B23</f>
        <v>1287.9949999999999</v>
      </c>
      <c r="AC24">
        <f>AC23-B23</f>
        <v>1242.5529999999999</v>
      </c>
      <c r="AD24">
        <f>AD23-B23</f>
        <v>932.10399999999993</v>
      </c>
      <c r="AE24">
        <f>AE23-B23</f>
        <v>659.44</v>
      </c>
      <c r="AF24">
        <f>AF23-B23</f>
        <v>328.346</v>
      </c>
      <c r="AG24">
        <f>AG23-B23</f>
        <v>283.79499999999996</v>
      </c>
    </row>
    <row r="25" spans="1:33" x14ac:dyDescent="0.2">
      <c r="A25" t="s">
        <v>5</v>
      </c>
      <c r="C25">
        <v>4.6130000000000004</v>
      </c>
      <c r="D25">
        <v>3.5569999999999999</v>
      </c>
      <c r="E25">
        <v>4.5039999999999996</v>
      </c>
      <c r="F25">
        <v>5.4779999999999998</v>
      </c>
      <c r="G25">
        <v>3.9009999999999998</v>
      </c>
      <c r="H25">
        <v>2.93</v>
      </c>
      <c r="I25">
        <v>2.2229999999999999</v>
      </c>
      <c r="J25">
        <v>2.5379999999999998</v>
      </c>
      <c r="K25">
        <v>2.722</v>
      </c>
      <c r="L25">
        <v>1.796</v>
      </c>
      <c r="M25">
        <v>1.3089999999999999</v>
      </c>
      <c r="N25">
        <v>1.5429999999999999</v>
      </c>
      <c r="O25">
        <v>2.798</v>
      </c>
      <c r="P25">
        <v>2.8159999999999998</v>
      </c>
      <c r="Q25">
        <v>1.9570000000000001</v>
      </c>
      <c r="R25">
        <v>3.8290000000000002</v>
      </c>
      <c r="S25">
        <v>3.6280000000000001</v>
      </c>
      <c r="T25">
        <v>3.4529999999999998</v>
      </c>
      <c r="U25">
        <v>3.8340000000000001</v>
      </c>
      <c r="V25">
        <v>2.4449999999999998</v>
      </c>
      <c r="W25">
        <v>2.6190000000000002</v>
      </c>
      <c r="X25">
        <v>2.6</v>
      </c>
      <c r="Y25">
        <v>4.0750000000000002</v>
      </c>
      <c r="Z25">
        <v>4.524</v>
      </c>
      <c r="AA25">
        <v>4.5419999999999998</v>
      </c>
      <c r="AB25">
        <v>2.992</v>
      </c>
      <c r="AC25">
        <v>2.6419999999999999</v>
      </c>
      <c r="AD25">
        <v>2.8820000000000001</v>
      </c>
      <c r="AE25">
        <v>1.7490000000000001</v>
      </c>
      <c r="AF25">
        <v>5.8949999999999996</v>
      </c>
      <c r="AG25">
        <v>3.7440000000000002</v>
      </c>
    </row>
    <row r="26" spans="1:33" x14ac:dyDescent="0.2">
      <c r="A26" t="s">
        <v>6</v>
      </c>
      <c r="C26">
        <f t="shared" ref="C26:AG26" si="3">SQRT(1+C25^2)</f>
        <v>4.7201450189586343</v>
      </c>
      <c r="D26">
        <f t="shared" si="3"/>
        <v>3.6948949917419847</v>
      </c>
      <c r="E26">
        <f t="shared" si="3"/>
        <v>4.6136770584859965</v>
      </c>
      <c r="F26">
        <f t="shared" si="3"/>
        <v>5.5685261964006232</v>
      </c>
      <c r="G26">
        <f t="shared" si="3"/>
        <v>4.0271330993648569</v>
      </c>
      <c r="H26">
        <f t="shared" si="3"/>
        <v>3.0959489659876502</v>
      </c>
      <c r="I26">
        <f t="shared" si="3"/>
        <v>2.4375662042291282</v>
      </c>
      <c r="J26">
        <f t="shared" si="3"/>
        <v>2.7279010245974833</v>
      </c>
      <c r="K26">
        <f t="shared" si="3"/>
        <v>2.8998765490965299</v>
      </c>
      <c r="L26">
        <f t="shared" si="3"/>
        <v>2.0556303169587671</v>
      </c>
      <c r="M26">
        <f t="shared" si="3"/>
        <v>1.647264702468914</v>
      </c>
      <c r="N26">
        <f t="shared" si="3"/>
        <v>1.838708514147906</v>
      </c>
      <c r="O26">
        <f t="shared" si="3"/>
        <v>2.9713303417829531</v>
      </c>
      <c r="P26">
        <f t="shared" si="3"/>
        <v>2.9882864655183243</v>
      </c>
      <c r="Q26">
        <f t="shared" si="3"/>
        <v>2.1976917436255703</v>
      </c>
      <c r="R26">
        <f t="shared" si="3"/>
        <v>3.9574285843208847</v>
      </c>
      <c r="S26">
        <f t="shared" si="3"/>
        <v>3.7632943015395437</v>
      </c>
      <c r="T26">
        <f t="shared" si="3"/>
        <v>3.5948865072488725</v>
      </c>
      <c r="U26">
        <f t="shared" si="3"/>
        <v>3.9622665230900358</v>
      </c>
      <c r="V26">
        <f t="shared" si="3"/>
        <v>2.6415951620185858</v>
      </c>
      <c r="W26">
        <f t="shared" si="3"/>
        <v>2.8034195190873592</v>
      </c>
      <c r="X26">
        <f t="shared" si="3"/>
        <v>2.7856776554368241</v>
      </c>
      <c r="Y26">
        <f t="shared" si="3"/>
        <v>4.195905742506616</v>
      </c>
      <c r="Z26">
        <f t="shared" si="3"/>
        <v>4.6332036432688772</v>
      </c>
      <c r="AA26">
        <f t="shared" si="3"/>
        <v>4.6507810096799869</v>
      </c>
      <c r="AB26">
        <f t="shared" si="3"/>
        <v>3.1546892081471354</v>
      </c>
      <c r="AC26">
        <f t="shared" si="3"/>
        <v>2.8249184059013102</v>
      </c>
      <c r="AD26">
        <f t="shared" si="3"/>
        <v>3.0505612598340002</v>
      </c>
      <c r="AE26">
        <f t="shared" si="3"/>
        <v>2.0146962550220815</v>
      </c>
      <c r="AF26">
        <f t="shared" si="3"/>
        <v>5.979216085742344</v>
      </c>
      <c r="AG26">
        <f t="shared" si="3"/>
        <v>3.8752465728002394</v>
      </c>
    </row>
    <row r="27" spans="1:33" x14ac:dyDescent="0.2">
      <c r="A27" t="s">
        <v>10</v>
      </c>
      <c r="F27">
        <f t="shared" ref="F27:AG27" si="4">F24/287.515</f>
        <v>1.033351303410257</v>
      </c>
      <c r="G27">
        <f t="shared" si="4"/>
        <v>8.1297184494722021</v>
      </c>
      <c r="H27">
        <f t="shared" si="4"/>
        <v>9.4365128775889957</v>
      </c>
      <c r="I27">
        <f t="shared" si="4"/>
        <v>4.6012486305062339</v>
      </c>
      <c r="J27">
        <f t="shared" si="4"/>
        <v>8.6671373667460845</v>
      </c>
      <c r="K27">
        <f t="shared" si="4"/>
        <v>3.7232526998591378</v>
      </c>
      <c r="L27">
        <f t="shared" si="4"/>
        <v>8.1245430673182284</v>
      </c>
      <c r="M27">
        <f t="shared" si="4"/>
        <v>3.9548023581378358</v>
      </c>
      <c r="N27">
        <f t="shared" si="4"/>
        <v>2.8091160461193332</v>
      </c>
      <c r="O27">
        <f t="shared" si="4"/>
        <v>2.0644662017633864</v>
      </c>
      <c r="P27">
        <f t="shared" si="4"/>
        <v>3.5231657478740246</v>
      </c>
      <c r="Q27">
        <f t="shared" si="4"/>
        <v>1.4308436081595743</v>
      </c>
      <c r="R27">
        <f t="shared" si="4"/>
        <v>1.7993182964367078</v>
      </c>
      <c r="S27">
        <f t="shared" si="4"/>
        <v>5.2711997634906007</v>
      </c>
      <c r="T27">
        <f t="shared" si="4"/>
        <v>9.5539119698102706</v>
      </c>
      <c r="U27">
        <f t="shared" si="4"/>
        <v>6.0485783350433895</v>
      </c>
      <c r="V27">
        <f t="shared" si="4"/>
        <v>4.5215380067126931</v>
      </c>
      <c r="W27">
        <f t="shared" si="4"/>
        <v>7.3671112811505495</v>
      </c>
      <c r="X27">
        <f t="shared" si="4"/>
        <v>5.6490339634453859</v>
      </c>
      <c r="Y27">
        <f t="shared" si="4"/>
        <v>2.2333165226162115</v>
      </c>
      <c r="Z27">
        <f t="shared" si="4"/>
        <v>3.0734361685477283</v>
      </c>
      <c r="AA27">
        <f t="shared" si="4"/>
        <v>1.6583065231379233</v>
      </c>
      <c r="AB27">
        <f t="shared" si="4"/>
        <v>4.4797488826669909</v>
      </c>
      <c r="AC27">
        <f t="shared" si="4"/>
        <v>4.3216979983653028</v>
      </c>
      <c r="AD27">
        <f t="shared" si="4"/>
        <v>3.2419317253012885</v>
      </c>
      <c r="AE27">
        <f t="shared" si="4"/>
        <v>2.2935846825383028</v>
      </c>
      <c r="AF27">
        <f t="shared" si="4"/>
        <v>1.1420134601672958</v>
      </c>
      <c r="AG27">
        <f t="shared" si="4"/>
        <v>0.98706154461506346</v>
      </c>
    </row>
    <row r="29" spans="1:33" s="1" customFormat="1" x14ac:dyDescent="0.2">
      <c r="A29" s="1" t="s">
        <v>13</v>
      </c>
      <c r="C29" s="1" t="s">
        <v>23</v>
      </c>
      <c r="F29" s="1" t="s">
        <v>25</v>
      </c>
    </row>
    <row r="30" spans="1:33" x14ac:dyDescent="0.2">
      <c r="A30" t="s">
        <v>9</v>
      </c>
      <c r="B30">
        <v>214.18899999999999</v>
      </c>
      <c r="C30">
        <v>492.60899999999998</v>
      </c>
      <c r="D30">
        <v>541.79700000000003</v>
      </c>
      <c r="E30">
        <v>528.80499999999995</v>
      </c>
      <c r="F30">
        <v>636.07000000000005</v>
      </c>
      <c r="G30">
        <v>506.70699999999999</v>
      </c>
      <c r="H30">
        <v>821.34400000000005</v>
      </c>
      <c r="I30">
        <v>1335.59</v>
      </c>
      <c r="J30">
        <v>2038.383</v>
      </c>
      <c r="K30">
        <v>2000.9490000000001</v>
      </c>
      <c r="L30">
        <v>1647.375</v>
      </c>
      <c r="M30">
        <v>1761.7619999999999</v>
      </c>
      <c r="N30">
        <v>1321.18</v>
      </c>
      <c r="O30">
        <v>1248.8869999999999</v>
      </c>
      <c r="P30">
        <v>976.23800000000006</v>
      </c>
      <c r="Q30">
        <v>1460.1130000000001</v>
      </c>
      <c r="R30">
        <v>1240.395</v>
      </c>
      <c r="S30">
        <v>1480.125</v>
      </c>
      <c r="T30">
        <v>1470.316</v>
      </c>
      <c r="U30">
        <v>2489.172</v>
      </c>
      <c r="V30">
        <v>1856.3240000000001</v>
      </c>
    </row>
    <row r="31" spans="1:33" x14ac:dyDescent="0.2">
      <c r="A31" t="s">
        <v>4</v>
      </c>
      <c r="C31">
        <f>C30-B30</f>
        <v>278.41999999999996</v>
      </c>
      <c r="D31">
        <f>D30-B30</f>
        <v>327.60800000000006</v>
      </c>
      <c r="E31">
        <f>E30-B30</f>
        <v>314.61599999999999</v>
      </c>
      <c r="F31">
        <f>F30-B30</f>
        <v>421.88100000000009</v>
      </c>
      <c r="G31">
        <f>G30-B30</f>
        <v>292.51800000000003</v>
      </c>
      <c r="H31">
        <f>H30-B30</f>
        <v>607.15500000000009</v>
      </c>
      <c r="I31">
        <f>I30-B30</f>
        <v>1121.4009999999998</v>
      </c>
      <c r="J31">
        <f>J30-B30</f>
        <v>1824.194</v>
      </c>
      <c r="K31">
        <f>K30-B30</f>
        <v>1786.76</v>
      </c>
      <c r="L31">
        <f>L30-B30</f>
        <v>1433.1859999999999</v>
      </c>
      <c r="M31">
        <f>M30-B30</f>
        <v>1547.5729999999999</v>
      </c>
      <c r="N31">
        <f>N30-B30</f>
        <v>1106.991</v>
      </c>
      <c r="O31">
        <f>O30-B30</f>
        <v>1034.6979999999999</v>
      </c>
      <c r="P31">
        <f>P30-B30</f>
        <v>762.04900000000009</v>
      </c>
      <c r="Q31">
        <f>Q30-B30</f>
        <v>1245.924</v>
      </c>
      <c r="R31">
        <f>R30-B30</f>
        <v>1026.2059999999999</v>
      </c>
      <c r="S31">
        <f>S30-B30</f>
        <v>1265.9359999999999</v>
      </c>
      <c r="T31">
        <f>T30-B30</f>
        <v>1256.127</v>
      </c>
      <c r="U31">
        <f>U30-B30</f>
        <v>2274.9830000000002</v>
      </c>
      <c r="V31">
        <f>V30-B30</f>
        <v>1642.135</v>
      </c>
    </row>
    <row r="32" spans="1:33" x14ac:dyDescent="0.2">
      <c r="A32" t="s">
        <v>5</v>
      </c>
      <c r="C32">
        <v>18.201000000000001</v>
      </c>
      <c r="D32">
        <v>18.555</v>
      </c>
      <c r="E32">
        <v>5.1989999999999998</v>
      </c>
      <c r="F32">
        <v>4.1130000000000004</v>
      </c>
      <c r="G32">
        <v>4.72</v>
      </c>
      <c r="H32">
        <v>2.6539999999999999</v>
      </c>
      <c r="I32">
        <v>0.995</v>
      </c>
      <c r="J32">
        <v>1.151</v>
      </c>
      <c r="K32">
        <v>1.123</v>
      </c>
      <c r="L32">
        <v>1.4039999999999999</v>
      </c>
      <c r="M32">
        <v>2.0259999999999998</v>
      </c>
      <c r="N32">
        <v>2.6040000000000001</v>
      </c>
      <c r="O32">
        <v>3.22</v>
      </c>
      <c r="P32">
        <v>3.9169999999999998</v>
      </c>
      <c r="Q32">
        <v>1.633</v>
      </c>
      <c r="R32">
        <v>1.542</v>
      </c>
      <c r="S32">
        <v>2.2610000000000001</v>
      </c>
      <c r="T32">
        <v>2.964</v>
      </c>
      <c r="U32">
        <v>2.8610000000000002</v>
      </c>
      <c r="V32">
        <v>3.1070000000000002</v>
      </c>
    </row>
    <row r="33" spans="1:22" x14ac:dyDescent="0.2">
      <c r="A33" t="s">
        <v>17</v>
      </c>
      <c r="C33">
        <f t="shared" ref="C33:V33" si="5">SQRT(4+C32^2)</f>
        <v>18.310554360805138</v>
      </c>
      <c r="D33">
        <f t="shared" si="5"/>
        <v>18.662476389804223</v>
      </c>
      <c r="E33">
        <f t="shared" si="5"/>
        <v>5.5704219768344299</v>
      </c>
      <c r="F33">
        <f t="shared" si="5"/>
        <v>4.5734854323590017</v>
      </c>
      <c r="G33">
        <f t="shared" si="5"/>
        <v>5.126246189952254</v>
      </c>
      <c r="H33">
        <f t="shared" si="5"/>
        <v>3.3232086904075104</v>
      </c>
      <c r="I33">
        <f t="shared" si="5"/>
        <v>2.2338363861303718</v>
      </c>
      <c r="J33">
        <f t="shared" si="5"/>
        <v>2.3075530329767071</v>
      </c>
      <c r="K33">
        <f t="shared" si="5"/>
        <v>2.293715108726452</v>
      </c>
      <c r="L33">
        <f t="shared" si="5"/>
        <v>2.4436071697390314</v>
      </c>
      <c r="M33">
        <f t="shared" si="5"/>
        <v>2.8468712650908539</v>
      </c>
      <c r="N33">
        <f t="shared" si="5"/>
        <v>3.2834152950852871</v>
      </c>
      <c r="O33">
        <f t="shared" si="5"/>
        <v>3.7905672398732095</v>
      </c>
      <c r="P33">
        <f t="shared" si="5"/>
        <v>4.3980551383537705</v>
      </c>
      <c r="Q33">
        <f t="shared" si="5"/>
        <v>2.5819932222993924</v>
      </c>
      <c r="R33">
        <f t="shared" si="5"/>
        <v>2.5254235288363018</v>
      </c>
      <c r="S33">
        <f t="shared" si="5"/>
        <v>3.0186289934339396</v>
      </c>
      <c r="T33">
        <f t="shared" si="5"/>
        <v>3.5756532270341879</v>
      </c>
      <c r="U33">
        <f t="shared" si="5"/>
        <v>3.4907479141295785</v>
      </c>
      <c r="V33">
        <f t="shared" si="5"/>
        <v>3.69505737438541</v>
      </c>
    </row>
    <row r="34" spans="1:22" x14ac:dyDescent="0.2">
      <c r="A34" t="s">
        <v>10</v>
      </c>
      <c r="F34">
        <f t="shared" ref="F34:V34" si="6">F31/287.515</f>
        <v>1.4673356172721428</v>
      </c>
      <c r="G34">
        <f t="shared" si="6"/>
        <v>1.0174008312609779</v>
      </c>
      <c r="H34">
        <f t="shared" si="6"/>
        <v>2.1117333008712591</v>
      </c>
      <c r="I34">
        <f t="shared" si="6"/>
        <v>3.9003217223449207</v>
      </c>
      <c r="J34">
        <f t="shared" si="6"/>
        <v>6.3446915813088012</v>
      </c>
      <c r="K34">
        <f t="shared" si="6"/>
        <v>6.2144931568787722</v>
      </c>
      <c r="L34">
        <f t="shared" si="6"/>
        <v>4.9847347094934173</v>
      </c>
      <c r="M34">
        <f t="shared" si="6"/>
        <v>5.3825817783419989</v>
      </c>
      <c r="N34">
        <f t="shared" si="6"/>
        <v>3.8502025981253154</v>
      </c>
      <c r="O34">
        <f t="shared" si="6"/>
        <v>3.5987618037319788</v>
      </c>
      <c r="P34">
        <f t="shared" si="6"/>
        <v>2.6504669321600618</v>
      </c>
      <c r="Q34">
        <f t="shared" si="6"/>
        <v>4.3334226040380504</v>
      </c>
      <c r="R34">
        <f t="shared" si="6"/>
        <v>3.5692259534285165</v>
      </c>
      <c r="S34">
        <f t="shared" si="6"/>
        <v>4.4030259290819611</v>
      </c>
      <c r="T34">
        <f t="shared" si="6"/>
        <v>4.3689094482027029</v>
      </c>
      <c r="U34">
        <f t="shared" si="6"/>
        <v>7.9125715180077574</v>
      </c>
      <c r="V34">
        <f t="shared" si="6"/>
        <v>5.711475922995322</v>
      </c>
    </row>
    <row r="36" spans="1:22" s="1" customFormat="1" x14ac:dyDescent="0.2">
      <c r="A36" s="1" t="s">
        <v>14</v>
      </c>
      <c r="C36" s="1" t="s">
        <v>23</v>
      </c>
      <c r="D36" s="1" t="s">
        <v>25</v>
      </c>
    </row>
    <row r="37" spans="1:22" x14ac:dyDescent="0.2">
      <c r="A37" t="s">
        <v>9</v>
      </c>
      <c r="B37">
        <v>214.18899999999999</v>
      </c>
      <c r="C37">
        <v>594.41</v>
      </c>
      <c r="D37">
        <v>689.46100000000001</v>
      </c>
      <c r="E37">
        <v>490.42599999999999</v>
      </c>
      <c r="F37">
        <v>1606.152</v>
      </c>
      <c r="G37">
        <v>975.28099999999995</v>
      </c>
      <c r="H37">
        <v>360</v>
      </c>
      <c r="I37">
        <v>893.07</v>
      </c>
      <c r="J37">
        <v>872.92200000000003</v>
      </c>
    </row>
    <row r="38" spans="1:22" x14ac:dyDescent="0.2">
      <c r="A38" t="s">
        <v>4</v>
      </c>
      <c r="C38">
        <f>C37-B37</f>
        <v>380.221</v>
      </c>
      <c r="D38">
        <f>D37-B37</f>
        <v>475.27200000000005</v>
      </c>
      <c r="E38">
        <f>E37-B37</f>
        <v>276.23699999999997</v>
      </c>
      <c r="F38">
        <f>F37-B37</f>
        <v>1391.963</v>
      </c>
      <c r="G38">
        <f>G37-B37</f>
        <v>761.09199999999998</v>
      </c>
      <c r="H38">
        <f>H37-B37</f>
        <v>145.81100000000001</v>
      </c>
      <c r="I38">
        <f>I37-B37</f>
        <v>678.88100000000009</v>
      </c>
      <c r="J38">
        <f>J37-B37</f>
        <v>658.73300000000006</v>
      </c>
    </row>
    <row r="39" spans="1:22" x14ac:dyDescent="0.2">
      <c r="A39" t="s">
        <v>5</v>
      </c>
      <c r="C39">
        <v>5.9889999999999999</v>
      </c>
      <c r="D39">
        <v>2.2850000000000001</v>
      </c>
      <c r="E39">
        <v>1.5069999999999999</v>
      </c>
      <c r="F39">
        <v>0.81399999999999995</v>
      </c>
      <c r="G39">
        <v>1.2450000000000001</v>
      </c>
      <c r="H39">
        <v>2.9089999999999998</v>
      </c>
      <c r="I39">
        <v>18.256</v>
      </c>
      <c r="J39">
        <v>18.532</v>
      </c>
    </row>
    <row r="40" spans="1:22" x14ac:dyDescent="0.2">
      <c r="A40" t="s">
        <v>6</v>
      </c>
      <c r="C40">
        <f t="shared" ref="C40:J40" si="7">SQRT(9+C39^2)</f>
        <v>6.6983670398090309</v>
      </c>
      <c r="D40">
        <f t="shared" si="7"/>
        <v>3.7711039497738592</v>
      </c>
      <c r="E40">
        <f t="shared" si="7"/>
        <v>3.3572382995551568</v>
      </c>
      <c r="F40">
        <f t="shared" si="7"/>
        <v>3.1084716501843799</v>
      </c>
      <c r="G40">
        <f t="shared" si="7"/>
        <v>3.2480802022117619</v>
      </c>
      <c r="H40">
        <f t="shared" si="7"/>
        <v>4.1787894180013421</v>
      </c>
      <c r="I40">
        <f t="shared" si="7"/>
        <v>18.500852304691264</v>
      </c>
      <c r="J40">
        <f t="shared" si="7"/>
        <v>18.773252888085217</v>
      </c>
    </row>
    <row r="41" spans="1:22" x14ac:dyDescent="0.2">
      <c r="A41" t="s">
        <v>10</v>
      </c>
      <c r="D41">
        <f t="shared" ref="D41:J41" si="8">D38/287.515</f>
        <v>1.6530337547606215</v>
      </c>
      <c r="E41">
        <f t="shared" si="8"/>
        <v>0.96077422047545336</v>
      </c>
      <c r="F41">
        <f t="shared" si="8"/>
        <v>4.8413578421995371</v>
      </c>
      <c r="G41">
        <f t="shared" si="8"/>
        <v>2.6471384101699043</v>
      </c>
      <c r="H41">
        <f t="shared" si="8"/>
        <v>0.50714223605724928</v>
      </c>
      <c r="I41">
        <f t="shared" si="8"/>
        <v>2.361202024242214</v>
      </c>
      <c r="J41">
        <f t="shared" si="8"/>
        <v>2.2911256803992837</v>
      </c>
    </row>
    <row r="43" spans="1:22" s="1" customFormat="1" x14ac:dyDescent="0.2">
      <c r="A43" s="1" t="s">
        <v>15</v>
      </c>
      <c r="C43" s="1" t="s">
        <v>23</v>
      </c>
      <c r="D43" s="1" t="s">
        <v>24</v>
      </c>
    </row>
    <row r="44" spans="1:22" x14ac:dyDescent="0.2">
      <c r="A44" t="s">
        <v>9</v>
      </c>
      <c r="B44">
        <v>214.18899999999999</v>
      </c>
      <c r="C44">
        <v>468.89100000000002</v>
      </c>
      <c r="D44">
        <v>481.74599999999998</v>
      </c>
      <c r="E44">
        <v>356.77699999999999</v>
      </c>
    </row>
    <row r="45" spans="1:22" x14ac:dyDescent="0.2">
      <c r="A45" t="s">
        <v>21</v>
      </c>
      <c r="C45">
        <f>C44-B44</f>
        <v>254.70200000000003</v>
      </c>
      <c r="D45">
        <f>D44-B44</f>
        <v>267.55700000000002</v>
      </c>
      <c r="E45">
        <f>E44-B44</f>
        <v>142.58799999999999</v>
      </c>
    </row>
    <row r="46" spans="1:22" x14ac:dyDescent="0.2">
      <c r="A46" t="s">
        <v>5</v>
      </c>
      <c r="C46">
        <v>5.8730000000000002</v>
      </c>
      <c r="D46">
        <v>0.91700000000000004</v>
      </c>
      <c r="E46">
        <v>18.007000000000001</v>
      </c>
    </row>
    <row r="47" spans="1:22" x14ac:dyDescent="0.2">
      <c r="A47" t="s">
        <v>6</v>
      </c>
      <c r="C47">
        <f>SQRT(16+C46^2)</f>
        <v>7.1057813785677366</v>
      </c>
      <c r="D47">
        <f>SQRT(16+D46^2)</f>
        <v>4.1037652223293675</v>
      </c>
      <c r="E47">
        <f>SQRT(16+E46^2)</f>
        <v>18.445922286510914</v>
      </c>
    </row>
    <row r="48" spans="1:22" x14ac:dyDescent="0.2">
      <c r="A48" t="s">
        <v>10</v>
      </c>
      <c r="D48">
        <f>D45/287.515</f>
        <v>0.93058449124393516</v>
      </c>
      <c r="E48">
        <f>E45/287.515</f>
        <v>0.49593238613637547</v>
      </c>
    </row>
    <row r="50" spans="1:3" s="1" customFormat="1" x14ac:dyDescent="0.2">
      <c r="A50" s="1" t="s">
        <v>16</v>
      </c>
    </row>
    <row r="51" spans="1:3" x14ac:dyDescent="0.2">
      <c r="A51" t="s">
        <v>9</v>
      </c>
    </row>
    <row r="52" spans="1:3" x14ac:dyDescent="0.2">
      <c r="A52" t="s">
        <v>4</v>
      </c>
    </row>
    <row r="53" spans="1:3" x14ac:dyDescent="0.2">
      <c r="A53" t="s">
        <v>31</v>
      </c>
    </row>
    <row r="54" spans="1:3" x14ac:dyDescent="0.2">
      <c r="A54" t="s">
        <v>6</v>
      </c>
    </row>
    <row r="55" spans="1:3" x14ac:dyDescent="0.2">
      <c r="A55" t="s">
        <v>10</v>
      </c>
    </row>
    <row r="57" spans="1:3" s="1" customFormat="1" x14ac:dyDescent="0.2">
      <c r="A57" s="1" t="s">
        <v>18</v>
      </c>
    </row>
    <row r="58" spans="1:3" x14ac:dyDescent="0.2">
      <c r="A58" t="s">
        <v>9</v>
      </c>
    </row>
    <row r="59" spans="1:3" x14ac:dyDescent="0.2">
      <c r="A59" t="s">
        <v>4</v>
      </c>
    </row>
    <row r="60" spans="1:3" x14ac:dyDescent="0.2">
      <c r="A60" t="s">
        <v>5</v>
      </c>
    </row>
    <row r="61" spans="1:3" x14ac:dyDescent="0.2">
      <c r="A61" t="s">
        <v>6</v>
      </c>
    </row>
    <row r="62" spans="1:3" x14ac:dyDescent="0.2">
      <c r="A62" t="s">
        <v>10</v>
      </c>
    </row>
    <row r="64" spans="1:3" s="1" customFormat="1" x14ac:dyDescent="0.2">
      <c r="A64" s="1" t="s">
        <v>19</v>
      </c>
      <c r="C64" s="1" t="s">
        <v>25</v>
      </c>
    </row>
    <row r="65" spans="1:3" x14ac:dyDescent="0.2">
      <c r="A65" t="s">
        <v>9</v>
      </c>
      <c r="B65">
        <v>214.18899999999999</v>
      </c>
      <c r="C65">
        <v>729.38300000000004</v>
      </c>
    </row>
    <row r="66" spans="1:3" x14ac:dyDescent="0.2">
      <c r="A66" t="s">
        <v>4</v>
      </c>
      <c r="C66">
        <f>C65-B65</f>
        <v>515.19400000000007</v>
      </c>
    </row>
    <row r="67" spans="1:3" x14ac:dyDescent="0.2">
      <c r="A67" t="s">
        <v>5</v>
      </c>
      <c r="C67">
        <v>25.797999999999998</v>
      </c>
    </row>
    <row r="68" spans="1:3" x14ac:dyDescent="0.2">
      <c r="A68" t="s">
        <v>6</v>
      </c>
      <c r="C68">
        <f>SQRT(49+C67^2)</f>
        <v>26.730821236916757</v>
      </c>
    </row>
    <row r="69" spans="1:3" x14ac:dyDescent="0.2">
      <c r="A69" t="s">
        <v>10</v>
      </c>
      <c r="C69">
        <f>C66/287.515</f>
        <v>1.7918856407491786</v>
      </c>
    </row>
    <row r="71" spans="1:3" s="1" customFormat="1" x14ac:dyDescent="0.2">
      <c r="A71" s="1" t="s">
        <v>37</v>
      </c>
      <c r="C71" s="1" t="s">
        <v>24</v>
      </c>
    </row>
    <row r="72" spans="1:3" x14ac:dyDescent="0.2">
      <c r="A72" t="s">
        <v>9</v>
      </c>
      <c r="B72">
        <v>214.18899999999999</v>
      </c>
      <c r="C72">
        <v>638.78499999999997</v>
      </c>
    </row>
    <row r="73" spans="1:3" x14ac:dyDescent="0.2">
      <c r="A73" t="s">
        <v>4</v>
      </c>
      <c r="C73">
        <f>C72-B72</f>
        <v>424.596</v>
      </c>
    </row>
    <row r="74" spans="1:3" x14ac:dyDescent="0.2">
      <c r="A74" t="s">
        <v>5</v>
      </c>
      <c r="C74">
        <v>25.821000000000002</v>
      </c>
    </row>
    <row r="75" spans="1:3" x14ac:dyDescent="0.2">
      <c r="A75" t="s">
        <v>17</v>
      </c>
      <c r="C75">
        <f>SQRT(64+C74^2)</f>
        <v>27.031907831301883</v>
      </c>
    </row>
    <row r="76" spans="1:3" x14ac:dyDescent="0.2">
      <c r="A76" t="s">
        <v>10</v>
      </c>
      <c r="C76">
        <f>C73/287.515</f>
        <v>1.4767786028555032</v>
      </c>
    </row>
    <row r="78" spans="1:3" s="1" customFormat="1" x14ac:dyDescent="0.2">
      <c r="A78" s="1" t="s">
        <v>22</v>
      </c>
      <c r="C78" s="1" t="s">
        <v>25</v>
      </c>
    </row>
    <row r="79" spans="1:3" x14ac:dyDescent="0.2">
      <c r="A79" t="s">
        <v>9</v>
      </c>
      <c r="B79">
        <v>214.18899999999999</v>
      </c>
      <c r="C79">
        <v>363.00799999999998</v>
      </c>
    </row>
    <row r="80" spans="1:3" x14ac:dyDescent="0.2">
      <c r="A80" t="s">
        <v>4</v>
      </c>
      <c r="C80">
        <f>C79-B79</f>
        <v>148.81899999999999</v>
      </c>
    </row>
    <row r="81" spans="1:3" x14ac:dyDescent="0.2">
      <c r="A81" t="s">
        <v>5</v>
      </c>
      <c r="C81">
        <v>22.843</v>
      </c>
    </row>
    <row r="82" spans="1:3" x14ac:dyDescent="0.2">
      <c r="A82" t="s">
        <v>6</v>
      </c>
      <c r="C82">
        <f>SQRT(81+C81^2)</f>
        <v>24.552039609775804</v>
      </c>
    </row>
    <row r="83" spans="1:3" x14ac:dyDescent="0.2">
      <c r="A83" t="s">
        <v>10</v>
      </c>
      <c r="C83">
        <f>C80/287.515</f>
        <v>0.51760429890614401</v>
      </c>
    </row>
    <row r="85" spans="1:3" x14ac:dyDescent="0.2">
      <c r="A85" t="s">
        <v>33</v>
      </c>
      <c r="B85">
        <f>AVERAGE(C45,C38,C31:E31,C24:E24,C18:D18)</f>
        <v>287.51460000000009</v>
      </c>
    </row>
    <row r="86" spans="1:3" x14ac:dyDescent="0.2">
      <c r="A86" t="s">
        <v>27</v>
      </c>
      <c r="B86">
        <v>53.451999999999998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80E9-93F6-C34F-99AA-7844CF6BEDB2}">
  <dimension ref="A1:M94"/>
  <sheetViews>
    <sheetView topLeftCell="A50" workbookViewId="0">
      <selection activeCell="S101" sqref="S101"/>
    </sheetView>
  </sheetViews>
  <sheetFormatPr baseColWidth="10" defaultColWidth="8.83203125" defaultRowHeight="15" x14ac:dyDescent="0.2"/>
  <cols>
    <col min="1" max="1" width="18.83203125" customWidth="1"/>
    <col min="2" max="2" width="19.83203125" customWidth="1"/>
  </cols>
  <sheetData>
    <row r="1" spans="1:6" x14ac:dyDescent="0.2">
      <c r="A1" t="s">
        <v>278</v>
      </c>
    </row>
    <row r="2" spans="1:6" s="1" customFormat="1" x14ac:dyDescent="0.2">
      <c r="A2" s="1" t="s">
        <v>1</v>
      </c>
      <c r="B2" s="1" t="s">
        <v>256</v>
      </c>
      <c r="C2" s="1" t="s">
        <v>23</v>
      </c>
    </row>
    <row r="3" spans="1:6" x14ac:dyDescent="0.2">
      <c r="A3" t="s">
        <v>3</v>
      </c>
      <c r="B3">
        <v>241.93799999999999</v>
      </c>
      <c r="C3">
        <v>571.45299999999997</v>
      </c>
      <c r="D3">
        <v>401.63299999999998</v>
      </c>
    </row>
    <row r="4" spans="1:6" x14ac:dyDescent="0.2">
      <c r="A4" t="s">
        <v>4</v>
      </c>
      <c r="C4">
        <f>C3-B3</f>
        <v>329.51499999999999</v>
      </c>
      <c r="D4">
        <f>D3-B3</f>
        <v>159.69499999999999</v>
      </c>
    </row>
    <row r="5" spans="1:6" x14ac:dyDescent="0.2">
      <c r="A5" t="s">
        <v>5</v>
      </c>
      <c r="C5">
        <v>4.6230000000000002</v>
      </c>
      <c r="D5">
        <v>13.045999999999999</v>
      </c>
    </row>
    <row r="6" spans="1:6" x14ac:dyDescent="0.2">
      <c r="A6" t="s">
        <v>6</v>
      </c>
      <c r="C6">
        <f>SQRT(64+C5^2)</f>
        <v>9.2397039454735772</v>
      </c>
      <c r="D6">
        <f>SQRT(64+D5^2)</f>
        <v>15.303532794750367</v>
      </c>
    </row>
    <row r="7" spans="1:6" x14ac:dyDescent="0.2">
      <c r="A7" t="s">
        <v>10</v>
      </c>
    </row>
    <row r="9" spans="1:6" s="1" customFormat="1" x14ac:dyDescent="0.2">
      <c r="A9" s="1" t="s">
        <v>8</v>
      </c>
      <c r="C9" s="1" t="s">
        <v>25</v>
      </c>
    </row>
    <row r="10" spans="1:6" x14ac:dyDescent="0.2">
      <c r="A10" t="s">
        <v>3</v>
      </c>
      <c r="B10">
        <v>241.93799999999999</v>
      </c>
      <c r="C10">
        <v>748.91800000000001</v>
      </c>
      <c r="D10">
        <v>695.92600000000004</v>
      </c>
      <c r="E10">
        <v>723.10199999999998</v>
      </c>
      <c r="F10">
        <v>385.24200000000002</v>
      </c>
    </row>
    <row r="11" spans="1:6" x14ac:dyDescent="0.2">
      <c r="A11" t="s">
        <v>21</v>
      </c>
      <c r="C11">
        <f>C10-B10</f>
        <v>506.98</v>
      </c>
      <c r="D11">
        <f>D10-B10</f>
        <v>453.98800000000006</v>
      </c>
      <c r="E11">
        <f>E10-B10</f>
        <v>481.16399999999999</v>
      </c>
      <c r="F11">
        <f>F10-B10</f>
        <v>143.30400000000003</v>
      </c>
    </row>
    <row r="12" spans="1:6" x14ac:dyDescent="0.2">
      <c r="A12" t="s">
        <v>5</v>
      </c>
      <c r="C12">
        <v>12.927</v>
      </c>
      <c r="D12">
        <v>7.6130000000000004</v>
      </c>
      <c r="E12">
        <v>4.6859999999999999</v>
      </c>
      <c r="F12">
        <v>14.565</v>
      </c>
    </row>
    <row r="13" spans="1:6" x14ac:dyDescent="0.2">
      <c r="A13" t="s">
        <v>17</v>
      </c>
      <c r="C13">
        <f>SQRT(49+C12^2)</f>
        <v>14.700589409952242</v>
      </c>
      <c r="D13">
        <f>SQRT(49+D12^2)</f>
        <v>10.342038918897957</v>
      </c>
      <c r="E13">
        <f>SQRT(49+E12^2)</f>
        <v>8.4236925394983402</v>
      </c>
      <c r="F13">
        <f>SQRT(49+F12^2)</f>
        <v>16.15980275250908</v>
      </c>
    </row>
    <row r="14" spans="1:6" x14ac:dyDescent="0.2">
      <c r="A14" t="s">
        <v>10</v>
      </c>
    </row>
    <row r="16" spans="1:6" s="1" customFormat="1" x14ac:dyDescent="0.2">
      <c r="A16" s="1" t="s">
        <v>11</v>
      </c>
      <c r="C16" s="1" t="s">
        <v>25</v>
      </c>
    </row>
    <row r="17" spans="1:5" x14ac:dyDescent="0.2">
      <c r="A17" t="s">
        <v>3</v>
      </c>
      <c r="B17">
        <v>241.93799999999999</v>
      </c>
      <c r="C17">
        <v>1040.4059999999999</v>
      </c>
      <c r="D17">
        <v>903.19100000000003</v>
      </c>
    </row>
    <row r="18" spans="1:5" x14ac:dyDescent="0.2">
      <c r="A18" t="s">
        <v>21</v>
      </c>
      <c r="C18">
        <f>C17-B17</f>
        <v>798.46799999999996</v>
      </c>
      <c r="D18">
        <f>D17-B17</f>
        <v>661.25300000000004</v>
      </c>
    </row>
    <row r="19" spans="1:5" x14ac:dyDescent="0.2">
      <c r="A19" t="s">
        <v>5</v>
      </c>
      <c r="C19">
        <v>7.2590000000000003</v>
      </c>
      <c r="D19">
        <v>11.192</v>
      </c>
    </row>
    <row r="20" spans="1:5" x14ac:dyDescent="0.2">
      <c r="A20" t="s">
        <v>17</v>
      </c>
      <c r="C20">
        <f>SQRT(36+C19^2)</f>
        <v>9.4177004093356036</v>
      </c>
      <c r="D20">
        <f>SQRT(36+D19^2)</f>
        <v>12.698852861577695</v>
      </c>
    </row>
    <row r="21" spans="1:5" x14ac:dyDescent="0.2">
      <c r="A21" t="s">
        <v>10</v>
      </c>
      <c r="C21">
        <f>C18/269.167</f>
        <v>2.9664409084323116</v>
      </c>
      <c r="D21">
        <f>D18/269.167</f>
        <v>2.4566644499511461</v>
      </c>
    </row>
    <row r="23" spans="1:5" s="1" customFormat="1" x14ac:dyDescent="0.2">
      <c r="A23" s="1" t="s">
        <v>29</v>
      </c>
      <c r="C23" s="1" t="s">
        <v>24</v>
      </c>
    </row>
    <row r="24" spans="1:5" x14ac:dyDescent="0.2">
      <c r="A24" t="s">
        <v>9</v>
      </c>
      <c r="B24">
        <v>241.93799999999999</v>
      </c>
      <c r="C24">
        <v>411.25</v>
      </c>
      <c r="D24">
        <v>607.26199999999994</v>
      </c>
    </row>
    <row r="25" spans="1:5" x14ac:dyDescent="0.2">
      <c r="A25" t="s">
        <v>4</v>
      </c>
      <c r="C25">
        <f>C24-B24</f>
        <v>169.31200000000001</v>
      </c>
      <c r="D25">
        <f>D24-B24</f>
        <v>365.32399999999996</v>
      </c>
    </row>
    <row r="26" spans="1:5" x14ac:dyDescent="0.2">
      <c r="A26" t="s">
        <v>5</v>
      </c>
      <c r="C26">
        <v>7.173</v>
      </c>
      <c r="D26">
        <v>11.029</v>
      </c>
    </row>
    <row r="27" spans="1:5" x14ac:dyDescent="0.2">
      <c r="A27" t="s">
        <v>17</v>
      </c>
      <c r="C27">
        <f>SQRT(25+C26^2)</f>
        <v>8.7436793742680212</v>
      </c>
      <c r="D27">
        <f>SQRT(25+D26^2)</f>
        <v>12.109452547493632</v>
      </c>
    </row>
    <row r="28" spans="1:5" x14ac:dyDescent="0.2">
      <c r="A28" t="s">
        <v>10</v>
      </c>
      <c r="C28">
        <f>C25/269.167</f>
        <v>0.62902213124194284</v>
      </c>
      <c r="D28">
        <f>D25/269.167</f>
        <v>1.3572391860815032</v>
      </c>
    </row>
    <row r="30" spans="1:5" s="1" customFormat="1" x14ac:dyDescent="0.2">
      <c r="A30" s="1" t="s">
        <v>13</v>
      </c>
      <c r="C30" s="1" t="s">
        <v>25</v>
      </c>
    </row>
    <row r="31" spans="1:5" x14ac:dyDescent="0.2">
      <c r="A31" t="s">
        <v>9</v>
      </c>
      <c r="B31">
        <v>241.93799999999999</v>
      </c>
      <c r="C31">
        <v>734.82</v>
      </c>
      <c r="D31">
        <v>611.21500000000003</v>
      </c>
      <c r="E31">
        <v>625.72299999999996</v>
      </c>
    </row>
    <row r="32" spans="1:5" x14ac:dyDescent="0.2">
      <c r="A32" t="s">
        <v>4</v>
      </c>
      <c r="C32">
        <f>C31-B31</f>
        <v>492.88200000000006</v>
      </c>
      <c r="D32">
        <f>D31-B31</f>
        <v>369.27700000000004</v>
      </c>
      <c r="E32">
        <f>E31-B31</f>
        <v>383.78499999999997</v>
      </c>
    </row>
    <row r="33" spans="1:9" x14ac:dyDescent="0.2">
      <c r="A33" t="s">
        <v>5</v>
      </c>
      <c r="C33">
        <v>5.9989999999999997</v>
      </c>
      <c r="D33">
        <v>0.88400000000000001</v>
      </c>
      <c r="E33">
        <v>0.58499999999999996</v>
      </c>
    </row>
    <row r="34" spans="1:9" x14ac:dyDescent="0.2">
      <c r="A34" t="s">
        <v>6</v>
      </c>
      <c r="C34">
        <f>SQRT(16+C33^2)</f>
        <v>7.2102705219707257</v>
      </c>
      <c r="D34">
        <f>SQRT(16+D33^2)</f>
        <v>4.0965175454280676</v>
      </c>
      <c r="E34">
        <f>SQRT(16+E33^2)</f>
        <v>4.0425517931128603</v>
      </c>
    </row>
    <row r="35" spans="1:9" x14ac:dyDescent="0.2">
      <c r="A35" t="s">
        <v>10</v>
      </c>
      <c r="C35">
        <f>C32/269.167</f>
        <v>1.8311382896120256</v>
      </c>
      <c r="D35">
        <f>D32/269.167</f>
        <v>1.3719252360059</v>
      </c>
      <c r="E35">
        <f>E32/269.167</f>
        <v>1.4258248596596166</v>
      </c>
    </row>
    <row r="37" spans="1:9" s="1" customFormat="1" x14ac:dyDescent="0.2">
      <c r="A37" s="1" t="s">
        <v>14</v>
      </c>
      <c r="C37" s="1" t="s">
        <v>25</v>
      </c>
    </row>
    <row r="38" spans="1:9" x14ac:dyDescent="0.2">
      <c r="A38" t="s">
        <v>9</v>
      </c>
      <c r="B38">
        <v>241.93799999999999</v>
      </c>
      <c r="C38">
        <v>844.70299999999997</v>
      </c>
      <c r="D38">
        <v>506.55900000000003</v>
      </c>
      <c r="E38">
        <v>1169.18</v>
      </c>
      <c r="F38">
        <v>1053.0619999999999</v>
      </c>
      <c r="G38">
        <v>1443.25</v>
      </c>
      <c r="H38">
        <v>1401.684</v>
      </c>
    </row>
    <row r="39" spans="1:9" x14ac:dyDescent="0.2">
      <c r="A39" t="s">
        <v>4</v>
      </c>
      <c r="C39">
        <f>C38-B38</f>
        <v>602.76499999999999</v>
      </c>
      <c r="D39">
        <f>D38-B38</f>
        <v>264.62100000000004</v>
      </c>
      <c r="E39">
        <f>E38-B38</f>
        <v>927.24200000000008</v>
      </c>
      <c r="F39">
        <f>F38-B38</f>
        <v>811.12399999999991</v>
      </c>
      <c r="G39">
        <f>G38-B38</f>
        <v>1201.3119999999999</v>
      </c>
      <c r="H39">
        <f>H38-B38</f>
        <v>1159.7460000000001</v>
      </c>
    </row>
    <row r="40" spans="1:9" x14ac:dyDescent="0.2">
      <c r="A40" t="s">
        <v>31</v>
      </c>
      <c r="C40">
        <v>5.9820000000000002</v>
      </c>
      <c r="D40">
        <v>2.6539999999999999</v>
      </c>
      <c r="E40">
        <v>1.381</v>
      </c>
      <c r="F40">
        <v>1.607</v>
      </c>
      <c r="G40">
        <v>1.161</v>
      </c>
      <c r="H40">
        <v>0.39</v>
      </c>
    </row>
    <row r="41" spans="1:9" x14ac:dyDescent="0.2">
      <c r="A41" t="s">
        <v>6</v>
      </c>
      <c r="C41">
        <f t="shared" ref="C41:H41" si="0">SQRT(9+C40^2)</f>
        <v>6.6921090845861144</v>
      </c>
      <c r="D41">
        <f t="shared" si="0"/>
        <v>4.0054607724954687</v>
      </c>
      <c r="E41">
        <f t="shared" si="0"/>
        <v>3.3025991279596743</v>
      </c>
      <c r="F41">
        <f t="shared" si="0"/>
        <v>3.4032997223283172</v>
      </c>
      <c r="G41">
        <f t="shared" si="0"/>
        <v>3.2168184592855096</v>
      </c>
      <c r="H41">
        <f t="shared" si="0"/>
        <v>3.0252437918290158</v>
      </c>
    </row>
    <row r="42" spans="1:9" x14ac:dyDescent="0.2">
      <c r="A42" t="s">
        <v>10</v>
      </c>
      <c r="C42">
        <f t="shared" ref="C42:H42" si="1">C39/269.167</f>
        <v>2.2393718397871956</v>
      </c>
      <c r="D42">
        <f t="shared" si="1"/>
        <v>0.98311085682866051</v>
      </c>
      <c r="E42">
        <f t="shared" si="1"/>
        <v>3.4448576534270554</v>
      </c>
      <c r="F42">
        <f t="shared" si="1"/>
        <v>3.0134600452507181</v>
      </c>
      <c r="G42">
        <f t="shared" si="1"/>
        <v>4.4630731107453734</v>
      </c>
      <c r="H42">
        <f t="shared" si="1"/>
        <v>4.3086485341813825</v>
      </c>
    </row>
    <row r="44" spans="1:9" s="1" customFormat="1" x14ac:dyDescent="0.2">
      <c r="A44" s="1" t="s">
        <v>15</v>
      </c>
      <c r="C44" s="1" t="s">
        <v>23</v>
      </c>
      <c r="D44" s="1" t="s">
        <v>25</v>
      </c>
    </row>
    <row r="45" spans="1:9" x14ac:dyDescent="0.2">
      <c r="A45" t="s">
        <v>9</v>
      </c>
      <c r="B45">
        <v>241.93799999999999</v>
      </c>
      <c r="C45">
        <v>609.90200000000004</v>
      </c>
      <c r="D45">
        <v>714.89800000000002</v>
      </c>
      <c r="E45">
        <v>1113.336</v>
      </c>
      <c r="F45">
        <v>1222.789</v>
      </c>
      <c r="G45">
        <v>1989.68</v>
      </c>
      <c r="H45">
        <v>1806.9649999999999</v>
      </c>
      <c r="I45">
        <v>1924.0550000000001</v>
      </c>
    </row>
    <row r="46" spans="1:9" x14ac:dyDescent="0.2">
      <c r="A46" t="s">
        <v>4</v>
      </c>
      <c r="C46">
        <f>C45-B45</f>
        <v>367.96400000000006</v>
      </c>
      <c r="D46">
        <f>D45-B45</f>
        <v>472.96000000000004</v>
      </c>
      <c r="E46">
        <f>E45-B45</f>
        <v>871.39800000000002</v>
      </c>
      <c r="F46">
        <f>F45-B45</f>
        <v>980.851</v>
      </c>
      <c r="G46">
        <f>G45-B45</f>
        <v>1747.7420000000002</v>
      </c>
      <c r="H46">
        <f>H45-B45</f>
        <v>1565.027</v>
      </c>
      <c r="I46">
        <f>I45-B45</f>
        <v>1682.1170000000002</v>
      </c>
    </row>
    <row r="47" spans="1:9" x14ac:dyDescent="0.2">
      <c r="A47" t="s">
        <v>5</v>
      </c>
      <c r="C47">
        <v>7.7990000000000004</v>
      </c>
      <c r="D47">
        <v>3.177</v>
      </c>
      <c r="E47">
        <v>2.5350000000000001</v>
      </c>
      <c r="F47">
        <v>1.712</v>
      </c>
      <c r="G47">
        <v>1.9610000000000001</v>
      </c>
      <c r="H47">
        <v>0.91300000000000003</v>
      </c>
      <c r="I47">
        <v>0.69</v>
      </c>
    </row>
    <row r="48" spans="1:9" x14ac:dyDescent="0.2">
      <c r="A48" t="s">
        <v>6</v>
      </c>
      <c r="C48">
        <f t="shared" ref="C48:I48" si="2">SQRT(4+C47^2)</f>
        <v>8.051360195643964</v>
      </c>
      <c r="D48">
        <f t="shared" si="2"/>
        <v>3.7541082829348436</v>
      </c>
      <c r="E48">
        <f t="shared" si="2"/>
        <v>3.2289665529391907</v>
      </c>
      <c r="F48">
        <f t="shared" si="2"/>
        <v>2.6326686080857198</v>
      </c>
      <c r="G48">
        <f t="shared" si="2"/>
        <v>2.8009857193495291</v>
      </c>
      <c r="H48">
        <f t="shared" si="2"/>
        <v>2.1985379232571813</v>
      </c>
      <c r="I48">
        <f t="shared" si="2"/>
        <v>2.1156795598577776</v>
      </c>
    </row>
    <row r="49" spans="1:13" x14ac:dyDescent="0.2">
      <c r="A49" t="s">
        <v>10</v>
      </c>
      <c r="D49">
        <f t="shared" ref="D49:I49" si="3">D46/269.167</f>
        <v>1.757124758978627</v>
      </c>
      <c r="E49">
        <f t="shared" si="3"/>
        <v>3.2373879413152435</v>
      </c>
      <c r="F49">
        <f t="shared" si="3"/>
        <v>3.6440239702489534</v>
      </c>
      <c r="G49">
        <f t="shared" si="3"/>
        <v>6.493151092072952</v>
      </c>
      <c r="H49">
        <f t="shared" si="3"/>
        <v>5.8143345952512764</v>
      </c>
      <c r="I49">
        <f t="shared" si="3"/>
        <v>6.2493433444664479</v>
      </c>
    </row>
    <row r="51" spans="1:13" s="1" customFormat="1" x14ac:dyDescent="0.2">
      <c r="A51" s="1" t="s">
        <v>16</v>
      </c>
      <c r="C51" s="1" t="s">
        <v>23</v>
      </c>
      <c r="D51" s="1" t="s">
        <v>25</v>
      </c>
    </row>
    <row r="52" spans="1:13" x14ac:dyDescent="0.2">
      <c r="A52" t="s">
        <v>9</v>
      </c>
      <c r="B52">
        <v>241.93799999999999</v>
      </c>
      <c r="C52">
        <v>572.53899999999999</v>
      </c>
      <c r="D52">
        <v>639.03099999999995</v>
      </c>
      <c r="E52">
        <v>928.54700000000003</v>
      </c>
      <c r="F52">
        <v>731.68799999999999</v>
      </c>
      <c r="G52">
        <v>624.77</v>
      </c>
      <c r="H52">
        <v>1470.0309999999999</v>
      </c>
      <c r="I52">
        <v>1348.66</v>
      </c>
      <c r="J52">
        <v>888.05899999999997</v>
      </c>
      <c r="K52">
        <v>1534.2380000000001</v>
      </c>
      <c r="L52">
        <v>1040.328</v>
      </c>
      <c r="M52">
        <v>1061.4770000000001</v>
      </c>
    </row>
    <row r="53" spans="1:13" x14ac:dyDescent="0.2">
      <c r="A53" t="s">
        <v>4</v>
      </c>
      <c r="C53">
        <f>C52-B52</f>
        <v>330.601</v>
      </c>
      <c r="D53">
        <f>D52-B52</f>
        <v>397.09299999999996</v>
      </c>
      <c r="E53">
        <f>E52-B52</f>
        <v>686.60900000000004</v>
      </c>
      <c r="F53">
        <f>F52-B52</f>
        <v>489.75</v>
      </c>
      <c r="G53">
        <f>G52-B52</f>
        <v>382.83199999999999</v>
      </c>
      <c r="H53">
        <f>H52-B52</f>
        <v>1228.0929999999998</v>
      </c>
      <c r="I53">
        <f>I52-B52</f>
        <v>1106.7220000000002</v>
      </c>
      <c r="J53">
        <f>J52-B52</f>
        <v>646.12099999999998</v>
      </c>
      <c r="K53">
        <f>K52-B52</f>
        <v>1292.3000000000002</v>
      </c>
      <c r="L53">
        <f>L52-B52</f>
        <v>798.39</v>
      </c>
      <c r="M53">
        <f>M52-B52</f>
        <v>819.5390000000001</v>
      </c>
    </row>
    <row r="54" spans="1:13" x14ac:dyDescent="0.2">
      <c r="A54" t="s">
        <v>31</v>
      </c>
      <c r="C54">
        <v>3.7490000000000001</v>
      </c>
      <c r="D54">
        <v>7.7910000000000004</v>
      </c>
      <c r="E54">
        <v>1.804</v>
      </c>
      <c r="F54">
        <v>1.337</v>
      </c>
      <c r="G54">
        <v>2.1240000000000001</v>
      </c>
      <c r="H54">
        <v>3.0379999999999998</v>
      </c>
      <c r="I54">
        <v>3.0579999999999998</v>
      </c>
      <c r="J54">
        <v>1.954</v>
      </c>
      <c r="K54">
        <v>1.399</v>
      </c>
      <c r="L54">
        <v>0.86799999999999999</v>
      </c>
      <c r="M54">
        <v>1.8879999999999999</v>
      </c>
    </row>
    <row r="55" spans="1:13" x14ac:dyDescent="0.2">
      <c r="A55" t="s">
        <v>6</v>
      </c>
      <c r="C55">
        <f t="shared" ref="C55:M55" si="4">SQRT(1+C54^2)</f>
        <v>3.8800774476806517</v>
      </c>
      <c r="D55">
        <f t="shared" si="4"/>
        <v>7.8549144489294092</v>
      </c>
      <c r="E55">
        <f t="shared" si="4"/>
        <v>2.0626235720557449</v>
      </c>
      <c r="F55">
        <f t="shared" si="4"/>
        <v>1.6696014494483407</v>
      </c>
      <c r="G55">
        <f t="shared" si="4"/>
        <v>2.3476319984188323</v>
      </c>
      <c r="H55">
        <f t="shared" si="4"/>
        <v>3.1983501997123454</v>
      </c>
      <c r="I55">
        <f t="shared" si="4"/>
        <v>3.217353570871563</v>
      </c>
      <c r="J55">
        <f t="shared" si="4"/>
        <v>2.1950207288315071</v>
      </c>
      <c r="K55">
        <f t="shared" si="4"/>
        <v>1.7196514181659026</v>
      </c>
      <c r="L55">
        <f t="shared" si="4"/>
        <v>1.3241691734819989</v>
      </c>
      <c r="M55">
        <f t="shared" si="4"/>
        <v>2.1364793469631294</v>
      </c>
    </row>
    <row r="56" spans="1:13" x14ac:dyDescent="0.2">
      <c r="A56" t="s">
        <v>10</v>
      </c>
      <c r="D56">
        <f t="shared" ref="D56:M56" si="5">D53/269.167</f>
        <v>1.4752662844999573</v>
      </c>
      <c r="E56">
        <f t="shared" si="5"/>
        <v>2.5508661908777825</v>
      </c>
      <c r="F56">
        <f t="shared" si="5"/>
        <v>1.8195023907091139</v>
      </c>
      <c r="G56">
        <f t="shared" si="5"/>
        <v>1.4222843067686604</v>
      </c>
      <c r="H56">
        <f t="shared" si="5"/>
        <v>4.562568962762894</v>
      </c>
      <c r="I56">
        <f t="shared" si="5"/>
        <v>4.1116555892810052</v>
      </c>
      <c r="J56">
        <f t="shared" si="5"/>
        <v>2.4004465629144733</v>
      </c>
      <c r="K56">
        <f t="shared" si="5"/>
        <v>4.8011086054382606</v>
      </c>
      <c r="L56">
        <f t="shared" si="5"/>
        <v>2.9661511255094424</v>
      </c>
      <c r="M56">
        <f t="shared" si="5"/>
        <v>3.0447231644295183</v>
      </c>
    </row>
    <row r="58" spans="1:13" s="1" customFormat="1" x14ac:dyDescent="0.2">
      <c r="A58" s="1" t="s">
        <v>277</v>
      </c>
      <c r="C58" s="1" t="s">
        <v>23</v>
      </c>
      <c r="E58" s="1" t="s">
        <v>25</v>
      </c>
    </row>
    <row r="59" spans="1:13" x14ac:dyDescent="0.2">
      <c r="A59" t="s">
        <v>9</v>
      </c>
      <c r="B59">
        <v>241.93799999999999</v>
      </c>
      <c r="C59">
        <v>558.57000000000005</v>
      </c>
      <c r="D59">
        <v>591.67200000000003</v>
      </c>
      <c r="E59">
        <v>920.21900000000005</v>
      </c>
      <c r="F59">
        <v>1331.9179999999999</v>
      </c>
      <c r="G59">
        <v>1234.4570000000001</v>
      </c>
      <c r="H59">
        <v>779.93</v>
      </c>
      <c r="I59">
        <v>714.72299999999996</v>
      </c>
      <c r="J59">
        <v>1280.8009999999999</v>
      </c>
      <c r="K59">
        <v>1165.7270000000001</v>
      </c>
      <c r="L59">
        <v>1334.9259999999999</v>
      </c>
      <c r="M59">
        <v>1107.105</v>
      </c>
    </row>
    <row r="60" spans="1:13" x14ac:dyDescent="0.2">
      <c r="A60" t="s">
        <v>4</v>
      </c>
      <c r="C60">
        <f>C59-B59</f>
        <v>316.63200000000006</v>
      </c>
      <c r="D60">
        <f>D59-B59</f>
        <v>349.73400000000004</v>
      </c>
      <c r="E60">
        <f>E59-B59</f>
        <v>678.28100000000006</v>
      </c>
      <c r="F60">
        <f>F59-B59</f>
        <v>1089.98</v>
      </c>
      <c r="G60">
        <f>G59-B59</f>
        <v>992.51900000000012</v>
      </c>
      <c r="H60">
        <f>H59-B59</f>
        <v>537.99199999999996</v>
      </c>
      <c r="I60">
        <f>I59-B59</f>
        <v>472.78499999999997</v>
      </c>
      <c r="J60">
        <f>J59-B59</f>
        <v>1038.8629999999998</v>
      </c>
      <c r="K60">
        <f>K59-B59</f>
        <v>923.7890000000001</v>
      </c>
      <c r="L60">
        <f>L59-B59</f>
        <v>1092.9879999999998</v>
      </c>
      <c r="M60">
        <f>M59-B59</f>
        <v>865.16700000000003</v>
      </c>
    </row>
    <row r="61" spans="1:13" x14ac:dyDescent="0.2">
      <c r="A61" t="s">
        <v>5</v>
      </c>
      <c r="C61">
        <v>3.282</v>
      </c>
      <c r="D61">
        <v>4.2409999999999997</v>
      </c>
      <c r="E61">
        <v>1.734</v>
      </c>
      <c r="F61">
        <v>2.0489999999999999</v>
      </c>
      <c r="G61">
        <v>1.2789999999999999</v>
      </c>
      <c r="H61">
        <v>1.077</v>
      </c>
      <c r="I61">
        <v>1.2689999999999999</v>
      </c>
      <c r="J61">
        <v>1.8120000000000001</v>
      </c>
      <c r="K61">
        <v>1.018</v>
      </c>
      <c r="L61">
        <v>1.722</v>
      </c>
      <c r="M61">
        <v>2.722</v>
      </c>
    </row>
    <row r="62" spans="1:13" x14ac:dyDescent="0.2">
      <c r="A62" t="s">
        <v>10</v>
      </c>
      <c r="E62">
        <f t="shared" ref="E62:M62" si="6">E60/269.167</f>
        <v>2.5199262911129527</v>
      </c>
      <c r="F62">
        <f t="shared" si="6"/>
        <v>4.0494562855030525</v>
      </c>
      <c r="G62">
        <f t="shared" si="6"/>
        <v>3.6873725233776806</v>
      </c>
      <c r="H62">
        <f t="shared" si="6"/>
        <v>1.9987294133381879</v>
      </c>
      <c r="I62">
        <f t="shared" si="6"/>
        <v>1.7564746049850093</v>
      </c>
      <c r="J62">
        <f t="shared" si="6"/>
        <v>3.859548161550264</v>
      </c>
      <c r="K62">
        <f t="shared" si="6"/>
        <v>3.4320291863415657</v>
      </c>
      <c r="L62">
        <f t="shared" si="6"/>
        <v>4.0606315038619147</v>
      </c>
      <c r="M62">
        <f t="shared" si="6"/>
        <v>3.2142387439767881</v>
      </c>
    </row>
    <row r="64" spans="1:13" s="1" customFormat="1" x14ac:dyDescent="0.2">
      <c r="A64" s="1" t="s">
        <v>19</v>
      </c>
      <c r="C64" s="1" t="s">
        <v>25</v>
      </c>
    </row>
    <row r="65" spans="1:10" x14ac:dyDescent="0.2">
      <c r="A65" t="s">
        <v>9</v>
      </c>
      <c r="B65">
        <v>241.93799999999999</v>
      </c>
      <c r="C65">
        <v>614.74599999999998</v>
      </c>
      <c r="D65">
        <v>812.5</v>
      </c>
      <c r="E65">
        <v>814.05899999999997</v>
      </c>
      <c r="F65">
        <v>784.72699999999998</v>
      </c>
      <c r="G65">
        <v>950.03099999999995</v>
      </c>
      <c r="H65">
        <v>2153.5160000000001</v>
      </c>
      <c r="I65">
        <v>1861.922</v>
      </c>
    </row>
    <row r="66" spans="1:10" x14ac:dyDescent="0.2">
      <c r="A66" t="s">
        <v>4</v>
      </c>
      <c r="C66">
        <f>C65-B65</f>
        <v>372.80799999999999</v>
      </c>
      <c r="D66">
        <f>D65-B65</f>
        <v>570.56200000000001</v>
      </c>
      <c r="E66">
        <f>E65-B65</f>
        <v>572.12099999999998</v>
      </c>
      <c r="F66">
        <f>F65-B65</f>
        <v>542.78899999999999</v>
      </c>
      <c r="G66">
        <f>G65-B65</f>
        <v>708.09299999999996</v>
      </c>
      <c r="H66">
        <f>H65-B65</f>
        <v>1911.578</v>
      </c>
      <c r="I66">
        <f>I65-B65</f>
        <v>1619.9839999999999</v>
      </c>
    </row>
    <row r="67" spans="1:10" x14ac:dyDescent="0.2">
      <c r="A67" t="s">
        <v>5</v>
      </c>
      <c r="C67">
        <v>1.3280000000000001</v>
      </c>
      <c r="D67">
        <v>1.0489999999999999</v>
      </c>
      <c r="E67">
        <v>1.417</v>
      </c>
      <c r="F67">
        <v>2.2080000000000002</v>
      </c>
      <c r="G67">
        <v>1.2390000000000001</v>
      </c>
      <c r="H67">
        <v>1.6259999999999999</v>
      </c>
      <c r="I67">
        <v>2.1139999999999999</v>
      </c>
    </row>
    <row r="68" spans="1:10" x14ac:dyDescent="0.2">
      <c r="A68" t="s">
        <v>6</v>
      </c>
      <c r="C68">
        <f t="shared" ref="C68:I68" si="7">SQRT(1+C67^2)</f>
        <v>1.6624030798816514</v>
      </c>
      <c r="D68">
        <f t="shared" si="7"/>
        <v>1.4492760261592681</v>
      </c>
      <c r="E68">
        <f t="shared" si="7"/>
        <v>1.7343266704978044</v>
      </c>
      <c r="F68">
        <f t="shared" si="7"/>
        <v>2.4238943871381857</v>
      </c>
      <c r="G68">
        <f t="shared" si="7"/>
        <v>1.5922063308503707</v>
      </c>
      <c r="H68">
        <f t="shared" si="7"/>
        <v>1.9088939205728535</v>
      </c>
      <c r="I68">
        <f t="shared" si="7"/>
        <v>2.3385884631546441</v>
      </c>
    </row>
    <row r="69" spans="1:10" x14ac:dyDescent="0.2">
      <c r="A69" t="s">
        <v>10</v>
      </c>
      <c r="C69">
        <f t="shared" ref="C69:I69" si="8">C66/269.167</f>
        <v>1.3850434860142589</v>
      </c>
      <c r="D69">
        <f t="shared" si="8"/>
        <v>2.1197323594645705</v>
      </c>
      <c r="E69">
        <f t="shared" si="8"/>
        <v>2.1255243027562813</v>
      </c>
      <c r="F69">
        <f t="shared" si="8"/>
        <v>2.016551063094659</v>
      </c>
      <c r="G69">
        <f t="shared" si="8"/>
        <v>2.6306828102999256</v>
      </c>
      <c r="H69">
        <f t="shared" si="8"/>
        <v>7.1018289760631879</v>
      </c>
      <c r="I69">
        <f t="shared" si="8"/>
        <v>6.0185089554068663</v>
      </c>
    </row>
    <row r="71" spans="1:10" s="1" customFormat="1" x14ac:dyDescent="0.2">
      <c r="A71" s="1" t="s">
        <v>37</v>
      </c>
      <c r="C71" s="1" t="s">
        <v>23</v>
      </c>
      <c r="D71" s="1" t="s">
        <v>25</v>
      </c>
    </row>
    <row r="72" spans="1:10" x14ac:dyDescent="0.2">
      <c r="A72" t="s">
        <v>3</v>
      </c>
      <c r="B72">
        <v>241.93799999999999</v>
      </c>
      <c r="C72">
        <v>559.41</v>
      </c>
      <c r="D72">
        <v>652.52</v>
      </c>
      <c r="E72">
        <v>550.94500000000005</v>
      </c>
      <c r="F72">
        <v>500.74200000000002</v>
      </c>
      <c r="G72">
        <v>1307.402</v>
      </c>
      <c r="H72">
        <v>736.36300000000006</v>
      </c>
      <c r="I72">
        <v>1413.7539999999999</v>
      </c>
      <c r="J72">
        <v>1154.57</v>
      </c>
    </row>
    <row r="73" spans="1:10" x14ac:dyDescent="0.2">
      <c r="A73" t="s">
        <v>4</v>
      </c>
      <c r="C73">
        <f>C72-B72</f>
        <v>317.47199999999998</v>
      </c>
      <c r="D73">
        <f>D72-B72</f>
        <v>410.58199999999999</v>
      </c>
      <c r="E73">
        <f>E72-B72</f>
        <v>309.00700000000006</v>
      </c>
      <c r="F73">
        <f>F72-B72</f>
        <v>258.80400000000003</v>
      </c>
      <c r="G73">
        <f>G72-B72</f>
        <v>1065.4639999999999</v>
      </c>
      <c r="H73">
        <f>H72-B72</f>
        <v>494.42500000000007</v>
      </c>
      <c r="I73">
        <f>I72-B72</f>
        <v>1171.8159999999998</v>
      </c>
      <c r="J73">
        <f>J72-B72</f>
        <v>912.63199999999995</v>
      </c>
    </row>
    <row r="74" spans="1:10" x14ac:dyDescent="0.2">
      <c r="A74" t="s">
        <v>5</v>
      </c>
      <c r="C74">
        <v>12.228</v>
      </c>
      <c r="D74">
        <v>0.86199999999999999</v>
      </c>
      <c r="E74">
        <v>1.4510000000000001</v>
      </c>
      <c r="F74">
        <v>0.94699999999999995</v>
      </c>
      <c r="G74">
        <v>1.427</v>
      </c>
      <c r="H74">
        <v>0.90700000000000003</v>
      </c>
      <c r="I74">
        <v>2.016</v>
      </c>
      <c r="J74">
        <v>2.3969999999999998</v>
      </c>
    </row>
    <row r="75" spans="1:10" x14ac:dyDescent="0.2">
      <c r="A75" t="s">
        <v>6</v>
      </c>
      <c r="C75">
        <f t="shared" ref="C75:J75" si="9">SQRT(4+C74^2)</f>
        <v>12.390479571025489</v>
      </c>
      <c r="D75">
        <f t="shared" si="9"/>
        <v>2.1778530712607771</v>
      </c>
      <c r="E75">
        <f t="shared" si="9"/>
        <v>2.470910965615718</v>
      </c>
      <c r="F75">
        <f t="shared" si="9"/>
        <v>2.2128734713037708</v>
      </c>
      <c r="G75">
        <f t="shared" si="9"/>
        <v>2.4568941776153079</v>
      </c>
      <c r="H75">
        <f t="shared" si="9"/>
        <v>2.1960530503610336</v>
      </c>
      <c r="I75">
        <f t="shared" si="9"/>
        <v>2.8397633704236696</v>
      </c>
      <c r="J75">
        <f t="shared" si="9"/>
        <v>3.1217957972936023</v>
      </c>
    </row>
    <row r="76" spans="1:10" x14ac:dyDescent="0.2">
      <c r="A76" t="s">
        <v>10</v>
      </c>
      <c r="D76">
        <f t="shared" ref="D76:J76" si="10">D73/269.167</f>
        <v>1.5253801543279824</v>
      </c>
      <c r="E76">
        <f t="shared" si="10"/>
        <v>1.1480122006040863</v>
      </c>
      <c r="F76">
        <f t="shared" si="10"/>
        <v>0.9614997380808199</v>
      </c>
      <c r="G76">
        <f t="shared" si="10"/>
        <v>3.9583752837457786</v>
      </c>
      <c r="H76">
        <f t="shared" si="10"/>
        <v>1.8368707902528918</v>
      </c>
      <c r="I76">
        <f t="shared" si="10"/>
        <v>4.3534905839125893</v>
      </c>
      <c r="J76">
        <f t="shared" si="10"/>
        <v>3.3905790828742011</v>
      </c>
    </row>
    <row r="78" spans="1:10" s="1" customFormat="1" x14ac:dyDescent="0.2">
      <c r="A78" s="1" t="s">
        <v>22</v>
      </c>
      <c r="C78" s="1" t="s">
        <v>23</v>
      </c>
      <c r="E78" s="1" t="s">
        <v>25</v>
      </c>
    </row>
    <row r="79" spans="1:10" x14ac:dyDescent="0.2">
      <c r="A79" t="s">
        <v>9</v>
      </c>
      <c r="B79">
        <v>241.93799999999999</v>
      </c>
      <c r="C79">
        <v>393.42200000000003</v>
      </c>
      <c r="D79">
        <v>442.363</v>
      </c>
      <c r="E79">
        <v>700.36300000000006</v>
      </c>
      <c r="F79">
        <v>1239.0350000000001</v>
      </c>
      <c r="G79">
        <v>609.84400000000005</v>
      </c>
    </row>
    <row r="80" spans="1:10" x14ac:dyDescent="0.2">
      <c r="A80" t="s">
        <v>4</v>
      </c>
      <c r="C80">
        <f>C79-B79</f>
        <v>151.48400000000004</v>
      </c>
      <c r="D80">
        <f>D79-B79</f>
        <v>200.42500000000001</v>
      </c>
      <c r="E80">
        <f>E79-B79</f>
        <v>458.42500000000007</v>
      </c>
      <c r="F80">
        <f>F79-B79</f>
        <v>997.09700000000009</v>
      </c>
      <c r="G80">
        <f>G79-B79</f>
        <v>367.90600000000006</v>
      </c>
    </row>
    <row r="81" spans="1:7" x14ac:dyDescent="0.2">
      <c r="A81" t="s">
        <v>5</v>
      </c>
      <c r="C81">
        <v>12.413</v>
      </c>
      <c r="D81">
        <v>8.35</v>
      </c>
      <c r="E81">
        <v>1.63</v>
      </c>
      <c r="F81">
        <v>1.1359999999999999</v>
      </c>
      <c r="G81">
        <v>1.038</v>
      </c>
    </row>
    <row r="82" spans="1:7" x14ac:dyDescent="0.2">
      <c r="A82" t="s">
        <v>6</v>
      </c>
      <c r="C82">
        <f>SQRT(9+C81^2)</f>
        <v>12.770378577003894</v>
      </c>
      <c r="D82">
        <f>SQRT(9+D81^2)</f>
        <v>8.8725700898894004</v>
      </c>
      <c r="E82">
        <f>SQRT(9+E81^2)</f>
        <v>3.4142202623732407</v>
      </c>
      <c r="F82">
        <f>SQRT(9+F81^2)</f>
        <v>3.207880297018578</v>
      </c>
      <c r="G82">
        <f>SQRT(9+G81^2)</f>
        <v>3.1744990155928541</v>
      </c>
    </row>
    <row r="83" spans="1:7" x14ac:dyDescent="0.2">
      <c r="A83" t="s">
        <v>10</v>
      </c>
      <c r="E83">
        <f>E80/269.167</f>
        <v>1.7031248258516092</v>
      </c>
      <c r="F83">
        <f>F80/269.167</f>
        <v>3.7043805518507105</v>
      </c>
      <c r="G83">
        <f>G80/269.167</f>
        <v>1.366831743861618</v>
      </c>
    </row>
    <row r="85" spans="1:7" s="1" customFormat="1" x14ac:dyDescent="0.2">
      <c r="A85" s="1" t="s">
        <v>45</v>
      </c>
      <c r="C85" s="1" t="s">
        <v>23</v>
      </c>
      <c r="D85" s="1" t="s">
        <v>25</v>
      </c>
    </row>
    <row r="86" spans="1:7" x14ac:dyDescent="0.2">
      <c r="A86" t="s">
        <v>9</v>
      </c>
      <c r="B86">
        <v>241.93799999999999</v>
      </c>
      <c r="C86">
        <v>410.08199999999999</v>
      </c>
      <c r="D86">
        <v>581.38699999999994</v>
      </c>
    </row>
    <row r="87" spans="1:7" x14ac:dyDescent="0.2">
      <c r="A87" t="s">
        <v>21</v>
      </c>
      <c r="C87">
        <f>C86-B86</f>
        <v>168.14400000000001</v>
      </c>
      <c r="D87">
        <f>D86-B86</f>
        <v>339.44899999999996</v>
      </c>
    </row>
    <row r="88" spans="1:7" x14ac:dyDescent="0.2">
      <c r="A88" t="s">
        <v>5</v>
      </c>
      <c r="C88">
        <v>8.6120000000000001</v>
      </c>
      <c r="D88">
        <v>1.359</v>
      </c>
    </row>
    <row r="89" spans="1:7" x14ac:dyDescent="0.2">
      <c r="A89" t="s">
        <v>17</v>
      </c>
      <c r="C89">
        <f>SQRT(16+C88^2)</f>
        <v>9.4956065630374553</v>
      </c>
      <c r="D89">
        <f>SQRT(16+D88^2)</f>
        <v>4.2245568998416863</v>
      </c>
    </row>
    <row r="90" spans="1:7" x14ac:dyDescent="0.2">
      <c r="A90" t="s">
        <v>10</v>
      </c>
      <c r="C90">
        <f>C87/269.167</f>
        <v>0.6246828177302568</v>
      </c>
      <c r="D90">
        <f>D87/269.167</f>
        <v>1.2611092741680814</v>
      </c>
    </row>
    <row r="93" spans="1:7" x14ac:dyDescent="0.2">
      <c r="A93" t="s">
        <v>27</v>
      </c>
      <c r="B93">
        <v>40.076999999999998</v>
      </c>
    </row>
    <row r="94" spans="1:7" x14ac:dyDescent="0.2">
      <c r="A94" t="s">
        <v>33</v>
      </c>
      <c r="B94">
        <f>AVERAGE(C87,C80:D80,C73,C60:D60,C53,C46,C4:D4)</f>
        <v>269.16660000000002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EF07-9510-5743-AA20-7636F42BA775}">
  <dimension ref="A1:P52"/>
  <sheetViews>
    <sheetView topLeftCell="A21" workbookViewId="0">
      <selection activeCell="L71" sqref="L71"/>
    </sheetView>
  </sheetViews>
  <sheetFormatPr baseColWidth="10" defaultColWidth="8.83203125" defaultRowHeight="15" x14ac:dyDescent="0.2"/>
  <cols>
    <col min="1" max="1" width="20.33203125" customWidth="1"/>
    <col min="2" max="2" width="22.83203125" customWidth="1"/>
  </cols>
  <sheetData>
    <row r="1" spans="1:3" x14ac:dyDescent="0.2">
      <c r="A1" t="s">
        <v>280</v>
      </c>
    </row>
    <row r="2" spans="1:3" s="1" customFormat="1" x14ac:dyDescent="0.2">
      <c r="A2" s="1" t="s">
        <v>29</v>
      </c>
      <c r="B2" s="1" t="s">
        <v>2</v>
      </c>
      <c r="C2" s="1" t="s">
        <v>25</v>
      </c>
    </row>
    <row r="3" spans="1:3" x14ac:dyDescent="0.2">
      <c r="A3" t="s">
        <v>9</v>
      </c>
      <c r="B3">
        <v>215.68</v>
      </c>
      <c r="C3">
        <v>226.00399999999999</v>
      </c>
    </row>
    <row r="4" spans="1:3" x14ac:dyDescent="0.2">
      <c r="A4" t="s">
        <v>4</v>
      </c>
      <c r="C4">
        <f>C3-B3</f>
        <v>10.323999999999984</v>
      </c>
    </row>
    <row r="5" spans="1:3" x14ac:dyDescent="0.2">
      <c r="A5" t="s">
        <v>5</v>
      </c>
      <c r="C5">
        <v>5.0629999999999997</v>
      </c>
    </row>
    <row r="6" spans="1:3" x14ac:dyDescent="0.2">
      <c r="A6" t="s">
        <v>6</v>
      </c>
      <c r="C6">
        <f>SQRT(25+C5^2)</f>
        <v>7.1157549845395884</v>
      </c>
    </row>
    <row r="7" spans="1:3" x14ac:dyDescent="0.2">
      <c r="A7" t="s">
        <v>10</v>
      </c>
      <c r="C7">
        <f>C4/8.45</f>
        <v>1.2217751479289922</v>
      </c>
    </row>
    <row r="9" spans="1:3" s="1" customFormat="1" x14ac:dyDescent="0.2">
      <c r="A9" s="1" t="s">
        <v>13</v>
      </c>
    </row>
    <row r="10" spans="1:3" x14ac:dyDescent="0.2">
      <c r="A10" t="s">
        <v>9</v>
      </c>
      <c r="B10">
        <v>215.68</v>
      </c>
    </row>
    <row r="11" spans="1:3" x14ac:dyDescent="0.2">
      <c r="A11" t="s">
        <v>4</v>
      </c>
    </row>
    <row r="12" spans="1:3" x14ac:dyDescent="0.2">
      <c r="A12" t="s">
        <v>5</v>
      </c>
    </row>
    <row r="13" spans="1:3" x14ac:dyDescent="0.2">
      <c r="A13" t="s">
        <v>6</v>
      </c>
    </row>
    <row r="14" spans="1:3" x14ac:dyDescent="0.2">
      <c r="A14" t="s">
        <v>10</v>
      </c>
    </row>
    <row r="16" spans="1:3" s="1" customFormat="1" x14ac:dyDescent="0.2">
      <c r="A16" s="1" t="s">
        <v>14</v>
      </c>
      <c r="C16" s="1" t="s">
        <v>25</v>
      </c>
    </row>
    <row r="17" spans="1:16" x14ac:dyDescent="0.2">
      <c r="A17" t="s">
        <v>9</v>
      </c>
      <c r="B17">
        <v>215.68</v>
      </c>
      <c r="C17">
        <v>224.227</v>
      </c>
      <c r="D17">
        <v>222.43799999999999</v>
      </c>
    </row>
    <row r="18" spans="1:16" x14ac:dyDescent="0.2">
      <c r="A18" t="s">
        <v>21</v>
      </c>
      <c r="C18">
        <f>C17-B17</f>
        <v>8.546999999999997</v>
      </c>
      <c r="D18">
        <f>D17-B17</f>
        <v>6.7579999999999814</v>
      </c>
    </row>
    <row r="19" spans="1:16" x14ac:dyDescent="0.2">
      <c r="A19" t="s">
        <v>31</v>
      </c>
      <c r="C19">
        <v>3.2040000000000002</v>
      </c>
      <c r="D19">
        <v>2.052</v>
      </c>
    </row>
    <row r="20" spans="1:16" x14ac:dyDescent="0.2">
      <c r="A20" t="s">
        <v>6</v>
      </c>
      <c r="C20">
        <f>SQRT(9+C19^2)</f>
        <v>4.3892614412905502</v>
      </c>
      <c r="D20">
        <f>SQRT(9+D19^2)</f>
        <v>3.6346532159203302</v>
      </c>
    </row>
    <row r="21" spans="1:16" x14ac:dyDescent="0.2">
      <c r="A21" t="s">
        <v>10</v>
      </c>
      <c r="C21">
        <f>C18/8.45</f>
        <v>1.011479289940828</v>
      </c>
      <c r="D21">
        <f>D18/8.45</f>
        <v>0.79976331360946529</v>
      </c>
    </row>
    <row r="23" spans="1:16" s="1" customFormat="1" x14ac:dyDescent="0.2">
      <c r="A23" s="1" t="s">
        <v>15</v>
      </c>
      <c r="C23" s="1" t="s">
        <v>23</v>
      </c>
      <c r="D23" s="1" t="s">
        <v>25</v>
      </c>
    </row>
    <row r="24" spans="1:16" x14ac:dyDescent="0.2">
      <c r="A24" t="s">
        <v>9</v>
      </c>
      <c r="B24">
        <v>215.68</v>
      </c>
      <c r="C24">
        <v>220.67599999999999</v>
      </c>
      <c r="D24">
        <v>229.91800000000001</v>
      </c>
      <c r="E24">
        <v>238.79300000000001</v>
      </c>
      <c r="F24">
        <v>236.34800000000001</v>
      </c>
      <c r="G24">
        <v>241.648</v>
      </c>
      <c r="H24">
        <v>238.035</v>
      </c>
      <c r="I24">
        <v>250.38300000000001</v>
      </c>
      <c r="J24">
        <v>244.21899999999999</v>
      </c>
    </row>
    <row r="25" spans="1:16" x14ac:dyDescent="0.2">
      <c r="A25" t="s">
        <v>4</v>
      </c>
      <c r="C25">
        <f>C24-B24</f>
        <v>4.9959999999999809</v>
      </c>
      <c r="D25">
        <f>D24-B24</f>
        <v>14.238</v>
      </c>
      <c r="E25">
        <f>E24-B24</f>
        <v>23.113</v>
      </c>
      <c r="F25">
        <f>F24-B24</f>
        <v>20.668000000000006</v>
      </c>
      <c r="G25">
        <f>G24-B24</f>
        <v>25.967999999999989</v>
      </c>
      <c r="H25">
        <f>H24-B24</f>
        <v>22.35499999999999</v>
      </c>
      <c r="I25">
        <f>I24-B24</f>
        <v>34.703000000000003</v>
      </c>
      <c r="J25">
        <f>J24-B24</f>
        <v>28.538999999999987</v>
      </c>
    </row>
    <row r="26" spans="1:16" x14ac:dyDescent="0.2">
      <c r="A26" t="s">
        <v>5</v>
      </c>
      <c r="C26">
        <v>8.75</v>
      </c>
      <c r="D26">
        <v>1.9530000000000001</v>
      </c>
      <c r="E26">
        <v>1.609</v>
      </c>
      <c r="F26">
        <v>2.734</v>
      </c>
      <c r="G26">
        <v>2.6960000000000002</v>
      </c>
      <c r="H26">
        <v>2.6789999999999998</v>
      </c>
      <c r="I26">
        <v>3.4329999999999998</v>
      </c>
      <c r="J26">
        <v>3.9119999999999999</v>
      </c>
    </row>
    <row r="27" spans="1:16" x14ac:dyDescent="0.2">
      <c r="A27" t="s">
        <v>6</v>
      </c>
      <c r="C27">
        <f t="shared" ref="C27:J27" si="0">SQRT(4+C26^2)</f>
        <v>8.9756615355081202</v>
      </c>
      <c r="D27">
        <f t="shared" si="0"/>
        <v>2.7953906703714955</v>
      </c>
      <c r="E27">
        <f t="shared" si="0"/>
        <v>2.5668815710897142</v>
      </c>
      <c r="F27">
        <f t="shared" si="0"/>
        <v>3.3874409219940649</v>
      </c>
      <c r="G27">
        <f t="shared" si="0"/>
        <v>3.356846138863085</v>
      </c>
      <c r="H27">
        <f t="shared" si="0"/>
        <v>3.3432081897482839</v>
      </c>
      <c r="I27">
        <f t="shared" si="0"/>
        <v>3.973095644456599</v>
      </c>
      <c r="J27">
        <f t="shared" si="0"/>
        <v>4.3936026219948481</v>
      </c>
    </row>
    <row r="28" spans="1:16" x14ac:dyDescent="0.2">
      <c r="A28" t="s">
        <v>10</v>
      </c>
      <c r="D28">
        <f t="shared" ref="D28:J28" si="1">D25/8.45</f>
        <v>1.6849704142011834</v>
      </c>
      <c r="E28">
        <f t="shared" si="1"/>
        <v>2.7352662721893495</v>
      </c>
      <c r="F28">
        <f t="shared" si="1"/>
        <v>2.4459171597633147</v>
      </c>
      <c r="G28">
        <f t="shared" si="1"/>
        <v>3.0731360946745552</v>
      </c>
      <c r="H28">
        <f t="shared" si="1"/>
        <v>2.6455621301775136</v>
      </c>
      <c r="I28">
        <f t="shared" si="1"/>
        <v>4.1068639053254445</v>
      </c>
      <c r="J28">
        <f t="shared" si="1"/>
        <v>3.3773964497041407</v>
      </c>
    </row>
    <row r="30" spans="1:16" s="1" customFormat="1" x14ac:dyDescent="0.2">
      <c r="A30" s="1" t="s">
        <v>16</v>
      </c>
      <c r="C30" s="1" t="s">
        <v>23</v>
      </c>
      <c r="E30" s="1" t="s">
        <v>25</v>
      </c>
    </row>
    <row r="31" spans="1:16" x14ac:dyDescent="0.2">
      <c r="A31" t="s">
        <v>9</v>
      </c>
      <c r="B31">
        <v>215.68</v>
      </c>
      <c r="C31">
        <v>229.94900000000001</v>
      </c>
      <c r="D31">
        <v>234.73</v>
      </c>
      <c r="E31">
        <v>237.328</v>
      </c>
      <c r="F31">
        <v>245.40600000000001</v>
      </c>
      <c r="G31">
        <v>275.61700000000002</v>
      </c>
      <c r="H31">
        <v>261.863</v>
      </c>
      <c r="I31">
        <v>243.59399999999999</v>
      </c>
      <c r="J31">
        <v>271.33999999999997</v>
      </c>
      <c r="K31">
        <v>271.13299999999998</v>
      </c>
      <c r="L31">
        <v>295.81200000000001</v>
      </c>
      <c r="M31">
        <v>308.85199999999998</v>
      </c>
      <c r="N31">
        <v>297.89800000000002</v>
      </c>
      <c r="O31">
        <v>306.137</v>
      </c>
      <c r="P31">
        <v>233.69499999999999</v>
      </c>
    </row>
    <row r="32" spans="1:16" x14ac:dyDescent="0.2">
      <c r="A32" t="s">
        <v>4</v>
      </c>
      <c r="C32">
        <f>C31-B31</f>
        <v>14.269000000000005</v>
      </c>
      <c r="D32">
        <f>D31-B31</f>
        <v>19.049999999999983</v>
      </c>
      <c r="E32">
        <f>E31-B31</f>
        <v>21.647999999999996</v>
      </c>
      <c r="F32">
        <f>F31-B31</f>
        <v>29.725999999999999</v>
      </c>
      <c r="G32">
        <f>G31-B31</f>
        <v>59.937000000000012</v>
      </c>
      <c r="H32">
        <f>H31-B31</f>
        <v>46.182999999999993</v>
      </c>
      <c r="I32">
        <f>I31-B31</f>
        <v>27.913999999999987</v>
      </c>
      <c r="J32">
        <f>J31-B31</f>
        <v>55.659999999999968</v>
      </c>
      <c r="K32">
        <f>K31-B31</f>
        <v>55.452999999999975</v>
      </c>
      <c r="L32">
        <f>L31-B31</f>
        <v>80.132000000000005</v>
      </c>
      <c r="M32">
        <f>M31-B31</f>
        <v>93.171999999999969</v>
      </c>
      <c r="N32">
        <f>N31-B31</f>
        <v>82.218000000000018</v>
      </c>
      <c r="O32">
        <f>O31-B31</f>
        <v>90.456999999999994</v>
      </c>
      <c r="P32">
        <f>P31-B31</f>
        <v>18.014999999999986</v>
      </c>
    </row>
    <row r="33" spans="1:16" x14ac:dyDescent="0.2">
      <c r="A33" t="s">
        <v>5</v>
      </c>
      <c r="C33">
        <v>9.6419999999999995</v>
      </c>
      <c r="D33">
        <v>2.3860000000000001</v>
      </c>
      <c r="E33">
        <v>1.786</v>
      </c>
      <c r="F33">
        <v>2.2160000000000002</v>
      </c>
      <c r="G33">
        <v>2.2629999999999999</v>
      </c>
      <c r="H33">
        <v>3.161</v>
      </c>
      <c r="I33">
        <v>2.0369999999999999</v>
      </c>
      <c r="J33">
        <v>2.48</v>
      </c>
      <c r="K33">
        <v>3.113</v>
      </c>
      <c r="L33">
        <v>3.6120000000000001</v>
      </c>
      <c r="M33">
        <v>3.5990000000000002</v>
      </c>
      <c r="N33">
        <v>3.2120000000000002</v>
      </c>
      <c r="O33">
        <v>2.8980000000000001</v>
      </c>
      <c r="P33">
        <v>13.613</v>
      </c>
    </row>
    <row r="34" spans="1:16" x14ac:dyDescent="0.2">
      <c r="A34" t="s">
        <v>6</v>
      </c>
      <c r="C34">
        <f t="shared" ref="C34:P34" si="2">SQRT(1+C33^2)</f>
        <v>9.6937177594563781</v>
      </c>
      <c r="D34">
        <f t="shared" si="2"/>
        <v>2.5870825267084157</v>
      </c>
      <c r="E34">
        <f t="shared" si="2"/>
        <v>2.0468991181785192</v>
      </c>
      <c r="F34">
        <f t="shared" si="2"/>
        <v>2.4311840736562917</v>
      </c>
      <c r="G34">
        <f t="shared" si="2"/>
        <v>2.4740996342103929</v>
      </c>
      <c r="H34">
        <f t="shared" si="2"/>
        <v>3.3154066115636556</v>
      </c>
      <c r="I34">
        <f t="shared" si="2"/>
        <v>2.2692221134124355</v>
      </c>
      <c r="J34">
        <f t="shared" si="2"/>
        <v>2.6740231861373229</v>
      </c>
      <c r="K34">
        <f t="shared" si="2"/>
        <v>3.2696741427854854</v>
      </c>
      <c r="L34">
        <f t="shared" si="2"/>
        <v>3.7478719295087979</v>
      </c>
      <c r="M34">
        <f t="shared" si="2"/>
        <v>3.735344830132822</v>
      </c>
      <c r="N34">
        <f t="shared" si="2"/>
        <v>3.3640665867369512</v>
      </c>
      <c r="O34">
        <f t="shared" si="2"/>
        <v>3.0656816534010836</v>
      </c>
      <c r="P34">
        <f t="shared" si="2"/>
        <v>13.649680179403472</v>
      </c>
    </row>
    <row r="35" spans="1:16" x14ac:dyDescent="0.2">
      <c r="A35" t="s">
        <v>10</v>
      </c>
      <c r="E35">
        <f t="shared" ref="E35:P35" si="3">E32/8.45</f>
        <v>2.5618934911242599</v>
      </c>
      <c r="F35">
        <f t="shared" si="3"/>
        <v>3.5178698224852072</v>
      </c>
      <c r="G35">
        <f t="shared" si="3"/>
        <v>7.0931360946745583</v>
      </c>
      <c r="H35">
        <f t="shared" si="3"/>
        <v>5.4654437869822479</v>
      </c>
      <c r="I35">
        <f t="shared" si="3"/>
        <v>3.3034319526627205</v>
      </c>
      <c r="J35">
        <f t="shared" si="3"/>
        <v>6.586982248520707</v>
      </c>
      <c r="K35">
        <f t="shared" si="3"/>
        <v>6.5624852071005897</v>
      </c>
      <c r="L35">
        <f t="shared" si="3"/>
        <v>9.4830769230769238</v>
      </c>
      <c r="M35">
        <f t="shared" si="3"/>
        <v>11.026272189349109</v>
      </c>
      <c r="N35">
        <f t="shared" si="3"/>
        <v>9.7299408284023698</v>
      </c>
      <c r="O35">
        <f t="shared" si="3"/>
        <v>10.704970414201183</v>
      </c>
      <c r="P35">
        <f t="shared" si="3"/>
        <v>2.1319526627218921</v>
      </c>
    </row>
    <row r="37" spans="1:16" s="1" customFormat="1" x14ac:dyDescent="0.2">
      <c r="A37" s="1" t="s">
        <v>279</v>
      </c>
      <c r="C37" s="1" t="s">
        <v>23</v>
      </c>
      <c r="E37" s="1" t="s">
        <v>25</v>
      </c>
    </row>
    <row r="38" spans="1:16" x14ac:dyDescent="0.2">
      <c r="A38" t="s">
        <v>9</v>
      </c>
      <c r="B38">
        <v>215.68</v>
      </c>
      <c r="C38">
        <v>222.48</v>
      </c>
      <c r="D38">
        <v>221.363</v>
      </c>
      <c r="E38">
        <v>228.691</v>
      </c>
      <c r="F38">
        <v>225.387</v>
      </c>
      <c r="G38">
        <v>233.328</v>
      </c>
      <c r="H38">
        <v>242.62100000000001</v>
      </c>
      <c r="I38">
        <v>234.477</v>
      </c>
      <c r="J38">
        <v>240.602</v>
      </c>
      <c r="K38">
        <v>274.46100000000001</v>
      </c>
      <c r="L38">
        <v>286.37099999999998</v>
      </c>
      <c r="M38">
        <v>275.65199999999999</v>
      </c>
    </row>
    <row r="39" spans="1:16" x14ac:dyDescent="0.2">
      <c r="A39" t="s">
        <v>21</v>
      </c>
      <c r="C39">
        <f>C38-B38</f>
        <v>6.7999999999999829</v>
      </c>
      <c r="D39">
        <f>D38-B38</f>
        <v>5.6829999999999927</v>
      </c>
      <c r="E39">
        <f>E38-B38</f>
        <v>13.010999999999996</v>
      </c>
      <c r="F39">
        <f>F38-B38</f>
        <v>9.7069999999999936</v>
      </c>
      <c r="G39">
        <f>G38-B38</f>
        <v>17.647999999999996</v>
      </c>
      <c r="H39">
        <f>H38-B38</f>
        <v>26.941000000000003</v>
      </c>
      <c r="I39">
        <f>I38-B38</f>
        <v>18.796999999999997</v>
      </c>
      <c r="J39">
        <f>J38-B38</f>
        <v>24.921999999999997</v>
      </c>
      <c r="K39">
        <f>K38-B38</f>
        <v>58.781000000000006</v>
      </c>
      <c r="L39">
        <f>L38-B38</f>
        <v>70.690999999999974</v>
      </c>
      <c r="M39">
        <f>M38-B38</f>
        <v>59.97199999999998</v>
      </c>
    </row>
    <row r="40" spans="1:16" x14ac:dyDescent="0.2">
      <c r="A40" t="s">
        <v>5</v>
      </c>
      <c r="C40">
        <v>3.97</v>
      </c>
      <c r="D40">
        <v>6.3620000000000001</v>
      </c>
      <c r="E40">
        <v>7.1749999999999998</v>
      </c>
      <c r="F40">
        <v>7.3520000000000003</v>
      </c>
      <c r="G40">
        <v>4.2409999999999997</v>
      </c>
      <c r="H40">
        <v>4.1349999999999998</v>
      </c>
      <c r="I40">
        <v>2.6480000000000001</v>
      </c>
      <c r="J40">
        <v>2.7229999999999999</v>
      </c>
      <c r="K40">
        <v>3.6110000000000002</v>
      </c>
      <c r="L40">
        <v>3.113</v>
      </c>
      <c r="M40">
        <v>2.2480000000000002</v>
      </c>
    </row>
    <row r="41" spans="1:16" x14ac:dyDescent="0.2">
      <c r="A41" t="s">
        <v>10</v>
      </c>
      <c r="E41">
        <f t="shared" ref="E41:M41" si="4">E39/8.45</f>
        <v>1.5397633136094671</v>
      </c>
      <c r="F41">
        <f t="shared" si="4"/>
        <v>1.1487573964497035</v>
      </c>
      <c r="G41">
        <f t="shared" si="4"/>
        <v>2.0885207100591714</v>
      </c>
      <c r="H41">
        <f t="shared" si="4"/>
        <v>3.1882840236686398</v>
      </c>
      <c r="I41">
        <f t="shared" si="4"/>
        <v>2.2244970414201184</v>
      </c>
      <c r="J41">
        <f t="shared" si="4"/>
        <v>2.9493491124260354</v>
      </c>
      <c r="K41">
        <f t="shared" si="4"/>
        <v>6.9563313609467468</v>
      </c>
      <c r="L41">
        <f t="shared" si="4"/>
        <v>8.365798816568045</v>
      </c>
      <c r="M41">
        <f t="shared" si="4"/>
        <v>7.0972781065088739</v>
      </c>
    </row>
    <row r="43" spans="1:16" s="1" customFormat="1" x14ac:dyDescent="0.2">
      <c r="A43" s="1" t="s">
        <v>19</v>
      </c>
      <c r="C43" s="1" t="s">
        <v>25</v>
      </c>
    </row>
    <row r="44" spans="1:16" x14ac:dyDescent="0.2">
      <c r="A44" t="s">
        <v>9</v>
      </c>
      <c r="B44">
        <v>215.68</v>
      </c>
      <c r="C44">
        <v>241.625</v>
      </c>
      <c r="D44">
        <v>236.023</v>
      </c>
      <c r="E44">
        <v>227.57</v>
      </c>
      <c r="F44">
        <v>224.73400000000001</v>
      </c>
    </row>
    <row r="45" spans="1:16" x14ac:dyDescent="0.2">
      <c r="A45" t="s">
        <v>4</v>
      </c>
      <c r="C45">
        <f>C44-B44</f>
        <v>25.944999999999993</v>
      </c>
      <c r="D45">
        <f>D44-B44</f>
        <v>20.342999999999989</v>
      </c>
      <c r="E45">
        <f>E44-B44</f>
        <v>11.889999999999986</v>
      </c>
      <c r="F45">
        <f>F44-B44</f>
        <v>9.054000000000002</v>
      </c>
    </row>
    <row r="46" spans="1:16" x14ac:dyDescent="0.2">
      <c r="A46" t="s">
        <v>5</v>
      </c>
      <c r="C46">
        <v>7.0910000000000002</v>
      </c>
      <c r="D46">
        <v>4.7759999999999998</v>
      </c>
      <c r="E46">
        <v>2.8029999999999999</v>
      </c>
      <c r="F46">
        <v>3.22</v>
      </c>
    </row>
    <row r="47" spans="1:16" x14ac:dyDescent="0.2">
      <c r="A47" t="s">
        <v>17</v>
      </c>
      <c r="C47">
        <f>SQRT(1+C46^2)</f>
        <v>7.1611647795592583</v>
      </c>
      <c r="D47">
        <f>SQRT(1+D46^2)</f>
        <v>4.8795671939220178</v>
      </c>
      <c r="E47">
        <f>SQRT(1+E46^2)</f>
        <v>2.9760391462479117</v>
      </c>
      <c r="F47">
        <f>SQRT(1+F46^2)</f>
        <v>3.371705799739948</v>
      </c>
    </row>
    <row r="48" spans="1:16" x14ac:dyDescent="0.2">
      <c r="A48" t="s">
        <v>10</v>
      </c>
      <c r="C48">
        <f>C45/8.45</f>
        <v>3.0704142011834312</v>
      </c>
      <c r="D48">
        <f>D45/8.45</f>
        <v>2.4074556213017742</v>
      </c>
      <c r="E48">
        <f>E45/8.45</f>
        <v>1.4071005917159749</v>
      </c>
      <c r="F48">
        <f>F45/8.45</f>
        <v>1.0714792899408287</v>
      </c>
    </row>
    <row r="51" spans="1:2" x14ac:dyDescent="0.2">
      <c r="A51" t="s">
        <v>27</v>
      </c>
      <c r="B51">
        <v>50.92</v>
      </c>
    </row>
    <row r="52" spans="1:2" x14ac:dyDescent="0.2">
      <c r="A52" t="s">
        <v>33</v>
      </c>
      <c r="B52">
        <f>AVERAGE(C39:D39,C32:D32,C25,)</f>
        <v>8.4663333333333242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6B09-96F9-354C-9DC5-BDC318AB5EFF}">
  <dimension ref="A1:R44"/>
  <sheetViews>
    <sheetView workbookViewId="0">
      <selection activeCell="T51" sqref="T51"/>
    </sheetView>
  </sheetViews>
  <sheetFormatPr baseColWidth="10" defaultColWidth="8.83203125" defaultRowHeight="15" x14ac:dyDescent="0.2"/>
  <cols>
    <col min="1" max="2" width="18.5" customWidth="1"/>
  </cols>
  <sheetData>
    <row r="1" spans="1:8" x14ac:dyDescent="0.2">
      <c r="A1" t="s">
        <v>281</v>
      </c>
    </row>
    <row r="2" spans="1:8" s="1" customFormat="1" x14ac:dyDescent="0.2">
      <c r="A2" s="1" t="s">
        <v>13</v>
      </c>
      <c r="B2" s="1" t="s">
        <v>30</v>
      </c>
      <c r="C2" s="1" t="s">
        <v>24</v>
      </c>
    </row>
    <row r="3" spans="1:8" x14ac:dyDescent="0.2">
      <c r="A3" t="s">
        <v>9</v>
      </c>
      <c r="B3">
        <v>212.82900000000001</v>
      </c>
      <c r="C3">
        <v>239.75800000000001</v>
      </c>
      <c r="D3">
        <v>248.33199999999999</v>
      </c>
      <c r="E3">
        <v>237.191</v>
      </c>
      <c r="F3">
        <v>225.14099999999999</v>
      </c>
    </row>
    <row r="4" spans="1:8" x14ac:dyDescent="0.2">
      <c r="A4" t="s">
        <v>4</v>
      </c>
      <c r="C4">
        <f>C3-B3</f>
        <v>26.929000000000002</v>
      </c>
      <c r="D4">
        <f>D3-B3</f>
        <v>35.502999999999986</v>
      </c>
      <c r="E4">
        <f>E3-B3</f>
        <v>24.361999999999995</v>
      </c>
      <c r="F4">
        <f>F3-B3</f>
        <v>12.311999999999983</v>
      </c>
    </row>
    <row r="5" spans="1:8" x14ac:dyDescent="0.2">
      <c r="A5" t="s">
        <v>31</v>
      </c>
      <c r="C5">
        <v>1.6619999999999999</v>
      </c>
      <c r="D5">
        <v>1.575</v>
      </c>
      <c r="E5">
        <v>1.5369999999999999</v>
      </c>
      <c r="F5">
        <v>2.387</v>
      </c>
    </row>
    <row r="6" spans="1:8" x14ac:dyDescent="0.2">
      <c r="A6" t="s">
        <v>6</v>
      </c>
      <c r="C6">
        <f>SQRT(4+C5^2)</f>
        <v>2.6004315026548959</v>
      </c>
      <c r="D6">
        <f>SQRT(4+D5^2)</f>
        <v>2.5457071709055619</v>
      </c>
      <c r="E6">
        <f>SQRT(4+E5^2)</f>
        <v>2.5223736836559327</v>
      </c>
      <c r="F6">
        <f>SQRT(4+F5^2)</f>
        <v>3.1141241144180496</v>
      </c>
    </row>
    <row r="7" spans="1:8" x14ac:dyDescent="0.2">
      <c r="A7" t="s">
        <v>10</v>
      </c>
      <c r="C7">
        <f>C4/9.8</f>
        <v>2.7478571428571428</v>
      </c>
      <c r="D7">
        <f>D4/9.8</f>
        <v>3.6227551020408146</v>
      </c>
      <c r="E7">
        <f>E4/9.8</f>
        <v>2.4859183673469381</v>
      </c>
      <c r="F7">
        <f>F4/9.8</f>
        <v>1.2563265306122431</v>
      </c>
    </row>
    <row r="9" spans="1:8" s="1" customFormat="1" x14ac:dyDescent="0.2">
      <c r="A9" s="1" t="s">
        <v>14</v>
      </c>
      <c r="C9" s="1" t="s">
        <v>25</v>
      </c>
    </row>
    <row r="10" spans="1:8" x14ac:dyDescent="0.2">
      <c r="A10" t="s">
        <v>9</v>
      </c>
      <c r="B10">
        <v>212.82900000000001</v>
      </c>
      <c r="C10">
        <v>242.83199999999999</v>
      </c>
      <c r="D10">
        <v>239.32</v>
      </c>
      <c r="E10">
        <v>242.27699999999999</v>
      </c>
      <c r="F10">
        <v>279.29700000000003</v>
      </c>
      <c r="G10">
        <v>268.20299999999997</v>
      </c>
      <c r="H10">
        <v>244.49600000000001</v>
      </c>
    </row>
    <row r="11" spans="1:8" x14ac:dyDescent="0.2">
      <c r="A11" t="s">
        <v>4</v>
      </c>
      <c r="C11">
        <f>C10-B10</f>
        <v>30.002999999999986</v>
      </c>
      <c r="D11">
        <f>D10-B10</f>
        <v>26.490999999999985</v>
      </c>
      <c r="E11">
        <f>E10-B10</f>
        <v>29.447999999999979</v>
      </c>
      <c r="F11">
        <f>F10-B10</f>
        <v>66.468000000000018</v>
      </c>
      <c r="G11">
        <f>G10-B10</f>
        <v>55.373999999999967</v>
      </c>
      <c r="H11">
        <f>H10-B10</f>
        <v>31.667000000000002</v>
      </c>
    </row>
    <row r="12" spans="1:8" x14ac:dyDescent="0.2">
      <c r="A12" t="s">
        <v>5</v>
      </c>
      <c r="C12">
        <v>1.597</v>
      </c>
      <c r="D12">
        <v>1.3919999999999999</v>
      </c>
      <c r="E12">
        <v>1.337</v>
      </c>
      <c r="F12">
        <v>1.546</v>
      </c>
      <c r="G12">
        <v>2.3919999999999999</v>
      </c>
      <c r="H12">
        <v>2.887</v>
      </c>
    </row>
    <row r="13" spans="1:8" x14ac:dyDescent="0.2">
      <c r="A13" t="s">
        <v>6</v>
      </c>
      <c r="C13">
        <f t="shared" ref="C13:H13" si="0">SQRT(1+C12^2)</f>
        <v>1.8842529023461791</v>
      </c>
      <c r="D13">
        <f t="shared" si="0"/>
        <v>1.7139614931497147</v>
      </c>
      <c r="E13">
        <f t="shared" si="0"/>
        <v>1.6696014494483407</v>
      </c>
      <c r="F13">
        <f t="shared" si="0"/>
        <v>1.841226764958624</v>
      </c>
      <c r="G13">
        <f t="shared" si="0"/>
        <v>2.5926172104651313</v>
      </c>
      <c r="H13">
        <f t="shared" si="0"/>
        <v>3.055285420382194</v>
      </c>
    </row>
    <row r="14" spans="1:8" x14ac:dyDescent="0.2">
      <c r="A14" t="s">
        <v>10</v>
      </c>
      <c r="C14">
        <f t="shared" ref="C14:H14" si="1">C11/9.8</f>
        <v>3.0615306122448964</v>
      </c>
      <c r="D14">
        <f t="shared" si="1"/>
        <v>2.7031632653061206</v>
      </c>
      <c r="E14">
        <f t="shared" si="1"/>
        <v>3.0048979591836713</v>
      </c>
      <c r="F14">
        <f t="shared" si="1"/>
        <v>6.7824489795918383</v>
      </c>
      <c r="G14">
        <f t="shared" si="1"/>
        <v>5.6504081632653023</v>
      </c>
      <c r="H14">
        <f t="shared" si="1"/>
        <v>3.231326530612245</v>
      </c>
    </row>
    <row r="16" spans="1:8" s="1" customFormat="1" x14ac:dyDescent="0.2">
      <c r="A16" s="1" t="s">
        <v>274</v>
      </c>
      <c r="C16" s="1" t="s">
        <v>23</v>
      </c>
      <c r="E16" s="1" t="s">
        <v>24</v>
      </c>
    </row>
    <row r="17" spans="1:18" x14ac:dyDescent="0.2">
      <c r="A17" t="s">
        <v>9</v>
      </c>
      <c r="B17">
        <v>212.82900000000001</v>
      </c>
      <c r="C17">
        <v>220.852</v>
      </c>
      <c r="D17">
        <v>220.86699999999999</v>
      </c>
      <c r="E17">
        <v>241.77699999999999</v>
      </c>
      <c r="F17">
        <v>250.172</v>
      </c>
      <c r="G17">
        <v>239.34399999999999</v>
      </c>
      <c r="H17">
        <v>267.89100000000002</v>
      </c>
      <c r="I17">
        <v>265.66800000000001</v>
      </c>
      <c r="J17">
        <v>287.32799999999997</v>
      </c>
      <c r="K17">
        <v>281.06200000000001</v>
      </c>
      <c r="L17">
        <v>314.27</v>
      </c>
      <c r="M17">
        <v>322.125</v>
      </c>
      <c r="N17">
        <v>273.18799999999999</v>
      </c>
      <c r="O17">
        <v>248.64099999999999</v>
      </c>
      <c r="P17">
        <v>306.887</v>
      </c>
      <c r="Q17">
        <v>302.68400000000003</v>
      </c>
      <c r="R17">
        <v>249.73400000000001</v>
      </c>
    </row>
    <row r="18" spans="1:18" x14ac:dyDescent="0.2">
      <c r="A18" t="s">
        <v>4</v>
      </c>
      <c r="C18">
        <f>C17-B17</f>
        <v>8.0229999999999961</v>
      </c>
      <c r="D18">
        <f>D17-B17</f>
        <v>8.0379999999999825</v>
      </c>
      <c r="E18">
        <f>E17-B17</f>
        <v>28.947999999999979</v>
      </c>
      <c r="F18">
        <f>F17-B17</f>
        <v>37.342999999999989</v>
      </c>
      <c r="G18">
        <f>G17-B17</f>
        <v>26.514999999999986</v>
      </c>
      <c r="H18">
        <f>H17-B17</f>
        <v>55.062000000000012</v>
      </c>
      <c r="I18">
        <f>I17-B17</f>
        <v>52.838999999999999</v>
      </c>
      <c r="J18">
        <f>J17-B17</f>
        <v>74.498999999999967</v>
      </c>
      <c r="K18">
        <f>K17-B17</f>
        <v>68.233000000000004</v>
      </c>
      <c r="L18">
        <f>L17-B17</f>
        <v>101.44099999999997</v>
      </c>
      <c r="M18">
        <f>M17-B17</f>
        <v>109.29599999999999</v>
      </c>
      <c r="N18">
        <f>N17-B17</f>
        <v>60.35899999999998</v>
      </c>
      <c r="O18">
        <f>O17-B17</f>
        <v>35.811999999999983</v>
      </c>
      <c r="P18">
        <f>P17-B17</f>
        <v>94.057999999999993</v>
      </c>
      <c r="Q18">
        <f>Q17-B17</f>
        <v>89.855000000000018</v>
      </c>
      <c r="R18">
        <f>R17-B17</f>
        <v>36.905000000000001</v>
      </c>
    </row>
    <row r="19" spans="1:18" x14ac:dyDescent="0.2">
      <c r="A19" t="s">
        <v>5</v>
      </c>
      <c r="C19">
        <v>4.6470000000000002</v>
      </c>
      <c r="D19">
        <v>10.706</v>
      </c>
      <c r="E19">
        <v>3.0579999999999998</v>
      </c>
      <c r="F19">
        <v>2.5049999999999999</v>
      </c>
      <c r="G19">
        <v>2.008</v>
      </c>
      <c r="H19">
        <v>2.1179999999999999</v>
      </c>
      <c r="I19">
        <v>1.464</v>
      </c>
      <c r="J19">
        <v>1.9339999999999999</v>
      </c>
      <c r="K19">
        <v>1.353</v>
      </c>
      <c r="L19">
        <v>1.381</v>
      </c>
      <c r="M19">
        <v>1.214</v>
      </c>
      <c r="N19">
        <v>1.2250000000000001</v>
      </c>
      <c r="O19">
        <v>1.7090000000000001</v>
      </c>
      <c r="P19">
        <v>3.0409999999999999</v>
      </c>
      <c r="Q19">
        <v>2.7879999999999998</v>
      </c>
      <c r="R19">
        <v>2.8239999999999998</v>
      </c>
    </row>
    <row r="20" spans="1:18" x14ac:dyDescent="0.2">
      <c r="A20" t="s">
        <v>10</v>
      </c>
      <c r="E20">
        <f t="shared" ref="E20:R20" si="2">E18/9.8</f>
        <v>2.9538775510204056</v>
      </c>
      <c r="F20">
        <f t="shared" si="2"/>
        <v>3.8105102040816314</v>
      </c>
      <c r="G20">
        <f t="shared" si="2"/>
        <v>2.7056122448979574</v>
      </c>
      <c r="H20">
        <f t="shared" si="2"/>
        <v>5.6185714285714292</v>
      </c>
      <c r="I20">
        <f t="shared" si="2"/>
        <v>5.3917346938775506</v>
      </c>
      <c r="J20">
        <f t="shared" si="2"/>
        <v>7.6019387755102006</v>
      </c>
      <c r="K20">
        <f t="shared" si="2"/>
        <v>6.9625510204081635</v>
      </c>
      <c r="L20">
        <f t="shared" si="2"/>
        <v>10.351122448979588</v>
      </c>
      <c r="M20">
        <f t="shared" si="2"/>
        <v>11.152653061224488</v>
      </c>
      <c r="N20">
        <f t="shared" si="2"/>
        <v>6.1590816326530584</v>
      </c>
      <c r="O20">
        <f t="shared" si="2"/>
        <v>3.6542857142857121</v>
      </c>
      <c r="P20">
        <f t="shared" si="2"/>
        <v>9.5977551020408143</v>
      </c>
      <c r="Q20">
        <f t="shared" si="2"/>
        <v>9.1688775510204099</v>
      </c>
      <c r="R20">
        <f t="shared" si="2"/>
        <v>3.7658163265306119</v>
      </c>
    </row>
    <row r="22" spans="1:18" s="1" customFormat="1" x14ac:dyDescent="0.2">
      <c r="A22" s="1" t="s">
        <v>16</v>
      </c>
      <c r="C22" s="1" t="s">
        <v>23</v>
      </c>
      <c r="D22" s="1" t="s">
        <v>24</v>
      </c>
    </row>
    <row r="23" spans="1:18" x14ac:dyDescent="0.2">
      <c r="A23" t="s">
        <v>9</v>
      </c>
      <c r="B23">
        <v>212.82900000000001</v>
      </c>
      <c r="C23">
        <v>226.17599999999999</v>
      </c>
      <c r="D23">
        <v>242.465</v>
      </c>
      <c r="E23">
        <v>246.352</v>
      </c>
      <c r="F23">
        <v>226.99199999999999</v>
      </c>
      <c r="G23">
        <v>227.035</v>
      </c>
      <c r="H23">
        <v>258.42599999999999</v>
      </c>
      <c r="I23">
        <v>287.92599999999999</v>
      </c>
      <c r="J23">
        <v>252.81200000000001</v>
      </c>
      <c r="K23">
        <v>246.39099999999999</v>
      </c>
      <c r="L23">
        <v>253.13300000000001</v>
      </c>
      <c r="M23">
        <v>295.137</v>
      </c>
      <c r="N23">
        <v>312.51600000000002</v>
      </c>
      <c r="O23">
        <v>302.36700000000002</v>
      </c>
      <c r="P23">
        <v>250.03100000000001</v>
      </c>
      <c r="Q23">
        <v>239.93</v>
      </c>
    </row>
    <row r="24" spans="1:18" x14ac:dyDescent="0.2">
      <c r="A24" t="s">
        <v>4</v>
      </c>
      <c r="C24">
        <f>C23-B23</f>
        <v>13.34699999999998</v>
      </c>
      <c r="D24">
        <f>D23-B23</f>
        <v>29.635999999999996</v>
      </c>
      <c r="E24">
        <f>E23-B23</f>
        <v>33.522999999999996</v>
      </c>
      <c r="F24">
        <f>F23-B23</f>
        <v>14.162999999999982</v>
      </c>
      <c r="G24">
        <f>G23-B23</f>
        <v>14.205999999999989</v>
      </c>
      <c r="H24">
        <f>H23-B23</f>
        <v>45.59699999999998</v>
      </c>
      <c r="I24">
        <f>I23-B23</f>
        <v>75.09699999999998</v>
      </c>
      <c r="J24">
        <f>J23-B23</f>
        <v>39.983000000000004</v>
      </c>
      <c r="K24">
        <f>K23-B23</f>
        <v>33.561999999999983</v>
      </c>
      <c r="L24">
        <f>L23-B23</f>
        <v>40.304000000000002</v>
      </c>
      <c r="M24">
        <f>M23-B23</f>
        <v>82.307999999999993</v>
      </c>
      <c r="N24">
        <f>N23-B23</f>
        <v>99.687000000000012</v>
      </c>
      <c r="O24">
        <f>O23-B23</f>
        <v>89.538000000000011</v>
      </c>
      <c r="P24">
        <f>P23-B23</f>
        <v>37.201999999999998</v>
      </c>
      <c r="Q24">
        <f>Q23-B23</f>
        <v>27.100999999999999</v>
      </c>
    </row>
    <row r="25" spans="1:18" x14ac:dyDescent="0.2">
      <c r="A25" t="s">
        <v>31</v>
      </c>
      <c r="C25">
        <v>7.7220000000000004</v>
      </c>
      <c r="D25">
        <v>3.3980000000000001</v>
      </c>
      <c r="E25">
        <v>2.7669999999999999</v>
      </c>
      <c r="F25">
        <v>1.9990000000000001</v>
      </c>
      <c r="G25">
        <v>2.5030000000000001</v>
      </c>
      <c r="H25">
        <v>1.4810000000000001</v>
      </c>
      <c r="I25">
        <v>1.796</v>
      </c>
      <c r="J25">
        <v>1.4330000000000001</v>
      </c>
      <c r="K25">
        <v>0.88500000000000001</v>
      </c>
      <c r="L25">
        <v>3.0870000000000002</v>
      </c>
      <c r="M25">
        <v>2.5379999999999998</v>
      </c>
      <c r="N25">
        <v>2.3849999999999998</v>
      </c>
      <c r="O25">
        <v>2.87</v>
      </c>
      <c r="P25">
        <v>11.151</v>
      </c>
      <c r="Q25">
        <v>11.654</v>
      </c>
    </row>
    <row r="26" spans="1:18" x14ac:dyDescent="0.2">
      <c r="A26" t="s">
        <v>17</v>
      </c>
      <c r="C26">
        <f t="shared" ref="C26:Q26" si="3">SQRT(1+C25^2)</f>
        <v>7.7864808482394672</v>
      </c>
      <c r="D26">
        <f t="shared" si="3"/>
        <v>3.5420903432860094</v>
      </c>
      <c r="E26">
        <f t="shared" si="3"/>
        <v>2.9421572017823929</v>
      </c>
      <c r="F26">
        <f t="shared" si="3"/>
        <v>2.2351735950480447</v>
      </c>
      <c r="G26">
        <f t="shared" si="3"/>
        <v>2.6953680639200281</v>
      </c>
      <c r="H26">
        <f t="shared" si="3"/>
        <v>1.7869977616102377</v>
      </c>
      <c r="I26">
        <f t="shared" si="3"/>
        <v>2.0556303169587671</v>
      </c>
      <c r="J26">
        <f t="shared" si="3"/>
        <v>1.7474235319463911</v>
      </c>
      <c r="K26">
        <f t="shared" si="3"/>
        <v>1.3353744793128255</v>
      </c>
      <c r="L26">
        <f t="shared" si="3"/>
        <v>3.2449297372978663</v>
      </c>
      <c r="M26">
        <f t="shared" si="3"/>
        <v>2.7279010245974833</v>
      </c>
      <c r="N26">
        <f t="shared" si="3"/>
        <v>2.5861602811890836</v>
      </c>
      <c r="O26">
        <f t="shared" si="3"/>
        <v>3.0392268753747227</v>
      </c>
      <c r="P26">
        <f t="shared" si="3"/>
        <v>11.195749237992068</v>
      </c>
      <c r="Q26">
        <f t="shared" si="3"/>
        <v>11.696825039300196</v>
      </c>
    </row>
    <row r="27" spans="1:18" x14ac:dyDescent="0.2">
      <c r="A27" t="s">
        <v>10</v>
      </c>
      <c r="D27">
        <f t="shared" ref="D27:Q27" si="4">D24/9.8</f>
        <v>3.0240816326530604</v>
      </c>
      <c r="E27">
        <f t="shared" si="4"/>
        <v>3.4207142857142849</v>
      </c>
      <c r="F27">
        <f t="shared" si="4"/>
        <v>1.4452040816326512</v>
      </c>
      <c r="G27">
        <f t="shared" si="4"/>
        <v>1.4495918367346927</v>
      </c>
      <c r="H27">
        <f t="shared" si="4"/>
        <v>4.652755102040814</v>
      </c>
      <c r="I27">
        <f t="shared" si="4"/>
        <v>7.6629591836734665</v>
      </c>
      <c r="J27">
        <f t="shared" si="4"/>
        <v>4.0798979591836737</v>
      </c>
      <c r="K27">
        <f t="shared" si="4"/>
        <v>3.4246938775510185</v>
      </c>
      <c r="L27">
        <f t="shared" si="4"/>
        <v>4.1126530612244894</v>
      </c>
      <c r="M27">
        <f t="shared" si="4"/>
        <v>8.3987755102040804</v>
      </c>
      <c r="N27">
        <f t="shared" si="4"/>
        <v>10.172142857142857</v>
      </c>
      <c r="O27">
        <f t="shared" si="4"/>
        <v>9.1365306122448988</v>
      </c>
      <c r="P27">
        <f t="shared" si="4"/>
        <v>3.7961224489795913</v>
      </c>
      <c r="Q27">
        <f t="shared" si="4"/>
        <v>2.765408163265306</v>
      </c>
    </row>
    <row r="29" spans="1:18" s="1" customFormat="1" x14ac:dyDescent="0.2">
      <c r="A29" s="1" t="s">
        <v>18</v>
      </c>
      <c r="C29" s="1" t="s">
        <v>25</v>
      </c>
    </row>
    <row r="30" spans="1:18" x14ac:dyDescent="0.2">
      <c r="A30" t="s">
        <v>3</v>
      </c>
      <c r="B30">
        <v>212.82900000000001</v>
      </c>
      <c r="C30">
        <v>230.91800000000001</v>
      </c>
      <c r="D30">
        <v>231.14099999999999</v>
      </c>
      <c r="E30">
        <v>235.30099999999999</v>
      </c>
      <c r="F30">
        <v>244.23400000000001</v>
      </c>
      <c r="G30">
        <v>283.46899999999999</v>
      </c>
      <c r="H30">
        <v>238.91800000000001</v>
      </c>
      <c r="I30">
        <v>254.39099999999999</v>
      </c>
      <c r="J30">
        <v>271.16800000000001</v>
      </c>
      <c r="K30">
        <v>251.988</v>
      </c>
      <c r="L30">
        <v>263.262</v>
      </c>
      <c r="M30">
        <v>270.04300000000001</v>
      </c>
      <c r="N30">
        <v>225.78899999999999</v>
      </c>
      <c r="O30">
        <v>256.17200000000003</v>
      </c>
    </row>
    <row r="31" spans="1:18" x14ac:dyDescent="0.2">
      <c r="A31" t="s">
        <v>4</v>
      </c>
      <c r="C31">
        <f>C30-B30</f>
        <v>18.088999999999999</v>
      </c>
      <c r="D31">
        <f>D30-B30</f>
        <v>18.311999999999983</v>
      </c>
      <c r="E31">
        <f>E30-B30</f>
        <v>22.47199999999998</v>
      </c>
      <c r="F31">
        <f>F30-B30</f>
        <v>31.405000000000001</v>
      </c>
      <c r="G31">
        <f>G30-B30</f>
        <v>70.639999999999986</v>
      </c>
      <c r="H31">
        <f>H30-B30</f>
        <v>26.088999999999999</v>
      </c>
      <c r="I31">
        <f>I30-B30</f>
        <v>41.561999999999983</v>
      </c>
      <c r="J31">
        <f>J30-B30</f>
        <v>58.338999999999999</v>
      </c>
      <c r="K31">
        <f>K30-B30</f>
        <v>39.158999999999992</v>
      </c>
      <c r="L31">
        <f>L30-B30</f>
        <v>50.432999999999993</v>
      </c>
      <c r="M31">
        <f>M30-B30</f>
        <v>57.213999999999999</v>
      </c>
      <c r="N31">
        <f>N30-B30</f>
        <v>12.95999999999998</v>
      </c>
      <c r="O31">
        <f>O30-B30</f>
        <v>43.343000000000018</v>
      </c>
    </row>
    <row r="32" spans="1:18" x14ac:dyDescent="0.2">
      <c r="A32" t="s">
        <v>5</v>
      </c>
      <c r="C32">
        <v>10.489000000000001</v>
      </c>
      <c r="D32">
        <v>11.433999999999999</v>
      </c>
      <c r="E32">
        <v>2.35</v>
      </c>
      <c r="F32">
        <v>2.35</v>
      </c>
      <c r="G32">
        <v>2.9449999999999998</v>
      </c>
      <c r="H32">
        <v>1.7270000000000001</v>
      </c>
      <c r="I32">
        <v>1.2430000000000001</v>
      </c>
      <c r="J32">
        <v>0.85599999999999998</v>
      </c>
      <c r="K32">
        <v>1.0209999999999999</v>
      </c>
      <c r="L32">
        <v>1.7030000000000001</v>
      </c>
      <c r="M32">
        <v>0.96099999999999997</v>
      </c>
      <c r="N32">
        <v>7.24</v>
      </c>
      <c r="O32">
        <v>8.0649999999999995</v>
      </c>
    </row>
    <row r="33" spans="1:15" x14ac:dyDescent="0.2">
      <c r="A33" t="s">
        <v>6</v>
      </c>
      <c r="C33">
        <f t="shared" ref="C33:O33" si="5">SQRT(4+C32^2)</f>
        <v>10.677973637352736</v>
      </c>
      <c r="D33">
        <f t="shared" si="5"/>
        <v>11.607599062683031</v>
      </c>
      <c r="E33">
        <f t="shared" si="5"/>
        <v>3.0858548248418947</v>
      </c>
      <c r="F33">
        <f t="shared" si="5"/>
        <v>3.0858548248418947</v>
      </c>
      <c r="G33">
        <f t="shared" si="5"/>
        <v>3.5599192406570124</v>
      </c>
      <c r="H33">
        <f t="shared" si="5"/>
        <v>2.6424475396874012</v>
      </c>
      <c r="I33">
        <f t="shared" si="5"/>
        <v>2.354792772198862</v>
      </c>
      <c r="J33">
        <f t="shared" si="5"/>
        <v>2.1754852332295891</v>
      </c>
      <c r="K33">
        <f t="shared" si="5"/>
        <v>2.2455380201635422</v>
      </c>
      <c r="L33">
        <f t="shared" si="5"/>
        <v>2.6268248894815964</v>
      </c>
      <c r="M33">
        <f t="shared" si="5"/>
        <v>2.2189008540266055</v>
      </c>
      <c r="N33">
        <f t="shared" si="5"/>
        <v>7.5111650228176989</v>
      </c>
      <c r="O33">
        <f t="shared" si="5"/>
        <v>8.3092854686790005</v>
      </c>
    </row>
    <row r="34" spans="1:15" x14ac:dyDescent="0.2">
      <c r="A34" t="s">
        <v>10</v>
      </c>
      <c r="C34">
        <f t="shared" ref="C34:O34" si="6">C31/9.8</f>
        <v>1.845816326530612</v>
      </c>
      <c r="D34">
        <f t="shared" si="6"/>
        <v>1.8685714285714268</v>
      </c>
      <c r="E34">
        <f t="shared" si="6"/>
        <v>2.2930612244897937</v>
      </c>
      <c r="F34">
        <f t="shared" si="6"/>
        <v>3.2045918367346937</v>
      </c>
      <c r="G34">
        <f t="shared" si="6"/>
        <v>7.2081632653061209</v>
      </c>
      <c r="H34">
        <f t="shared" si="6"/>
        <v>2.6621428571428569</v>
      </c>
      <c r="I34">
        <f t="shared" si="6"/>
        <v>4.241020408163263</v>
      </c>
      <c r="J34">
        <f t="shared" si="6"/>
        <v>5.9529591836734692</v>
      </c>
      <c r="K34">
        <f t="shared" si="6"/>
        <v>3.995816326530611</v>
      </c>
      <c r="L34">
        <f t="shared" si="6"/>
        <v>5.1462244897959168</v>
      </c>
      <c r="M34">
        <f t="shared" si="6"/>
        <v>5.8381632653061217</v>
      </c>
      <c r="N34">
        <f t="shared" si="6"/>
        <v>1.3224489795918346</v>
      </c>
      <c r="O34">
        <f t="shared" si="6"/>
        <v>4.422755102040818</v>
      </c>
    </row>
    <row r="36" spans="1:15" s="1" customFormat="1" x14ac:dyDescent="0.2">
      <c r="A36" s="1" t="s">
        <v>19</v>
      </c>
      <c r="C36" s="1" t="s">
        <v>24</v>
      </c>
    </row>
    <row r="37" spans="1:15" x14ac:dyDescent="0.2">
      <c r="A37" t="s">
        <v>9</v>
      </c>
      <c r="B37">
        <v>212.82900000000001</v>
      </c>
      <c r="C37">
        <v>221.28100000000001</v>
      </c>
      <c r="D37">
        <v>226.66</v>
      </c>
      <c r="E37">
        <v>245.477</v>
      </c>
      <c r="F37">
        <v>236.83199999999999</v>
      </c>
      <c r="G37">
        <v>237.309</v>
      </c>
      <c r="H37">
        <v>228.203</v>
      </c>
      <c r="I37">
        <v>230.61699999999999</v>
      </c>
    </row>
    <row r="38" spans="1:15" x14ac:dyDescent="0.2">
      <c r="A38" t="s">
        <v>4</v>
      </c>
      <c r="C38">
        <f>C37-B37</f>
        <v>8.4519999999999982</v>
      </c>
      <c r="D38">
        <f>D37-B37</f>
        <v>13.830999999999989</v>
      </c>
      <c r="E38">
        <f>E37-B37</f>
        <v>32.647999999999996</v>
      </c>
      <c r="F38">
        <f>F37-B37</f>
        <v>24.002999999999986</v>
      </c>
      <c r="G38">
        <f>G37-B37</f>
        <v>24.47999999999999</v>
      </c>
      <c r="H38">
        <f>H37-B37</f>
        <v>15.373999999999995</v>
      </c>
      <c r="I38">
        <f>I37-B37</f>
        <v>17.787999999999982</v>
      </c>
    </row>
    <row r="39" spans="1:15" x14ac:dyDescent="0.2">
      <c r="A39" t="s">
        <v>5</v>
      </c>
      <c r="C39">
        <v>8.0289999999999999</v>
      </c>
      <c r="D39">
        <v>8.3089999999999993</v>
      </c>
      <c r="E39">
        <v>0.995</v>
      </c>
      <c r="F39">
        <v>1.1639999999999999</v>
      </c>
      <c r="G39">
        <v>1.2889999999999999</v>
      </c>
      <c r="H39">
        <v>2.0209999999999999</v>
      </c>
      <c r="I39">
        <v>2.9740000000000002</v>
      </c>
    </row>
    <row r="40" spans="1:15" x14ac:dyDescent="0.2">
      <c r="A40" t="s">
        <v>17</v>
      </c>
      <c r="C40">
        <f t="shared" ref="C40:I40" si="7">SQRT(9+C39^2)</f>
        <v>8.5711633399440004</v>
      </c>
      <c r="D40">
        <f t="shared" si="7"/>
        <v>8.8339957550363355</v>
      </c>
      <c r="E40">
        <f t="shared" si="7"/>
        <v>3.1607000806783296</v>
      </c>
      <c r="F40">
        <f t="shared" si="7"/>
        <v>3.2179024223863593</v>
      </c>
      <c r="G40">
        <f t="shared" si="7"/>
        <v>3.2651984625746717</v>
      </c>
      <c r="H40">
        <f t="shared" si="7"/>
        <v>3.6172421815521281</v>
      </c>
      <c r="I40">
        <f t="shared" si="7"/>
        <v>4.2242959176648593</v>
      </c>
    </row>
    <row r="41" spans="1:15" x14ac:dyDescent="0.2">
      <c r="A41" t="s">
        <v>10</v>
      </c>
      <c r="C41">
        <f t="shared" ref="C41:I41" si="8">C38/9.8</f>
        <v>0.86244897959183653</v>
      </c>
      <c r="D41">
        <f t="shared" si="8"/>
        <v>1.4113265306122436</v>
      </c>
      <c r="E41">
        <f t="shared" si="8"/>
        <v>3.331428571428571</v>
      </c>
      <c r="F41">
        <f t="shared" si="8"/>
        <v>2.4492857142857125</v>
      </c>
      <c r="G41">
        <f t="shared" si="8"/>
        <v>2.4979591836734683</v>
      </c>
      <c r="H41">
        <f t="shared" si="8"/>
        <v>1.568775510204081</v>
      </c>
      <c r="I41">
        <f t="shared" si="8"/>
        <v>1.8151020408163245</v>
      </c>
    </row>
    <row r="43" spans="1:15" x14ac:dyDescent="0.2">
      <c r="A43" t="s">
        <v>33</v>
      </c>
      <c r="B43">
        <f>AVERAGE(C24,C18:D18)</f>
        <v>9.8026666666666529</v>
      </c>
    </row>
    <row r="44" spans="1:15" x14ac:dyDescent="0.2">
      <c r="A44" t="s">
        <v>27</v>
      </c>
      <c r="B44">
        <v>51.414999999999999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57C2-0FD8-4C42-B188-DBED74B89F6E}">
  <sheetPr>
    <outlinePr summaryBelow="0" summaryRight="0"/>
  </sheetPr>
  <dimension ref="A1:X80"/>
  <sheetViews>
    <sheetView zoomScaleNormal="100" workbookViewId="0">
      <selection activeCell="P2" sqref="P2"/>
    </sheetView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6" ht="16" x14ac:dyDescent="0.2">
      <c r="A1" s="12"/>
      <c r="B1" s="12"/>
      <c r="C1" s="15">
        <v>45098</v>
      </c>
      <c r="D1" s="12"/>
      <c r="E1" s="12"/>
      <c r="F1" s="12"/>
      <c r="G1" s="12"/>
      <c r="H1" s="12"/>
    </row>
    <row r="2" spans="1:16" ht="16" x14ac:dyDescent="0.2">
      <c r="A2" s="12"/>
      <c r="B2" s="12"/>
      <c r="C2" s="12"/>
      <c r="D2" s="12"/>
      <c r="E2" s="12"/>
      <c r="F2" s="12"/>
      <c r="G2" s="12"/>
      <c r="H2" s="12"/>
    </row>
    <row r="3" spans="1:16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6" ht="16" x14ac:dyDescent="0.2">
      <c r="A4" s="12" t="s">
        <v>27</v>
      </c>
      <c r="B4" s="13">
        <v>44.381</v>
      </c>
      <c r="C4" s="12"/>
      <c r="D4" s="12" t="s">
        <v>73</v>
      </c>
      <c r="E4" s="13">
        <f>AVERAGE(C8,D8,E8,F8,C14,D14,E14,F14,G14,H14,C21,D21,E21,F21,C42,C49,D49,E49,F49,G49,H49,I49,J49,K49,C56,E56,D56,F56,G56,H56,I56,J56,K56,L56,M56,C63,D63,E63,F63,G63,H63,C70,D70,E70,F70,G70,H70,C77)</f>
        <v>82.437791666666683</v>
      </c>
      <c r="F4" s="12"/>
      <c r="G4" s="55" t="s">
        <v>72</v>
      </c>
      <c r="H4" s="56"/>
    </row>
    <row r="5" spans="1:16" ht="16" x14ac:dyDescent="0.2">
      <c r="A5" s="12"/>
      <c r="B5" s="12"/>
      <c r="C5" s="12"/>
      <c r="D5" s="12"/>
      <c r="E5" s="12"/>
      <c r="F5" s="12"/>
      <c r="G5" s="12"/>
      <c r="H5" s="12"/>
    </row>
    <row r="6" spans="1:16" ht="15" x14ac:dyDescent="0.2">
      <c r="A6" s="10" t="s">
        <v>113</v>
      </c>
      <c r="B6" s="14" t="s">
        <v>70</v>
      </c>
      <c r="C6" s="8">
        <v>1</v>
      </c>
      <c r="D6" s="8">
        <v>1</v>
      </c>
      <c r="E6" s="8">
        <v>1</v>
      </c>
      <c r="F6" s="8">
        <v>1</v>
      </c>
      <c r="P6" s="8"/>
    </row>
    <row r="7" spans="1:16" ht="16" x14ac:dyDescent="0.2">
      <c r="A7" s="9" t="s">
        <v>63</v>
      </c>
      <c r="B7" s="13">
        <v>223.042</v>
      </c>
      <c r="C7" s="8">
        <v>358.14800000000002</v>
      </c>
      <c r="D7" s="8">
        <v>339.15199999999999</v>
      </c>
      <c r="E7" s="8">
        <v>330.05099999999999</v>
      </c>
      <c r="F7" s="8">
        <v>285.57799999999997</v>
      </c>
      <c r="G7" s="8">
        <v>277.387</v>
      </c>
      <c r="H7" s="8">
        <v>277.14100000000002</v>
      </c>
      <c r="I7" s="8">
        <v>352.55099999999999</v>
      </c>
      <c r="J7" s="8">
        <v>355.42599999999999</v>
      </c>
      <c r="K7" s="8">
        <v>258.83199999999999</v>
      </c>
      <c r="L7" s="8">
        <v>284.16399999999999</v>
      </c>
      <c r="M7" s="8">
        <v>334.25799999999998</v>
      </c>
      <c r="N7" s="8">
        <v>321.137</v>
      </c>
      <c r="O7" s="8">
        <v>358.75</v>
      </c>
      <c r="P7" s="8">
        <v>253.625</v>
      </c>
    </row>
    <row r="8" spans="1:16" ht="16" x14ac:dyDescent="0.2">
      <c r="A8" s="9" t="s">
        <v>62</v>
      </c>
      <c r="B8" s="12"/>
      <c r="C8" s="8">
        <f t="shared" ref="C8:P8" si="0">C7-$B$7</f>
        <v>135.10600000000002</v>
      </c>
      <c r="D8" s="8">
        <f t="shared" si="0"/>
        <v>116.10999999999999</v>
      </c>
      <c r="E8" s="8">
        <f t="shared" si="0"/>
        <v>107.00899999999999</v>
      </c>
      <c r="F8" s="8">
        <f t="shared" si="0"/>
        <v>62.535999999999973</v>
      </c>
      <c r="G8" s="8">
        <f t="shared" si="0"/>
        <v>54.344999999999999</v>
      </c>
      <c r="H8" s="8">
        <f t="shared" si="0"/>
        <v>54.099000000000018</v>
      </c>
      <c r="I8" s="8">
        <f t="shared" si="0"/>
        <v>129.50899999999999</v>
      </c>
      <c r="J8" s="8">
        <f t="shared" si="0"/>
        <v>132.38399999999999</v>
      </c>
      <c r="K8" s="8">
        <f t="shared" si="0"/>
        <v>35.789999999999992</v>
      </c>
      <c r="L8" s="8">
        <f t="shared" si="0"/>
        <v>61.121999999999986</v>
      </c>
      <c r="M8" s="8">
        <f t="shared" si="0"/>
        <v>111.21599999999998</v>
      </c>
      <c r="N8" s="8">
        <f t="shared" si="0"/>
        <v>98.094999999999999</v>
      </c>
      <c r="O8" s="8">
        <f t="shared" si="0"/>
        <v>135.708</v>
      </c>
      <c r="P8" s="8">
        <f t="shared" si="0"/>
        <v>30.582999999999998</v>
      </c>
    </row>
    <row r="9" spans="1:16" ht="16" x14ac:dyDescent="0.2">
      <c r="A9" s="9" t="s">
        <v>61</v>
      </c>
      <c r="B9" s="12"/>
      <c r="C9" s="8">
        <v>5.2409999999999997</v>
      </c>
      <c r="D9" s="8">
        <v>1.9330000000000001</v>
      </c>
      <c r="E9" s="8">
        <v>3.19</v>
      </c>
      <c r="F9" s="8">
        <v>5.9619999999999997</v>
      </c>
      <c r="G9" s="8">
        <v>2.6440000000000001</v>
      </c>
      <c r="H9" s="8">
        <v>2.911</v>
      </c>
      <c r="I9" s="8">
        <v>2.9180000000000001</v>
      </c>
      <c r="J9" s="8">
        <v>3.2149999999999999</v>
      </c>
      <c r="K9" s="8">
        <v>4.1109999999999998</v>
      </c>
      <c r="L9" s="8">
        <v>2.9020000000000001</v>
      </c>
      <c r="M9" s="8">
        <v>3.4329999999999998</v>
      </c>
      <c r="N9" s="8">
        <v>2.609</v>
      </c>
      <c r="O9" s="8">
        <v>3.1829999999999998</v>
      </c>
      <c r="P9" s="8">
        <v>2.371</v>
      </c>
    </row>
    <row r="10" spans="1:16" ht="16" x14ac:dyDescent="0.2">
      <c r="A10" s="9" t="s">
        <v>59</v>
      </c>
      <c r="B10" s="12"/>
      <c r="G10" s="8">
        <f t="shared" ref="G10:P10" si="1">G8/$E$4</f>
        <v>0.65922435452591255</v>
      </c>
      <c r="H10" s="8">
        <f t="shared" si="1"/>
        <v>0.65624028623603559</v>
      </c>
      <c r="I10" s="8">
        <f t="shared" si="1"/>
        <v>1.5709906510313074</v>
      </c>
      <c r="J10" s="8">
        <f t="shared" si="1"/>
        <v>1.605865432874384</v>
      </c>
      <c r="K10" s="8">
        <f t="shared" si="1"/>
        <v>0.43414554510042147</v>
      </c>
      <c r="L10" s="8">
        <f t="shared" si="1"/>
        <v>0.74143179680435767</v>
      </c>
      <c r="M10" s="8">
        <f t="shared" si="1"/>
        <v>1.3490899956381246</v>
      </c>
      <c r="N10" s="8">
        <f t="shared" si="1"/>
        <v>1.1899275564857741</v>
      </c>
      <c r="O10" s="8">
        <f t="shared" si="1"/>
        <v>1.6461867458644317</v>
      </c>
      <c r="P10" s="8">
        <f t="shared" si="1"/>
        <v>0.37098276629802157</v>
      </c>
    </row>
    <row r="12" spans="1:16" ht="15" x14ac:dyDescent="0.2">
      <c r="A12" s="10" t="s">
        <v>112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J12" s="8"/>
    </row>
    <row r="13" spans="1:16" ht="15" x14ac:dyDescent="0.2">
      <c r="A13" s="9" t="s">
        <v>63</v>
      </c>
      <c r="C13" s="8">
        <v>249.75399999999999</v>
      </c>
      <c r="D13" s="8">
        <v>311.28500000000003</v>
      </c>
      <c r="E13" s="8">
        <v>262.69499999999999</v>
      </c>
      <c r="F13" s="8">
        <v>264.23399999999998</v>
      </c>
      <c r="G13" s="8">
        <v>321.17599999999999</v>
      </c>
      <c r="H13" s="8">
        <v>330.84800000000001</v>
      </c>
      <c r="I13" s="8">
        <v>297.63299999999998</v>
      </c>
    </row>
    <row r="14" spans="1:16" ht="15" x14ac:dyDescent="0.2">
      <c r="A14" s="9" t="s">
        <v>62</v>
      </c>
      <c r="C14" s="8">
        <f t="shared" ref="C14:I14" si="2">C13-$B$7</f>
        <v>26.711999999999989</v>
      </c>
      <c r="D14" s="8">
        <f t="shared" si="2"/>
        <v>88.243000000000023</v>
      </c>
      <c r="E14" s="8">
        <f t="shared" si="2"/>
        <v>39.652999999999992</v>
      </c>
      <c r="F14" s="8">
        <f t="shared" si="2"/>
        <v>41.191999999999979</v>
      </c>
      <c r="G14" s="8">
        <f t="shared" si="2"/>
        <v>98.133999999999986</v>
      </c>
      <c r="H14" s="8">
        <f t="shared" si="2"/>
        <v>107.80600000000001</v>
      </c>
      <c r="I14" s="8">
        <f t="shared" si="2"/>
        <v>74.59099999999998</v>
      </c>
    </row>
    <row r="15" spans="1:16" ht="15" x14ac:dyDescent="0.2">
      <c r="A15" s="9" t="s">
        <v>61</v>
      </c>
      <c r="C15" s="8">
        <v>6.9240000000000004</v>
      </c>
      <c r="D15" s="8">
        <v>2.6509999999999998</v>
      </c>
      <c r="E15" s="8">
        <v>5.657</v>
      </c>
      <c r="F15" s="8">
        <v>8.1129999999999995</v>
      </c>
      <c r="G15" s="8">
        <v>2.395</v>
      </c>
      <c r="H15" s="8">
        <v>2.9239999999999999</v>
      </c>
      <c r="I15" s="8">
        <v>2.427</v>
      </c>
    </row>
    <row r="16" spans="1:16" ht="15" x14ac:dyDescent="0.2">
      <c r="A16" s="9" t="s">
        <v>60</v>
      </c>
      <c r="C16" s="8">
        <f t="shared" ref="C16:I16" si="3">SQRT((C15^2)+1)</f>
        <v>6.9958399066874026</v>
      </c>
      <c r="D16" s="8">
        <f t="shared" si="3"/>
        <v>2.8333374313695856</v>
      </c>
      <c r="E16" s="8">
        <f t="shared" si="3"/>
        <v>5.7447061717724086</v>
      </c>
      <c r="F16" s="8">
        <f t="shared" si="3"/>
        <v>8.1743971643173783</v>
      </c>
      <c r="G16" s="8">
        <f t="shared" si="3"/>
        <v>2.5953853278463295</v>
      </c>
      <c r="H16" s="8">
        <f t="shared" si="3"/>
        <v>3.0902711855110709</v>
      </c>
      <c r="I16" s="8">
        <f t="shared" si="3"/>
        <v>2.624943618442118</v>
      </c>
    </row>
    <row r="17" spans="1:9" ht="15" x14ac:dyDescent="0.2">
      <c r="A17" s="9" t="s">
        <v>59</v>
      </c>
      <c r="I17" s="8">
        <f>I14/E4</f>
        <v>0.90481560085458335</v>
      </c>
    </row>
    <row r="19" spans="1:9" ht="15" x14ac:dyDescent="0.2">
      <c r="A19" s="10" t="s">
        <v>111</v>
      </c>
      <c r="C19" s="8">
        <v>1</v>
      </c>
      <c r="D19" s="8">
        <v>1</v>
      </c>
      <c r="E19" s="8">
        <v>1</v>
      </c>
      <c r="F19" s="8">
        <v>1</v>
      </c>
    </row>
    <row r="20" spans="1:9" ht="15" x14ac:dyDescent="0.2">
      <c r="A20" s="9" t="s">
        <v>63</v>
      </c>
      <c r="C20" s="8">
        <v>253.10499999999999</v>
      </c>
      <c r="D20" s="8">
        <v>283.988</v>
      </c>
      <c r="E20" s="8">
        <v>282.57400000000001</v>
      </c>
      <c r="F20" s="8">
        <v>248.44900000000001</v>
      </c>
    </row>
    <row r="21" spans="1:9" ht="15" x14ac:dyDescent="0.2">
      <c r="A21" s="9" t="s">
        <v>62</v>
      </c>
      <c r="C21" s="8">
        <f>C20-$B$7</f>
        <v>30.062999999999988</v>
      </c>
      <c r="D21" s="8">
        <f>D20-$B$7</f>
        <v>60.945999999999998</v>
      </c>
      <c r="E21" s="8">
        <f>E20-$B$7</f>
        <v>59.532000000000011</v>
      </c>
      <c r="F21" s="8">
        <f>F20-$B$7</f>
        <v>25.407000000000011</v>
      </c>
    </row>
    <row r="22" spans="1:9" ht="15" x14ac:dyDescent="0.2">
      <c r="A22" s="9" t="s">
        <v>61</v>
      </c>
      <c r="C22" s="8">
        <v>6.9379999999999997</v>
      </c>
      <c r="D22" s="8">
        <v>2.7069999999999999</v>
      </c>
      <c r="E22" s="8">
        <v>2.2290000000000001</v>
      </c>
      <c r="F22" s="8">
        <v>14.032999999999999</v>
      </c>
    </row>
    <row r="23" spans="1:9" ht="15" x14ac:dyDescent="0.2">
      <c r="A23" s="9" t="s">
        <v>60</v>
      </c>
      <c r="C23" s="8">
        <f>SQRT((C22^2)+4)</f>
        <v>7.2205154940627336</v>
      </c>
      <c r="D23" s="8">
        <f>SQRT((D22^2)+4)</f>
        <v>3.365687002678651</v>
      </c>
      <c r="E23" s="8">
        <f>SQRT((E22^2)+4)</f>
        <v>2.9947355475901376</v>
      </c>
      <c r="F23" s="8">
        <f>SQRT((F22^2)+4)</f>
        <v>14.174804725286341</v>
      </c>
    </row>
    <row r="24" spans="1:9" ht="15" x14ac:dyDescent="0.2">
      <c r="A24" s="9" t="s">
        <v>59</v>
      </c>
    </row>
    <row r="26" spans="1:9" ht="15" x14ac:dyDescent="0.2">
      <c r="A26" s="10" t="s">
        <v>110</v>
      </c>
    </row>
    <row r="27" spans="1:9" ht="15" x14ac:dyDescent="0.2">
      <c r="A27" s="9" t="s">
        <v>63</v>
      </c>
      <c r="C27" s="8">
        <v>241.78899999999999</v>
      </c>
      <c r="D27" s="8"/>
    </row>
    <row r="28" spans="1:9" ht="15" x14ac:dyDescent="0.2">
      <c r="A28" s="9" t="s">
        <v>62</v>
      </c>
      <c r="C28" s="8">
        <f>C27-$B$7</f>
        <v>18.746999999999986</v>
      </c>
    </row>
    <row r="29" spans="1:9" ht="15" x14ac:dyDescent="0.2">
      <c r="A29" s="9" t="s">
        <v>61</v>
      </c>
      <c r="C29" s="8">
        <v>6.6559999999999997</v>
      </c>
    </row>
    <row r="30" spans="1:9" ht="15" x14ac:dyDescent="0.2">
      <c r="A30" s="9" t="s">
        <v>60</v>
      </c>
      <c r="C30" s="8">
        <f>SQRT((C29^2)+16)</f>
        <v>7.765457874459174</v>
      </c>
    </row>
    <row r="31" spans="1:9" ht="15" x14ac:dyDescent="0.2">
      <c r="A31" s="9" t="s">
        <v>59</v>
      </c>
      <c r="C31" s="8">
        <f>C28/E4</f>
        <v>0.22740783833466324</v>
      </c>
    </row>
    <row r="33" spans="1:24" ht="15" x14ac:dyDescent="0.2">
      <c r="A33" s="10" t="s">
        <v>109</v>
      </c>
    </row>
    <row r="34" spans="1:24" ht="15" x14ac:dyDescent="0.2">
      <c r="A34" s="9" t="s">
        <v>63</v>
      </c>
      <c r="C34" s="8">
        <v>236.47300000000001</v>
      </c>
      <c r="D34" s="8">
        <v>240.41399999999999</v>
      </c>
    </row>
    <row r="35" spans="1:24" ht="15" x14ac:dyDescent="0.2">
      <c r="A35" s="9" t="s">
        <v>62</v>
      </c>
      <c r="C35" s="8">
        <f>C34-$B$7</f>
        <v>13.431000000000012</v>
      </c>
      <c r="D35" s="8">
        <f>D34-$B$7</f>
        <v>17.371999999999986</v>
      </c>
    </row>
    <row r="36" spans="1:24" ht="15" x14ac:dyDescent="0.2">
      <c r="A36" s="9" t="s">
        <v>61</v>
      </c>
      <c r="C36" s="8">
        <v>6.5069999999999997</v>
      </c>
      <c r="D36" s="8">
        <v>3.08</v>
      </c>
    </row>
    <row r="37" spans="1:24" ht="15" x14ac:dyDescent="0.2">
      <c r="A37" s="9" t="s">
        <v>60</v>
      </c>
      <c r="C37" s="8">
        <f>SQRT((C36^2)+25)</f>
        <v>8.2061592112266499</v>
      </c>
      <c r="D37" s="8">
        <f>SQRT((D36^2)+25)</f>
        <v>5.8725122392379907</v>
      </c>
    </row>
    <row r="38" spans="1:24" ht="15" x14ac:dyDescent="0.2">
      <c r="A38" s="9" t="s">
        <v>59</v>
      </c>
      <c r="C38" s="8">
        <f>C35/$E$4</f>
        <v>0.16292285041195215</v>
      </c>
      <c r="D38" s="8">
        <f>D35/$E$4</f>
        <v>0.21072859484449616</v>
      </c>
    </row>
    <row r="40" spans="1:24" ht="15" x14ac:dyDescent="0.2">
      <c r="A40" s="10" t="s">
        <v>108</v>
      </c>
      <c r="B40" s="8"/>
      <c r="C40" s="8">
        <v>1</v>
      </c>
    </row>
    <row r="41" spans="1:24" ht="15" x14ac:dyDescent="0.2">
      <c r="A41" s="9" t="s">
        <v>63</v>
      </c>
      <c r="C41" s="8">
        <v>252.465</v>
      </c>
    </row>
    <row r="42" spans="1:24" ht="15" x14ac:dyDescent="0.2">
      <c r="A42" s="9" t="s">
        <v>62</v>
      </c>
      <c r="C42" s="8">
        <f>C41-$B$7</f>
        <v>29.423000000000002</v>
      </c>
    </row>
    <row r="43" spans="1:24" ht="15" x14ac:dyDescent="0.2">
      <c r="A43" s="9" t="s">
        <v>61</v>
      </c>
      <c r="C43" s="8">
        <v>3.202</v>
      </c>
    </row>
    <row r="44" spans="1:24" ht="15" x14ac:dyDescent="0.2">
      <c r="A44" s="9" t="s">
        <v>60</v>
      </c>
      <c r="C44" s="8">
        <f>SQRT((C43^2)+36)</f>
        <v>6.8009414054232229</v>
      </c>
    </row>
    <row r="45" spans="1:24" ht="15" x14ac:dyDescent="0.2">
      <c r="A45" s="9" t="s">
        <v>59</v>
      </c>
    </row>
    <row r="47" spans="1:24" ht="15" x14ac:dyDescent="0.2">
      <c r="A47" s="10" t="s">
        <v>107</v>
      </c>
      <c r="C47" s="8">
        <v>1</v>
      </c>
      <c r="D47" s="8">
        <v>1</v>
      </c>
      <c r="E47" s="8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</row>
    <row r="48" spans="1:24" ht="15" x14ac:dyDescent="0.2">
      <c r="A48" s="9" t="s">
        <v>63</v>
      </c>
      <c r="C48" s="8">
        <v>267.89100000000002</v>
      </c>
      <c r="D48" s="8">
        <v>259.72699999999998</v>
      </c>
      <c r="E48" s="8">
        <v>278.07799999999997</v>
      </c>
      <c r="F48" s="8">
        <v>293.83199999999999</v>
      </c>
      <c r="G48" s="8">
        <v>250.18799999999999</v>
      </c>
      <c r="H48" s="8">
        <v>307.68</v>
      </c>
      <c r="I48" s="8">
        <v>266.262</v>
      </c>
      <c r="J48" s="8">
        <v>281.95699999999999</v>
      </c>
      <c r="K48" s="8">
        <v>276.25</v>
      </c>
      <c r="L48" s="8">
        <v>245.39500000000001</v>
      </c>
      <c r="M48" s="8">
        <v>267.72300000000001</v>
      </c>
      <c r="N48" s="8">
        <v>431.42200000000003</v>
      </c>
      <c r="O48" s="8">
        <v>251.703</v>
      </c>
      <c r="P48" s="8">
        <v>290.99200000000002</v>
      </c>
      <c r="Q48" s="8">
        <v>290.21499999999997</v>
      </c>
      <c r="R48" s="8">
        <v>388.43400000000003</v>
      </c>
      <c r="S48" s="8">
        <v>383.77</v>
      </c>
      <c r="T48" s="8">
        <v>288.25</v>
      </c>
      <c r="U48" s="8">
        <v>250.80099999999999</v>
      </c>
      <c r="V48" s="8">
        <v>251.10900000000001</v>
      </c>
      <c r="W48" s="8">
        <v>242.47300000000001</v>
      </c>
      <c r="X48" s="8">
        <v>258.83999999999997</v>
      </c>
    </row>
    <row r="49" spans="1:24" ht="15" x14ac:dyDescent="0.2">
      <c r="A49" s="9" t="s">
        <v>62</v>
      </c>
      <c r="C49" s="8">
        <f t="shared" ref="C49:X49" si="4">C48-$B$7</f>
        <v>44.849000000000018</v>
      </c>
      <c r="D49" s="8">
        <f t="shared" si="4"/>
        <v>36.684999999999974</v>
      </c>
      <c r="E49" s="8">
        <f t="shared" si="4"/>
        <v>55.035999999999973</v>
      </c>
      <c r="F49" s="8">
        <f t="shared" si="4"/>
        <v>70.789999999999992</v>
      </c>
      <c r="G49" s="8">
        <f t="shared" si="4"/>
        <v>27.145999999999987</v>
      </c>
      <c r="H49" s="8">
        <f t="shared" si="4"/>
        <v>84.638000000000005</v>
      </c>
      <c r="I49" s="8">
        <f t="shared" si="4"/>
        <v>43.22</v>
      </c>
      <c r="J49" s="8">
        <f t="shared" si="4"/>
        <v>58.914999999999992</v>
      </c>
      <c r="K49" s="8">
        <f t="shared" si="4"/>
        <v>53.207999999999998</v>
      </c>
      <c r="L49" s="8">
        <f t="shared" si="4"/>
        <v>22.353000000000009</v>
      </c>
      <c r="M49" s="8">
        <f t="shared" si="4"/>
        <v>44.681000000000012</v>
      </c>
      <c r="N49" s="8">
        <f t="shared" si="4"/>
        <v>208.38000000000002</v>
      </c>
      <c r="O49" s="8">
        <f t="shared" si="4"/>
        <v>28.661000000000001</v>
      </c>
      <c r="P49" s="8">
        <f t="shared" si="4"/>
        <v>67.950000000000017</v>
      </c>
      <c r="Q49" s="8">
        <f t="shared" si="4"/>
        <v>67.172999999999973</v>
      </c>
      <c r="R49" s="8">
        <f t="shared" si="4"/>
        <v>165.39200000000002</v>
      </c>
      <c r="S49" s="8">
        <f t="shared" si="4"/>
        <v>160.72799999999998</v>
      </c>
      <c r="T49" s="8">
        <f t="shared" si="4"/>
        <v>65.207999999999998</v>
      </c>
      <c r="U49" s="8">
        <f t="shared" si="4"/>
        <v>27.758999999999986</v>
      </c>
      <c r="V49" s="8">
        <f t="shared" si="4"/>
        <v>28.067000000000007</v>
      </c>
      <c r="W49" s="8">
        <f t="shared" si="4"/>
        <v>19.431000000000012</v>
      </c>
      <c r="X49" s="8">
        <f t="shared" si="4"/>
        <v>35.797999999999973</v>
      </c>
    </row>
    <row r="50" spans="1:24" ht="15" x14ac:dyDescent="0.2">
      <c r="A50" s="9" t="s">
        <v>61</v>
      </c>
      <c r="C50" s="8">
        <v>12.316000000000001</v>
      </c>
      <c r="D50" s="8">
        <v>5.0830000000000002</v>
      </c>
      <c r="E50" s="8">
        <v>7.23</v>
      </c>
      <c r="F50" s="8">
        <v>4.1420000000000003</v>
      </c>
      <c r="G50" s="8">
        <v>8.5589999999999993</v>
      </c>
      <c r="H50" s="8">
        <v>15.994</v>
      </c>
      <c r="I50" s="8">
        <v>4.5570000000000004</v>
      </c>
      <c r="J50" s="8">
        <v>5.5949999999999998</v>
      </c>
      <c r="K50" s="8">
        <v>5.9489999999999998</v>
      </c>
      <c r="L50" s="8">
        <v>2.714</v>
      </c>
      <c r="M50" s="8">
        <v>3.1019999999999999</v>
      </c>
      <c r="N50" s="8">
        <v>2.343</v>
      </c>
      <c r="O50" s="8">
        <v>4.4260000000000002</v>
      </c>
      <c r="P50" s="8">
        <v>3.3980000000000001</v>
      </c>
      <c r="Q50" s="8">
        <v>2.74</v>
      </c>
      <c r="R50" s="8">
        <v>3.2690000000000001</v>
      </c>
      <c r="S50" s="8">
        <v>3.0830000000000002</v>
      </c>
      <c r="T50" s="8">
        <v>4.093</v>
      </c>
      <c r="U50" s="8">
        <v>4.7220000000000004</v>
      </c>
      <c r="V50" s="8">
        <v>3.1789999999999998</v>
      </c>
      <c r="W50" s="8">
        <v>9.7810000000000006</v>
      </c>
      <c r="X50" s="8">
        <v>3.1469999999999998</v>
      </c>
    </row>
    <row r="51" spans="1:24" ht="15" x14ac:dyDescent="0.2">
      <c r="A51" s="9" t="s">
        <v>60</v>
      </c>
      <c r="C51" s="8">
        <f t="shared" ref="C51:X51" si="5">SQRT((C50^2)+1)</f>
        <v>12.356530904748308</v>
      </c>
      <c r="D51" s="8">
        <f t="shared" si="5"/>
        <v>5.1804332830372406</v>
      </c>
      <c r="E51" s="8">
        <f t="shared" si="5"/>
        <v>7.2988286731502345</v>
      </c>
      <c r="F51" s="8">
        <f t="shared" si="5"/>
        <v>4.2610050457609185</v>
      </c>
      <c r="G51" s="8">
        <f t="shared" si="5"/>
        <v>8.6172200273638122</v>
      </c>
      <c r="H51" s="8">
        <f t="shared" si="5"/>
        <v>16.025231230781042</v>
      </c>
      <c r="I51" s="8">
        <f t="shared" si="5"/>
        <v>4.6654312769560757</v>
      </c>
      <c r="J51" s="8">
        <f t="shared" si="5"/>
        <v>5.6836629914167149</v>
      </c>
      <c r="K51" s="8">
        <f t="shared" si="5"/>
        <v>6.0324622667696808</v>
      </c>
      <c r="L51" s="8">
        <f t="shared" si="5"/>
        <v>2.8923685795555172</v>
      </c>
      <c r="M51" s="8">
        <f t="shared" si="5"/>
        <v>3.2592029700526477</v>
      </c>
      <c r="N51" s="8">
        <f t="shared" si="5"/>
        <v>2.5474789498639629</v>
      </c>
      <c r="O51" s="8">
        <f t="shared" si="5"/>
        <v>4.5375627819348132</v>
      </c>
      <c r="P51" s="8">
        <f t="shared" si="5"/>
        <v>3.5420903432860094</v>
      </c>
      <c r="Q51" s="8">
        <f t="shared" si="5"/>
        <v>2.9167790454540774</v>
      </c>
      <c r="R51" s="8">
        <f t="shared" si="5"/>
        <v>3.4185319948773336</v>
      </c>
      <c r="S51" s="8">
        <f t="shared" si="5"/>
        <v>3.2411246504878521</v>
      </c>
      <c r="T51" s="8">
        <f t="shared" si="5"/>
        <v>4.2133892533208934</v>
      </c>
      <c r="U51" s="8">
        <f t="shared" si="5"/>
        <v>4.8267260125265041</v>
      </c>
      <c r="V51" s="8">
        <f t="shared" si="5"/>
        <v>3.3325727298890269</v>
      </c>
      <c r="W51" s="8">
        <f t="shared" si="5"/>
        <v>9.8319866252960288</v>
      </c>
      <c r="X51" s="8">
        <f t="shared" si="5"/>
        <v>3.3020613258993237</v>
      </c>
    </row>
    <row r="52" spans="1:24" ht="15" x14ac:dyDescent="0.2">
      <c r="A52" s="9" t="s">
        <v>59</v>
      </c>
      <c r="L52" s="8">
        <f t="shared" ref="L52:X52" si="6">L49/$E$4</f>
        <v>0.27114991253505805</v>
      </c>
      <c r="M52" s="8">
        <f t="shared" si="6"/>
        <v>0.54199656609756752</v>
      </c>
      <c r="N52" s="8">
        <f t="shared" si="6"/>
        <v>2.5277241879861934</v>
      </c>
      <c r="O52" s="8">
        <f t="shared" si="6"/>
        <v>0.34766821648849355</v>
      </c>
      <c r="P52" s="8">
        <f t="shared" si="6"/>
        <v>0.82425788738680228</v>
      </c>
      <c r="Q52" s="8">
        <f t="shared" si="6"/>
        <v>0.81483259851999468</v>
      </c>
      <c r="R52" s="8">
        <f t="shared" si="6"/>
        <v>2.0062643195096097</v>
      </c>
      <c r="S52" s="8">
        <f t="shared" si="6"/>
        <v>1.9496883255909627</v>
      </c>
      <c r="T52" s="8">
        <f t="shared" si="6"/>
        <v>0.79099644327768348</v>
      </c>
      <c r="U52" s="8">
        <f t="shared" si="6"/>
        <v>0.33672663275894377</v>
      </c>
      <c r="V52" s="8">
        <f t="shared" si="6"/>
        <v>0.34046278330074142</v>
      </c>
      <c r="W52" s="8">
        <f t="shared" si="6"/>
        <v>0.2357050038235903</v>
      </c>
      <c r="X52" s="8">
        <f t="shared" si="6"/>
        <v>0.43424258797163678</v>
      </c>
    </row>
    <row r="54" spans="1:24" ht="15" x14ac:dyDescent="0.2">
      <c r="A54" s="10" t="s">
        <v>106</v>
      </c>
      <c r="C54" s="8">
        <v>1</v>
      </c>
      <c r="D54" s="8">
        <v>1</v>
      </c>
      <c r="E54" s="8">
        <v>1</v>
      </c>
      <c r="F54" s="8">
        <v>1</v>
      </c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1</v>
      </c>
    </row>
    <row r="55" spans="1:24" ht="15" x14ac:dyDescent="0.2">
      <c r="A55" s="9" t="s">
        <v>63</v>
      </c>
      <c r="C55" s="8">
        <v>284.78899999999999</v>
      </c>
      <c r="D55" s="8">
        <v>306.68799999999999</v>
      </c>
      <c r="E55" s="8">
        <v>296.31599999999997</v>
      </c>
      <c r="F55" s="8">
        <v>296.81200000000001</v>
      </c>
      <c r="G55" s="8">
        <v>314</v>
      </c>
      <c r="H55" s="8">
        <v>319.79300000000001</v>
      </c>
      <c r="I55" s="8">
        <v>343.77</v>
      </c>
      <c r="J55" s="8">
        <v>342.68400000000003</v>
      </c>
      <c r="K55" s="8">
        <v>379.46899999999999</v>
      </c>
      <c r="L55" s="8">
        <v>283.488</v>
      </c>
      <c r="M55" s="8">
        <v>342.14499999999998</v>
      </c>
      <c r="N55" s="8">
        <v>336.55099999999999</v>
      </c>
      <c r="O55" s="8">
        <v>289.12099999999998</v>
      </c>
      <c r="P55" s="8">
        <v>250.07400000000001</v>
      </c>
      <c r="Q55" s="8">
        <v>294.68799999999999</v>
      </c>
      <c r="R55" s="8">
        <v>289.10500000000002</v>
      </c>
      <c r="S55" s="8">
        <v>272.94900000000001</v>
      </c>
      <c r="T55" s="8">
        <v>269.78899999999999</v>
      </c>
    </row>
    <row r="56" spans="1:24" ht="15" x14ac:dyDescent="0.2">
      <c r="A56" s="9" t="s">
        <v>62</v>
      </c>
      <c r="C56" s="8">
        <f t="shared" ref="C56:T56" si="7">C55-$B$7</f>
        <v>61.746999999999986</v>
      </c>
      <c r="D56" s="8">
        <f t="shared" si="7"/>
        <v>83.645999999999987</v>
      </c>
      <c r="E56" s="8">
        <f t="shared" si="7"/>
        <v>73.273999999999972</v>
      </c>
      <c r="F56" s="8">
        <f t="shared" si="7"/>
        <v>73.77000000000001</v>
      </c>
      <c r="G56" s="8">
        <f t="shared" si="7"/>
        <v>90.957999999999998</v>
      </c>
      <c r="H56" s="8">
        <f t="shared" si="7"/>
        <v>96.751000000000005</v>
      </c>
      <c r="I56" s="8">
        <f t="shared" si="7"/>
        <v>120.72799999999998</v>
      </c>
      <c r="J56" s="8">
        <f t="shared" si="7"/>
        <v>119.64200000000002</v>
      </c>
      <c r="K56" s="8">
        <f t="shared" si="7"/>
        <v>156.42699999999999</v>
      </c>
      <c r="L56" s="8">
        <f t="shared" si="7"/>
        <v>60.445999999999998</v>
      </c>
      <c r="M56" s="8">
        <f t="shared" si="7"/>
        <v>119.10299999999998</v>
      </c>
      <c r="N56" s="8">
        <f t="shared" si="7"/>
        <v>113.50899999999999</v>
      </c>
      <c r="O56" s="8">
        <f t="shared" si="7"/>
        <v>66.078999999999979</v>
      </c>
      <c r="P56" s="8">
        <f t="shared" si="7"/>
        <v>27.032000000000011</v>
      </c>
      <c r="Q56" s="8">
        <f t="shared" si="7"/>
        <v>71.645999999999987</v>
      </c>
      <c r="R56" s="8">
        <f t="shared" si="7"/>
        <v>66.063000000000017</v>
      </c>
      <c r="S56" s="8">
        <f t="shared" si="7"/>
        <v>49.907000000000011</v>
      </c>
      <c r="T56" s="8">
        <f t="shared" si="7"/>
        <v>46.746999999999986</v>
      </c>
    </row>
    <row r="57" spans="1:24" ht="15" x14ac:dyDescent="0.2">
      <c r="A57" s="9" t="s">
        <v>61</v>
      </c>
      <c r="C57" s="8">
        <v>12.256</v>
      </c>
      <c r="D57" s="8">
        <v>6.4279999999999999</v>
      </c>
      <c r="E57" s="8">
        <v>12.004</v>
      </c>
      <c r="F57" s="8">
        <v>4.5579999999999998</v>
      </c>
      <c r="G57" s="8">
        <v>3.0219999999999998</v>
      </c>
      <c r="H57" s="8">
        <v>4.8390000000000004</v>
      </c>
      <c r="I57" s="8">
        <v>4.4619999999999997</v>
      </c>
      <c r="J57" s="8">
        <v>3.8980000000000001</v>
      </c>
      <c r="K57" s="8">
        <v>3.3109999999999999</v>
      </c>
      <c r="L57" s="8">
        <v>1.5629999999999999</v>
      </c>
      <c r="M57" s="8">
        <v>2.0169999999999999</v>
      </c>
      <c r="N57" s="8">
        <v>1.7569999999999999</v>
      </c>
      <c r="O57" s="8">
        <v>2.532</v>
      </c>
      <c r="P57" s="8">
        <v>14.246</v>
      </c>
      <c r="Q57" s="8">
        <v>3.2010000000000001</v>
      </c>
      <c r="R57" s="8">
        <v>3.194</v>
      </c>
      <c r="S57" s="8">
        <v>3.2109999999999999</v>
      </c>
      <c r="T57" s="8">
        <v>5.7169999999999996</v>
      </c>
    </row>
    <row r="58" spans="1:24" ht="15" x14ac:dyDescent="0.2">
      <c r="A58" s="9" t="s">
        <v>60</v>
      </c>
      <c r="C58" s="8">
        <f t="shared" ref="C58:T58" si="8">SQRT((C57^2)+4)</f>
        <v>12.418113222225026</v>
      </c>
      <c r="D58" s="8">
        <f t="shared" si="8"/>
        <v>6.7319524656669998</v>
      </c>
      <c r="E58" s="8">
        <f t="shared" si="8"/>
        <v>12.169470654058868</v>
      </c>
      <c r="F58" s="8">
        <f t="shared" si="8"/>
        <v>4.9774857106776311</v>
      </c>
      <c r="G58" s="8">
        <f t="shared" si="8"/>
        <v>3.6238769294775999</v>
      </c>
      <c r="H58" s="8">
        <f t="shared" si="8"/>
        <v>5.2360214858229908</v>
      </c>
      <c r="I58" s="8">
        <f t="shared" si="8"/>
        <v>4.8897284178162694</v>
      </c>
      <c r="J58" s="8">
        <f t="shared" si="8"/>
        <v>4.3811418602916747</v>
      </c>
      <c r="K58" s="8">
        <f t="shared" si="8"/>
        <v>3.8681676540708523</v>
      </c>
      <c r="L58" s="8">
        <f t="shared" si="8"/>
        <v>2.538300415632476</v>
      </c>
      <c r="M58" s="8">
        <f t="shared" si="8"/>
        <v>2.8404733760413952</v>
      </c>
      <c r="N58" s="8">
        <f t="shared" si="8"/>
        <v>2.6621511978097714</v>
      </c>
      <c r="O58" s="8">
        <f t="shared" si="8"/>
        <v>3.2266118452643169</v>
      </c>
      <c r="P58" s="8">
        <f t="shared" si="8"/>
        <v>14.38570526599235</v>
      </c>
      <c r="Q58" s="8">
        <f t="shared" si="8"/>
        <v>3.7744404883373113</v>
      </c>
      <c r="R58" s="8">
        <f t="shared" si="8"/>
        <v>3.7685058046923583</v>
      </c>
      <c r="S58" s="8">
        <f t="shared" si="8"/>
        <v>3.7829249265614564</v>
      </c>
      <c r="T58" s="8">
        <f t="shared" si="8"/>
        <v>6.0567391391738177</v>
      </c>
    </row>
    <row r="59" spans="1:24" ht="15" x14ac:dyDescent="0.2">
      <c r="A59" s="9" t="s">
        <v>59</v>
      </c>
      <c r="P59" s="8">
        <f>P56/$E$4</f>
        <v>0.32790786183723392</v>
      </c>
      <c r="Q59" s="8">
        <f>Q56/$E$4</f>
        <v>0.86909169388837104</v>
      </c>
      <c r="R59" s="8">
        <f>R56/$E$4</f>
        <v>0.80136790013884207</v>
      </c>
      <c r="S59" s="8">
        <f>S56/$E$4</f>
        <v>0.60538982171910438</v>
      </c>
      <c r="T59" s="8">
        <f>T56/$E$4</f>
        <v>0.56705788758897469</v>
      </c>
    </row>
    <row r="61" spans="1:24" ht="15" x14ac:dyDescent="0.2">
      <c r="A61" s="10" t="s">
        <v>105</v>
      </c>
      <c r="C61" s="8">
        <v>1</v>
      </c>
      <c r="D61" s="8">
        <v>1</v>
      </c>
      <c r="E61" s="8">
        <v>1</v>
      </c>
      <c r="F61" s="8">
        <v>1</v>
      </c>
      <c r="G61" s="8">
        <v>1</v>
      </c>
      <c r="H61" s="8">
        <v>1</v>
      </c>
    </row>
    <row r="62" spans="1:24" ht="15" x14ac:dyDescent="0.2">
      <c r="A62" s="9" t="s">
        <v>63</v>
      </c>
      <c r="C62" s="8">
        <v>318.39800000000002</v>
      </c>
      <c r="D62" s="8">
        <v>333.27300000000002</v>
      </c>
      <c r="E62" s="8">
        <v>308.44900000000001</v>
      </c>
      <c r="F62" s="8">
        <v>364.66</v>
      </c>
      <c r="G62" s="8">
        <v>334.20699999999999</v>
      </c>
      <c r="H62" s="8">
        <v>289.52</v>
      </c>
      <c r="I62" s="8">
        <v>301.29300000000001</v>
      </c>
      <c r="J62" s="8">
        <v>263.49599999999998</v>
      </c>
      <c r="K62" s="8">
        <v>261.94900000000001</v>
      </c>
      <c r="L62" s="8">
        <v>266.85899999999998</v>
      </c>
      <c r="M62" s="8">
        <v>271.16399999999999</v>
      </c>
    </row>
    <row r="63" spans="1:24" ht="15" x14ac:dyDescent="0.2">
      <c r="A63" s="9" t="s">
        <v>62</v>
      </c>
      <c r="C63" s="8">
        <f t="shared" ref="C63:M63" si="9">C62-$B$7</f>
        <v>95.356000000000023</v>
      </c>
      <c r="D63" s="8">
        <f t="shared" si="9"/>
        <v>110.23100000000002</v>
      </c>
      <c r="E63" s="8">
        <f t="shared" si="9"/>
        <v>85.407000000000011</v>
      </c>
      <c r="F63" s="8">
        <f t="shared" si="9"/>
        <v>141.61800000000002</v>
      </c>
      <c r="G63" s="8">
        <f t="shared" si="9"/>
        <v>111.16499999999999</v>
      </c>
      <c r="H63" s="8">
        <f t="shared" si="9"/>
        <v>66.47799999999998</v>
      </c>
      <c r="I63" s="8">
        <f t="shared" si="9"/>
        <v>78.251000000000005</v>
      </c>
      <c r="J63" s="8">
        <f t="shared" si="9"/>
        <v>40.453999999999979</v>
      </c>
      <c r="K63" s="8">
        <f t="shared" si="9"/>
        <v>38.907000000000011</v>
      </c>
      <c r="L63" s="8">
        <f t="shared" si="9"/>
        <v>43.816999999999979</v>
      </c>
      <c r="M63" s="8">
        <f t="shared" si="9"/>
        <v>48.121999999999986</v>
      </c>
    </row>
    <row r="64" spans="1:24" ht="15" x14ac:dyDescent="0.2">
      <c r="A64" s="9" t="s">
        <v>61</v>
      </c>
      <c r="C64" s="8">
        <v>6.9219999999999997</v>
      </c>
      <c r="D64" s="8">
        <v>3.3519999999999999</v>
      </c>
      <c r="E64" s="8">
        <v>6.0270000000000001</v>
      </c>
      <c r="F64" s="8">
        <v>9.2560000000000002</v>
      </c>
      <c r="G64" s="8">
        <v>1.619</v>
      </c>
      <c r="H64" s="8">
        <v>2.0699999999999998</v>
      </c>
      <c r="I64" s="8">
        <v>6.1449999999999996</v>
      </c>
      <c r="J64" s="8">
        <v>6.9260000000000002</v>
      </c>
      <c r="K64" s="8">
        <v>4.7750000000000004</v>
      </c>
      <c r="L64" s="8">
        <v>4.3869999999999996</v>
      </c>
      <c r="M64" s="8">
        <v>6.89</v>
      </c>
    </row>
    <row r="65" spans="1:13" ht="15" x14ac:dyDescent="0.2">
      <c r="A65" s="9" t="s">
        <v>60</v>
      </c>
      <c r="C65" s="8">
        <f t="shared" ref="C65:M65" si="10">SQRT((C64^2)+9)</f>
        <v>7.5441423634499367</v>
      </c>
      <c r="D65" s="8">
        <f t="shared" si="10"/>
        <v>4.4984335051215325</v>
      </c>
      <c r="E65" s="8">
        <f t="shared" si="10"/>
        <v>6.7323642949561195</v>
      </c>
      <c r="F65" s="8">
        <f t="shared" si="10"/>
        <v>9.7300326823705987</v>
      </c>
      <c r="G65" s="8">
        <f t="shared" si="10"/>
        <v>3.4089823994852191</v>
      </c>
      <c r="H65" s="8">
        <f t="shared" si="10"/>
        <v>3.6448456757454082</v>
      </c>
      <c r="I65" s="8">
        <f t="shared" si="10"/>
        <v>6.8382033459089238</v>
      </c>
      <c r="J65" s="8">
        <f t="shared" si="10"/>
        <v>7.5478126632819924</v>
      </c>
      <c r="K65" s="8">
        <f t="shared" si="10"/>
        <v>5.6392042878406174</v>
      </c>
      <c r="L65" s="8">
        <f t="shared" si="10"/>
        <v>5.3146748724639776</v>
      </c>
      <c r="M65" s="8">
        <f t="shared" si="10"/>
        <v>7.5147920796253569</v>
      </c>
    </row>
    <row r="66" spans="1:13" ht="15" x14ac:dyDescent="0.2">
      <c r="A66" s="9" t="s">
        <v>59</v>
      </c>
      <c r="I66" s="8">
        <f>I63/$E$4</f>
        <v>0.94921271443568289</v>
      </c>
      <c r="J66" s="8">
        <f>J63/$E$4</f>
        <v>0.49072153901906806</v>
      </c>
      <c r="K66" s="8">
        <f>K63/$E$4</f>
        <v>0.47195587379776777</v>
      </c>
      <c r="L66" s="8">
        <f>L63/$E$4</f>
        <v>0.53151593600629121</v>
      </c>
      <c r="M66" s="8">
        <f>M63/$E$4</f>
        <v>0.58373713107914171</v>
      </c>
    </row>
    <row r="68" spans="1:13" ht="15" x14ac:dyDescent="0.2">
      <c r="A68" s="10" t="s">
        <v>104</v>
      </c>
      <c r="C68" s="8">
        <v>1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</row>
    <row r="69" spans="1:13" ht="15" x14ac:dyDescent="0.2">
      <c r="A69" s="9" t="s">
        <v>63</v>
      </c>
      <c r="C69" s="8">
        <v>376.488</v>
      </c>
      <c r="D69" s="11">
        <v>288.85500000000002</v>
      </c>
      <c r="E69" s="8">
        <v>276.5</v>
      </c>
      <c r="F69" s="8">
        <v>365.11700000000002</v>
      </c>
      <c r="G69" s="8">
        <v>388.79700000000003</v>
      </c>
      <c r="H69" s="8">
        <v>350.24599999999998</v>
      </c>
      <c r="I69" s="8">
        <v>295.90199999999999</v>
      </c>
      <c r="J69" s="8">
        <v>267.71899999999999</v>
      </c>
      <c r="K69" s="8">
        <v>269.96899999999999</v>
      </c>
      <c r="L69" s="8">
        <v>382.137</v>
      </c>
      <c r="M69" s="8">
        <v>373.57799999999997</v>
      </c>
    </row>
    <row r="70" spans="1:13" ht="15" x14ac:dyDescent="0.2">
      <c r="A70" s="9" t="s">
        <v>62</v>
      </c>
      <c r="C70" s="8">
        <f t="shared" ref="C70:M70" si="11">C69-$B$7</f>
        <v>153.446</v>
      </c>
      <c r="D70" s="8">
        <f t="shared" si="11"/>
        <v>65.813000000000017</v>
      </c>
      <c r="E70" s="8">
        <f t="shared" si="11"/>
        <v>53.457999999999998</v>
      </c>
      <c r="F70" s="8">
        <f t="shared" si="11"/>
        <v>142.07500000000002</v>
      </c>
      <c r="G70" s="8">
        <f t="shared" si="11"/>
        <v>165.75500000000002</v>
      </c>
      <c r="H70" s="8">
        <f t="shared" si="11"/>
        <v>127.20399999999998</v>
      </c>
      <c r="I70" s="8">
        <f t="shared" si="11"/>
        <v>72.859999999999985</v>
      </c>
      <c r="J70" s="8">
        <f t="shared" si="11"/>
        <v>44.676999999999992</v>
      </c>
      <c r="K70" s="8">
        <f t="shared" si="11"/>
        <v>46.926999999999992</v>
      </c>
      <c r="L70" s="8">
        <f t="shared" si="11"/>
        <v>159.095</v>
      </c>
      <c r="M70" s="8">
        <f t="shared" si="11"/>
        <v>150.53599999999997</v>
      </c>
    </row>
    <row r="71" spans="1:13" ht="15" x14ac:dyDescent="0.2">
      <c r="A71" s="9" t="s">
        <v>61</v>
      </c>
      <c r="C71" s="8">
        <v>6.048</v>
      </c>
      <c r="D71" s="8">
        <v>7.0549999999999997</v>
      </c>
      <c r="E71" s="8">
        <v>11.205</v>
      </c>
      <c r="F71" s="8">
        <v>6.17</v>
      </c>
      <c r="G71" s="8">
        <v>4.2960000000000003</v>
      </c>
      <c r="H71" s="8">
        <v>7.109</v>
      </c>
      <c r="I71" s="8">
        <v>6.8780000000000001</v>
      </c>
      <c r="J71" s="8">
        <v>3.4350000000000001</v>
      </c>
      <c r="K71" s="8">
        <v>9.202</v>
      </c>
      <c r="L71" s="8">
        <v>6.9989999999999997</v>
      </c>
      <c r="M71" s="8">
        <v>6.5679999999999996</v>
      </c>
    </row>
    <row r="72" spans="1:13" ht="15" x14ac:dyDescent="0.2">
      <c r="A72" s="9" t="s">
        <v>60</v>
      </c>
      <c r="C72" s="8">
        <f t="shared" ref="C72:M72" si="12">SQRT((C71^2)+16)</f>
        <v>7.2510898491192348</v>
      </c>
      <c r="D72" s="8">
        <f t="shared" si="12"/>
        <v>8.1100570281595417</v>
      </c>
      <c r="E72" s="8">
        <f t="shared" si="12"/>
        <v>11.897563826262921</v>
      </c>
      <c r="F72" s="8">
        <f t="shared" si="12"/>
        <v>7.3531557851034268</v>
      </c>
      <c r="G72" s="8">
        <f t="shared" si="12"/>
        <v>5.8698906293047752</v>
      </c>
      <c r="H72" s="8">
        <f t="shared" si="12"/>
        <v>8.1570755176104619</v>
      </c>
      <c r="I72" s="8">
        <f t="shared" si="12"/>
        <v>7.9565623230136273</v>
      </c>
      <c r="J72" s="8">
        <f t="shared" si="12"/>
        <v>5.2724970365093613</v>
      </c>
      <c r="K72" s="8">
        <f t="shared" si="12"/>
        <v>10.033783134989514</v>
      </c>
      <c r="L72" s="8">
        <f t="shared" si="12"/>
        <v>8.0613895204238819</v>
      </c>
      <c r="M72" s="8">
        <f t="shared" si="12"/>
        <v>7.6901641074817118</v>
      </c>
    </row>
    <row r="73" spans="1:13" ht="15" x14ac:dyDescent="0.2">
      <c r="A73" s="9" t="s">
        <v>59</v>
      </c>
      <c r="I73" s="8">
        <f>I70/$E$4</f>
        <v>0.88381794959532578</v>
      </c>
      <c r="J73" s="8">
        <f>J70/$E$4</f>
        <v>0.54194804466195956</v>
      </c>
      <c r="K73" s="8">
        <f>K70/$E$4</f>
        <v>0.56924135219132388</v>
      </c>
      <c r="L73" s="8">
        <f>L70/$E$4</f>
        <v>1.9298794495040954</v>
      </c>
      <c r="M73" s="8">
        <f>M70/$E$4</f>
        <v>1.8260557076623931</v>
      </c>
    </row>
    <row r="75" spans="1:13" ht="15" x14ac:dyDescent="0.2">
      <c r="A75" s="10" t="s">
        <v>103</v>
      </c>
      <c r="C75" s="8">
        <v>1</v>
      </c>
      <c r="D75" s="8"/>
      <c r="E75" s="8"/>
      <c r="F75" s="8"/>
      <c r="G75" s="8"/>
    </row>
    <row r="76" spans="1:13" ht="15" x14ac:dyDescent="0.2">
      <c r="A76" s="9" t="s">
        <v>63</v>
      </c>
      <c r="C76" s="8">
        <v>303.19900000000001</v>
      </c>
      <c r="D76" s="8">
        <v>263.12900000000002</v>
      </c>
      <c r="E76" s="8">
        <v>272.49599999999998</v>
      </c>
      <c r="F76" s="8">
        <v>274.53100000000001</v>
      </c>
      <c r="G76" s="8">
        <v>270.22300000000001</v>
      </c>
    </row>
    <row r="77" spans="1:13" ht="15" x14ac:dyDescent="0.2">
      <c r="A77" s="9" t="s">
        <v>62</v>
      </c>
      <c r="C77" s="8">
        <f>C76-$B$7</f>
        <v>80.157000000000011</v>
      </c>
      <c r="D77" s="8">
        <f>D76-$B$7</f>
        <v>40.087000000000018</v>
      </c>
      <c r="E77" s="8">
        <f>E76-$B$7</f>
        <v>49.453999999999979</v>
      </c>
      <c r="F77" s="8">
        <f>F76-$B$7</f>
        <v>51.489000000000004</v>
      </c>
      <c r="G77" s="8">
        <f>G76-$B$7</f>
        <v>47.181000000000012</v>
      </c>
    </row>
    <row r="78" spans="1:13" ht="15" x14ac:dyDescent="0.2">
      <c r="A78" s="9" t="s">
        <v>61</v>
      </c>
      <c r="C78" s="8">
        <v>9.5399999999999991</v>
      </c>
      <c r="D78" s="8">
        <v>5.9</v>
      </c>
      <c r="E78" s="8">
        <v>4.5679999999999996</v>
      </c>
      <c r="F78" s="8">
        <v>6.8520000000000003</v>
      </c>
      <c r="G78" s="8">
        <v>7.3890000000000002</v>
      </c>
    </row>
    <row r="79" spans="1:13" ht="15" x14ac:dyDescent="0.2">
      <c r="A79" s="9" t="s">
        <v>60</v>
      </c>
      <c r="C79" s="8">
        <f>SQRT((C78^2)+25)</f>
        <v>10.770868117287481</v>
      </c>
      <c r="D79" s="8">
        <f>SQRT((D78^2)+25)</f>
        <v>7.7336925203941229</v>
      </c>
      <c r="E79" s="8">
        <f>SQRT((E78^2)+25)</f>
        <v>6.7724902362425006</v>
      </c>
      <c r="F79" s="8">
        <f>SQRT((F78^2)+25)</f>
        <v>8.4823289254779546</v>
      </c>
      <c r="G79" s="8">
        <f>SQRT((G78^2)+25)</f>
        <v>8.9217330715506158</v>
      </c>
    </row>
    <row r="80" spans="1:13" ht="15" x14ac:dyDescent="0.2">
      <c r="A80" s="9" t="s">
        <v>59</v>
      </c>
      <c r="D80" s="8">
        <f>D77/$E$4</f>
        <v>0.48626969730205666</v>
      </c>
      <c r="E80" s="8">
        <f>E77/$E$4</f>
        <v>0.59989476913652529</v>
      </c>
      <c r="F80" s="8">
        <f>F77/$E$4</f>
        <v>0.62458004950197288</v>
      </c>
      <c r="G80" s="8">
        <f>G77/$E$4</f>
        <v>0.57232246335241677</v>
      </c>
    </row>
  </sheetData>
  <mergeCells count="1">
    <mergeCell ref="G4:H4"/>
  </mergeCells>
  <pageMargins left="0.7" right="0.7" top="0.75" bottom="0.75" header="0.3" footer="0.3"/>
  <pageSetup orientation="portrait" horizontalDpi="0" verticalDpi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6276-20AF-E149-9A67-819B9CB243BE}">
  <sheetPr>
    <outlinePr summaryBelow="0" summaryRight="0"/>
  </sheetPr>
  <dimension ref="A1:W80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7" ht="16" x14ac:dyDescent="0.2">
      <c r="A1" s="12" t="s">
        <v>75</v>
      </c>
      <c r="B1" s="12"/>
      <c r="C1" s="15">
        <v>45098</v>
      </c>
      <c r="D1" s="12"/>
      <c r="E1" s="12"/>
      <c r="F1" s="12"/>
      <c r="G1" s="12"/>
      <c r="H1" s="12"/>
    </row>
    <row r="2" spans="1:17" ht="16" x14ac:dyDescent="0.2">
      <c r="A2" s="12"/>
      <c r="B2" s="12"/>
      <c r="C2" s="12"/>
      <c r="D2" s="12"/>
      <c r="E2" s="12"/>
      <c r="F2" s="12"/>
      <c r="G2" s="12"/>
      <c r="H2" s="12"/>
    </row>
    <row r="3" spans="1:17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7" ht="16" x14ac:dyDescent="0.2">
      <c r="A4" s="12" t="s">
        <v>27</v>
      </c>
      <c r="B4" s="13">
        <v>53.774999999999999</v>
      </c>
      <c r="C4" s="12"/>
      <c r="D4" s="12" t="s">
        <v>73</v>
      </c>
      <c r="E4" s="13">
        <f>AVERAGE(C8,D8,E8,F8,G8,H8,I8,J8,C14,D14,E14,F14,G14,H14,I14,J14,C21,D21,E21,F21,G21,H21,I21,C28,C35,D35,E35,F35,G35,H35,I35,J35,K35,L35,C42)</f>
        <v>103.51060000000003</v>
      </c>
      <c r="F4" s="12"/>
      <c r="G4" s="55" t="s">
        <v>72</v>
      </c>
      <c r="H4" s="56"/>
    </row>
    <row r="5" spans="1:17" ht="16" x14ac:dyDescent="0.2">
      <c r="A5" s="12"/>
      <c r="B5" s="12"/>
      <c r="C5" s="12"/>
      <c r="D5" s="12"/>
      <c r="E5" s="12"/>
      <c r="F5" s="12"/>
      <c r="G5" s="12"/>
      <c r="H5" s="12"/>
    </row>
    <row r="6" spans="1:17" ht="15" x14ac:dyDescent="0.2">
      <c r="A6" s="10" t="s">
        <v>120</v>
      </c>
      <c r="B6" s="14" t="s">
        <v>70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</row>
    <row r="7" spans="1:17" ht="16" x14ac:dyDescent="0.2">
      <c r="A7" s="9" t="s">
        <v>63</v>
      </c>
      <c r="B7" s="13">
        <v>214.27199999999999</v>
      </c>
      <c r="C7" s="8">
        <v>280.80900000000003</v>
      </c>
      <c r="D7" s="8">
        <v>409.91</v>
      </c>
      <c r="E7" s="8">
        <v>358.12900000000002</v>
      </c>
      <c r="F7" s="8">
        <v>282.41800000000001</v>
      </c>
      <c r="G7" s="8">
        <v>374.93400000000003</v>
      </c>
      <c r="H7" s="8">
        <v>467.12900000000002</v>
      </c>
      <c r="I7" s="8">
        <v>396.18</v>
      </c>
      <c r="J7" s="8">
        <v>268.08999999999997</v>
      </c>
      <c r="K7" s="8">
        <v>277.30900000000003</v>
      </c>
      <c r="L7" s="8">
        <v>286.83199999999999</v>
      </c>
      <c r="M7" s="8">
        <v>282.77300000000002</v>
      </c>
      <c r="N7" s="8">
        <v>305.14100000000002</v>
      </c>
      <c r="O7" s="8">
        <v>264.35500000000002</v>
      </c>
      <c r="P7" s="8">
        <v>363.83199999999999</v>
      </c>
      <c r="Q7" s="8">
        <v>291.00400000000002</v>
      </c>
    </row>
    <row r="8" spans="1:17" ht="16" x14ac:dyDescent="0.2">
      <c r="A8" s="9" t="s">
        <v>62</v>
      </c>
      <c r="B8" s="12"/>
      <c r="C8" s="8">
        <f t="shared" ref="C8:Q8" si="0">C7-$B$7</f>
        <v>66.537000000000035</v>
      </c>
      <c r="D8" s="8">
        <f t="shared" si="0"/>
        <v>195.63800000000003</v>
      </c>
      <c r="E8" s="8">
        <f t="shared" si="0"/>
        <v>143.85700000000003</v>
      </c>
      <c r="F8" s="8">
        <f t="shared" si="0"/>
        <v>68.146000000000015</v>
      </c>
      <c r="G8" s="8">
        <f t="shared" si="0"/>
        <v>160.66200000000003</v>
      </c>
      <c r="H8" s="8">
        <f t="shared" si="0"/>
        <v>252.85700000000003</v>
      </c>
      <c r="I8" s="8">
        <f t="shared" si="0"/>
        <v>181.90800000000002</v>
      </c>
      <c r="J8" s="8">
        <f t="shared" si="0"/>
        <v>53.817999999999984</v>
      </c>
      <c r="K8" s="8">
        <f t="shared" si="0"/>
        <v>63.037000000000035</v>
      </c>
      <c r="L8" s="8">
        <f t="shared" si="0"/>
        <v>72.56</v>
      </c>
      <c r="M8" s="8">
        <f t="shared" si="0"/>
        <v>68.501000000000033</v>
      </c>
      <c r="N8" s="8">
        <f t="shared" si="0"/>
        <v>90.869000000000028</v>
      </c>
      <c r="O8" s="8">
        <f t="shared" si="0"/>
        <v>50.083000000000027</v>
      </c>
      <c r="P8" s="8">
        <f t="shared" si="0"/>
        <v>149.56</v>
      </c>
      <c r="Q8" s="8">
        <f t="shared" si="0"/>
        <v>76.732000000000028</v>
      </c>
    </row>
    <row r="9" spans="1:17" ht="16" x14ac:dyDescent="0.2">
      <c r="A9" s="9" t="s">
        <v>61</v>
      </c>
      <c r="B9" s="12"/>
      <c r="C9" s="8">
        <v>2.726</v>
      </c>
      <c r="D9" s="8">
        <v>1.881</v>
      </c>
      <c r="E9" s="8">
        <v>0.63800000000000001</v>
      </c>
      <c r="F9" s="8">
        <v>2.7410000000000001</v>
      </c>
      <c r="G9" s="8">
        <v>2.125</v>
      </c>
      <c r="H9" s="8">
        <v>3.8610000000000002</v>
      </c>
      <c r="I9" s="8">
        <v>3.0920000000000001</v>
      </c>
      <c r="J9" s="8">
        <v>1.6240000000000001</v>
      </c>
      <c r="K9" s="8">
        <v>1.585</v>
      </c>
      <c r="L9" s="8">
        <v>0.98299999999999998</v>
      </c>
      <c r="M9" s="8">
        <v>0.307</v>
      </c>
      <c r="N9" s="8">
        <v>2.6150000000000002</v>
      </c>
      <c r="O9" s="8">
        <v>1.6850000000000001</v>
      </c>
      <c r="P9" s="8">
        <v>3.9710000000000001</v>
      </c>
      <c r="Q9" s="8">
        <v>4.59</v>
      </c>
    </row>
    <row r="10" spans="1:17" ht="16" x14ac:dyDescent="0.2">
      <c r="A10" s="9" t="s">
        <v>59</v>
      </c>
      <c r="B10" s="12"/>
      <c r="K10" s="8">
        <f t="shared" ref="K10:Q10" si="1">K8/$E$4</f>
        <v>0.60899077002741764</v>
      </c>
      <c r="L10" s="8">
        <f t="shared" si="1"/>
        <v>0.70099100961640626</v>
      </c>
      <c r="M10" s="8">
        <f t="shared" si="1"/>
        <v>0.66177763436788128</v>
      </c>
      <c r="N10" s="8">
        <f t="shared" si="1"/>
        <v>0.8778714450500722</v>
      </c>
      <c r="O10" s="8">
        <f t="shared" si="1"/>
        <v>0.48384416668437835</v>
      </c>
      <c r="P10" s="8">
        <f t="shared" si="1"/>
        <v>1.4448761769326037</v>
      </c>
      <c r="Q10" s="8">
        <f t="shared" si="1"/>
        <v>0.74129606050008412</v>
      </c>
    </row>
    <row r="12" spans="1:17" ht="15" x14ac:dyDescent="0.2">
      <c r="A12" s="10" t="s">
        <v>119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/>
      <c r="L12" s="8"/>
    </row>
    <row r="13" spans="1:17" ht="15" x14ac:dyDescent="0.2">
      <c r="A13" s="9" t="s">
        <v>63</v>
      </c>
      <c r="C13" s="8">
        <v>306.38299999999998</v>
      </c>
      <c r="D13" s="8">
        <v>253.953</v>
      </c>
      <c r="E13" s="8">
        <v>291.31200000000001</v>
      </c>
      <c r="F13" s="8">
        <v>311.45299999999997</v>
      </c>
      <c r="G13" s="8">
        <v>279.01600000000002</v>
      </c>
      <c r="H13" s="8">
        <v>376.17200000000003</v>
      </c>
      <c r="I13" s="8">
        <v>356.113</v>
      </c>
      <c r="J13" s="8">
        <v>259.69499999999999</v>
      </c>
      <c r="K13" s="8">
        <v>267.10500000000002</v>
      </c>
      <c r="L13" s="8">
        <v>255.40600000000001</v>
      </c>
      <c r="M13" s="8">
        <v>402.387</v>
      </c>
      <c r="N13" s="8">
        <v>339.80099999999999</v>
      </c>
      <c r="O13" s="8">
        <v>500.05900000000003</v>
      </c>
      <c r="P13" s="8">
        <v>455.96899999999999</v>
      </c>
      <c r="Q13" s="8">
        <v>374.20299999999997</v>
      </c>
    </row>
    <row r="14" spans="1:17" ht="15" x14ac:dyDescent="0.2">
      <c r="A14" s="9" t="s">
        <v>62</v>
      </c>
      <c r="C14" s="8">
        <f t="shared" ref="C14:Q14" si="2">C13-$B$7</f>
        <v>92.11099999999999</v>
      </c>
      <c r="D14" s="8">
        <f t="shared" si="2"/>
        <v>39.681000000000012</v>
      </c>
      <c r="E14" s="8">
        <f t="shared" si="2"/>
        <v>77.04000000000002</v>
      </c>
      <c r="F14" s="8">
        <f t="shared" si="2"/>
        <v>97.180999999999983</v>
      </c>
      <c r="G14" s="8">
        <f t="shared" si="2"/>
        <v>64.744000000000028</v>
      </c>
      <c r="H14" s="8">
        <f t="shared" si="2"/>
        <v>161.90000000000003</v>
      </c>
      <c r="I14" s="8">
        <f t="shared" si="2"/>
        <v>141.84100000000001</v>
      </c>
      <c r="J14" s="8">
        <f t="shared" si="2"/>
        <v>45.423000000000002</v>
      </c>
      <c r="K14" s="8">
        <f t="shared" si="2"/>
        <v>52.833000000000027</v>
      </c>
      <c r="L14" s="8">
        <f t="shared" si="2"/>
        <v>41.134000000000015</v>
      </c>
      <c r="M14" s="8">
        <f t="shared" si="2"/>
        <v>188.11500000000001</v>
      </c>
      <c r="N14" s="8">
        <f t="shared" si="2"/>
        <v>125.529</v>
      </c>
      <c r="O14" s="8">
        <f t="shared" si="2"/>
        <v>285.78700000000003</v>
      </c>
      <c r="P14" s="8">
        <f t="shared" si="2"/>
        <v>241.697</v>
      </c>
      <c r="Q14" s="8">
        <f t="shared" si="2"/>
        <v>159.93099999999998</v>
      </c>
    </row>
    <row r="15" spans="1:17" ht="15" x14ac:dyDescent="0.2">
      <c r="A15" s="9" t="s">
        <v>61</v>
      </c>
      <c r="C15" s="8">
        <v>2.8690000000000002</v>
      </c>
      <c r="D15" s="8">
        <v>2.911</v>
      </c>
      <c r="E15" s="8">
        <v>3.3460000000000001</v>
      </c>
      <c r="F15" s="8">
        <v>1.093</v>
      </c>
      <c r="G15" s="8">
        <v>1.4710000000000001</v>
      </c>
      <c r="H15" s="8">
        <v>6.44</v>
      </c>
      <c r="I15" s="8">
        <v>4.9189999999999996</v>
      </c>
      <c r="J15" s="8">
        <v>1.7470000000000001</v>
      </c>
      <c r="K15" s="8">
        <v>0.79800000000000004</v>
      </c>
      <c r="L15" s="8">
        <v>1.419</v>
      </c>
      <c r="M15" s="8">
        <v>2.6219999999999999</v>
      </c>
      <c r="N15" s="8">
        <v>2.819</v>
      </c>
      <c r="O15" s="8">
        <v>2.6</v>
      </c>
      <c r="P15" s="8">
        <v>3.9129999999999998</v>
      </c>
      <c r="Q15" s="8">
        <v>4.1390000000000002</v>
      </c>
    </row>
    <row r="16" spans="1:17" ht="15" x14ac:dyDescent="0.2">
      <c r="A16" s="9" t="s">
        <v>60</v>
      </c>
      <c r="C16" s="8">
        <f t="shared" ref="C16:Q16" si="3">SQRT((C15^2)+1)</f>
        <v>3.0382825740868808</v>
      </c>
      <c r="D16" s="8">
        <f t="shared" si="3"/>
        <v>3.077973521653492</v>
      </c>
      <c r="E16" s="8">
        <f t="shared" si="3"/>
        <v>3.4922365326535374</v>
      </c>
      <c r="F16" s="8">
        <f t="shared" si="3"/>
        <v>1.4814347775045651</v>
      </c>
      <c r="G16" s="8">
        <f t="shared" si="3"/>
        <v>1.7787189210215313</v>
      </c>
      <c r="H16" s="8">
        <f t="shared" si="3"/>
        <v>6.5171773030967941</v>
      </c>
      <c r="I16" s="8">
        <f t="shared" si="3"/>
        <v>5.0196176149184906</v>
      </c>
      <c r="J16" s="8">
        <f t="shared" si="3"/>
        <v>2.0129602579286061</v>
      </c>
      <c r="K16" s="8">
        <f t="shared" si="3"/>
        <v>1.2793764106001018</v>
      </c>
      <c r="L16" s="8">
        <f t="shared" si="3"/>
        <v>1.7359611170760709</v>
      </c>
      <c r="M16" s="8">
        <f t="shared" si="3"/>
        <v>2.8062223718016361</v>
      </c>
      <c r="N16" s="8">
        <f t="shared" si="3"/>
        <v>2.9911136721963607</v>
      </c>
      <c r="O16" s="8">
        <f t="shared" si="3"/>
        <v>2.7856776554368241</v>
      </c>
      <c r="P16" s="8">
        <f t="shared" si="3"/>
        <v>4.0387583487997887</v>
      </c>
      <c r="Q16" s="8">
        <f t="shared" si="3"/>
        <v>4.2580888905705105</v>
      </c>
    </row>
    <row r="17" spans="1:23" ht="15" x14ac:dyDescent="0.2">
      <c r="A17" s="9" t="s">
        <v>59</v>
      </c>
      <c r="K17" s="8">
        <f t="shared" ref="K17:Q17" si="4">K14/$E$4</f>
        <v>0.51041149408852826</v>
      </c>
      <c r="L17" s="8">
        <f t="shared" si="4"/>
        <v>0.39738925288811006</v>
      </c>
      <c r="M17" s="8">
        <f t="shared" si="4"/>
        <v>1.8173501071387854</v>
      </c>
      <c r="N17" s="8">
        <f t="shared" si="4"/>
        <v>1.2127163788056485</v>
      </c>
      <c r="O17" s="8">
        <f t="shared" si="4"/>
        <v>2.7609442897635601</v>
      </c>
      <c r="P17" s="8">
        <f t="shared" si="4"/>
        <v>2.3349975751275709</v>
      </c>
      <c r="Q17" s="8">
        <f t="shared" si="4"/>
        <v>1.5450688142083995</v>
      </c>
    </row>
    <row r="19" spans="1:23" ht="15" x14ac:dyDescent="0.2">
      <c r="A19" s="10" t="s">
        <v>118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/>
    </row>
    <row r="20" spans="1:23" ht="15" x14ac:dyDescent="0.2">
      <c r="A20" s="9" t="s">
        <v>63</v>
      </c>
      <c r="C20" s="8">
        <v>269.23</v>
      </c>
      <c r="D20" s="8">
        <v>359.012</v>
      </c>
      <c r="E20" s="8">
        <v>297.75</v>
      </c>
      <c r="F20" s="8">
        <v>303.29700000000003</v>
      </c>
      <c r="G20" s="8">
        <v>307.68</v>
      </c>
      <c r="H20" s="8">
        <v>311.16800000000001</v>
      </c>
      <c r="I20" s="8">
        <v>356.375</v>
      </c>
      <c r="J20" s="8">
        <v>308.60500000000002</v>
      </c>
      <c r="K20" s="8">
        <v>277.762</v>
      </c>
      <c r="L20" s="8">
        <v>285.66000000000003</v>
      </c>
      <c r="M20" s="8">
        <v>250.49600000000001</v>
      </c>
      <c r="N20" s="8">
        <v>283.40600000000001</v>
      </c>
      <c r="O20" s="8">
        <v>288.58999999999997</v>
      </c>
      <c r="P20" s="8">
        <v>267.988</v>
      </c>
      <c r="Q20" s="8">
        <v>409.46199999999999</v>
      </c>
      <c r="R20" s="8">
        <v>391.34699999999998</v>
      </c>
      <c r="S20" s="8">
        <v>280.27999999999997</v>
      </c>
      <c r="T20" s="8">
        <v>309.06700000000001</v>
      </c>
      <c r="U20" s="8">
        <v>260.64100000000002</v>
      </c>
      <c r="V20" s="8">
        <v>249.78100000000001</v>
      </c>
      <c r="W20" s="8">
        <v>259.14800000000002</v>
      </c>
    </row>
    <row r="21" spans="1:23" ht="15" x14ac:dyDescent="0.2">
      <c r="A21" s="9" t="s">
        <v>62</v>
      </c>
      <c r="C21" s="8">
        <f t="shared" ref="C21:W21" si="5">C20-$B$7</f>
        <v>54.958000000000027</v>
      </c>
      <c r="D21" s="8">
        <f t="shared" si="5"/>
        <v>144.74</v>
      </c>
      <c r="E21" s="8">
        <f t="shared" si="5"/>
        <v>83.478000000000009</v>
      </c>
      <c r="F21" s="8">
        <f t="shared" si="5"/>
        <v>89.025000000000034</v>
      </c>
      <c r="G21" s="8">
        <f t="shared" si="5"/>
        <v>93.408000000000015</v>
      </c>
      <c r="H21" s="8">
        <f t="shared" si="5"/>
        <v>96.896000000000015</v>
      </c>
      <c r="I21" s="8">
        <f t="shared" si="5"/>
        <v>142.10300000000001</v>
      </c>
      <c r="J21" s="8">
        <f t="shared" si="5"/>
        <v>94.333000000000027</v>
      </c>
      <c r="K21" s="8">
        <f t="shared" si="5"/>
        <v>63.490000000000009</v>
      </c>
      <c r="L21" s="8">
        <f t="shared" si="5"/>
        <v>71.388000000000034</v>
      </c>
      <c r="M21" s="8">
        <f t="shared" si="5"/>
        <v>36.224000000000018</v>
      </c>
      <c r="N21" s="8">
        <f t="shared" si="5"/>
        <v>69.134000000000015</v>
      </c>
      <c r="O21" s="8">
        <f t="shared" si="5"/>
        <v>74.317999999999984</v>
      </c>
      <c r="P21" s="8">
        <f t="shared" si="5"/>
        <v>53.716000000000008</v>
      </c>
      <c r="Q21" s="8">
        <f t="shared" si="5"/>
        <v>195.19</v>
      </c>
      <c r="R21" s="8">
        <f t="shared" si="5"/>
        <v>177.07499999999999</v>
      </c>
      <c r="S21" s="8">
        <f t="shared" si="5"/>
        <v>66.007999999999981</v>
      </c>
      <c r="T21" s="8">
        <f t="shared" si="5"/>
        <v>94.795000000000016</v>
      </c>
      <c r="U21" s="8">
        <f t="shared" si="5"/>
        <v>46.369000000000028</v>
      </c>
      <c r="V21" s="8">
        <f t="shared" si="5"/>
        <v>35.509000000000015</v>
      </c>
      <c r="W21" s="8">
        <f t="shared" si="5"/>
        <v>44.876000000000033</v>
      </c>
    </row>
    <row r="22" spans="1:23" ht="15" x14ac:dyDescent="0.2">
      <c r="A22" s="9" t="s">
        <v>61</v>
      </c>
      <c r="C22" s="8">
        <v>6.6769999999999996</v>
      </c>
      <c r="D22" s="8">
        <v>4.0030000000000001</v>
      </c>
      <c r="E22" s="8">
        <v>2.7679999999999998</v>
      </c>
      <c r="F22" s="8">
        <v>1.6020000000000001</v>
      </c>
      <c r="G22" s="8">
        <v>0.50800000000000001</v>
      </c>
      <c r="H22" s="8">
        <v>1.4750000000000001</v>
      </c>
      <c r="I22" s="8">
        <v>2.516</v>
      </c>
      <c r="J22" s="8">
        <v>4.2279999999999998</v>
      </c>
      <c r="K22" s="8">
        <v>0.97599999999999998</v>
      </c>
      <c r="L22" s="8">
        <v>2.3820000000000001</v>
      </c>
      <c r="M22" s="8">
        <v>3.625</v>
      </c>
      <c r="N22" s="8">
        <v>2.726</v>
      </c>
      <c r="O22" s="8">
        <v>3.0329999999999999</v>
      </c>
      <c r="P22" s="8">
        <v>3.669</v>
      </c>
      <c r="Q22" s="8">
        <v>3.387</v>
      </c>
      <c r="R22" s="8">
        <v>3.7250000000000001</v>
      </c>
      <c r="S22" s="8">
        <v>4.3339999999999996</v>
      </c>
      <c r="T22" s="8">
        <v>4.0739999999999998</v>
      </c>
      <c r="U22" s="8">
        <v>2.8239999999999998</v>
      </c>
      <c r="V22" s="8">
        <v>2.8839999999999999</v>
      </c>
      <c r="W22" s="8">
        <v>1.0589999999999999</v>
      </c>
    </row>
    <row r="23" spans="1:23" ht="15" x14ac:dyDescent="0.2">
      <c r="A23" s="9" t="s">
        <v>60</v>
      </c>
      <c r="C23" s="8">
        <f t="shared" ref="C23:W23" si="6">SQRT((C22^2)+4)</f>
        <v>6.9701025100065781</v>
      </c>
      <c r="D23" s="8">
        <f t="shared" si="6"/>
        <v>4.4748194376980175</v>
      </c>
      <c r="E23" s="8">
        <f t="shared" si="6"/>
        <v>3.4149412879286811</v>
      </c>
      <c r="F23" s="8">
        <f t="shared" si="6"/>
        <v>2.5624995609755721</v>
      </c>
      <c r="G23" s="8">
        <f t="shared" si="6"/>
        <v>2.0635076932253003</v>
      </c>
      <c r="H23" s="8">
        <f t="shared" si="6"/>
        <v>2.4850804815941072</v>
      </c>
      <c r="I23" s="8">
        <f t="shared" si="6"/>
        <v>3.2140715611199449</v>
      </c>
      <c r="J23" s="8">
        <f t="shared" si="6"/>
        <v>4.6771769263092882</v>
      </c>
      <c r="K23" s="8">
        <f t="shared" si="6"/>
        <v>2.2254383837796992</v>
      </c>
      <c r="L23" s="8">
        <f t="shared" si="6"/>
        <v>3.1102932337643021</v>
      </c>
      <c r="M23" s="8">
        <f t="shared" si="6"/>
        <v>4.1401237904197989</v>
      </c>
      <c r="N23" s="8">
        <f t="shared" si="6"/>
        <v>3.3809874297311429</v>
      </c>
      <c r="O23" s="8">
        <f t="shared" si="6"/>
        <v>3.6330550505050154</v>
      </c>
      <c r="P23" s="8">
        <f t="shared" si="6"/>
        <v>4.1787032677614233</v>
      </c>
      <c r="Q23" s="8">
        <f t="shared" si="6"/>
        <v>3.9334169623877915</v>
      </c>
      <c r="R23" s="8">
        <f t="shared" si="6"/>
        <v>4.2279575447253483</v>
      </c>
      <c r="S23" s="8">
        <f t="shared" si="6"/>
        <v>4.7732123355241587</v>
      </c>
      <c r="T23" s="8">
        <f t="shared" si="6"/>
        <v>4.538444226824871</v>
      </c>
      <c r="U23" s="8">
        <f t="shared" si="6"/>
        <v>3.4604878268822157</v>
      </c>
      <c r="V23" s="8">
        <f t="shared" si="6"/>
        <v>3.5096233416137408</v>
      </c>
      <c r="W23" s="8">
        <f t="shared" si="6"/>
        <v>2.2630689339920691</v>
      </c>
    </row>
    <row r="24" spans="1:23" ht="15" x14ac:dyDescent="0.2">
      <c r="A24" s="9" t="s">
        <v>59</v>
      </c>
      <c r="J24" s="8">
        <f t="shared" ref="J24:W24" si="7">J21/$E$4</f>
        <v>0.91133661673297228</v>
      </c>
      <c r="K24" s="8">
        <f t="shared" si="7"/>
        <v>0.61336713341435556</v>
      </c>
      <c r="L24" s="8">
        <f t="shared" si="7"/>
        <v>0.68966849771907435</v>
      </c>
      <c r="M24" s="8">
        <f t="shared" si="7"/>
        <v>0.34995449741379153</v>
      </c>
      <c r="N24" s="8">
        <f t="shared" si="7"/>
        <v>0.66789295009399996</v>
      </c>
      <c r="O24" s="8">
        <f t="shared" si="7"/>
        <v>0.71797477746240446</v>
      </c>
      <c r="P24" s="8">
        <f t="shared" si="7"/>
        <v>0.51894202139684242</v>
      </c>
      <c r="Q24" s="8">
        <f t="shared" si="7"/>
        <v>1.8857005949149164</v>
      </c>
      <c r="R24" s="8">
        <f t="shared" si="7"/>
        <v>1.7106943636690344</v>
      </c>
      <c r="S24" s="8">
        <f t="shared" si="7"/>
        <v>0.63769314447022785</v>
      </c>
      <c r="T24" s="8">
        <f t="shared" si="7"/>
        <v>0.91579992773686936</v>
      </c>
      <c r="U24" s="8">
        <f t="shared" si="7"/>
        <v>0.44796378341928283</v>
      </c>
      <c r="V24" s="8">
        <f t="shared" si="7"/>
        <v>0.34304699228871249</v>
      </c>
      <c r="W24" s="8">
        <f t="shared" si="7"/>
        <v>0.43354013985041168</v>
      </c>
    </row>
    <row r="26" spans="1:23" ht="15" x14ac:dyDescent="0.2">
      <c r="A26" s="10" t="s">
        <v>117</v>
      </c>
      <c r="C26" s="8">
        <v>1</v>
      </c>
      <c r="D26" s="8"/>
    </row>
    <row r="27" spans="1:23" ht="15" x14ac:dyDescent="0.2">
      <c r="A27" s="9" t="s">
        <v>63</v>
      </c>
      <c r="C27" s="8">
        <v>281.52300000000002</v>
      </c>
      <c r="D27" s="8">
        <v>312.49599999999998</v>
      </c>
      <c r="E27" s="8">
        <v>307.81599999999997</v>
      </c>
      <c r="F27" s="8">
        <v>290.19499999999999</v>
      </c>
      <c r="G27" s="8">
        <v>280.99599999999998</v>
      </c>
      <c r="H27" s="8">
        <v>269.03899999999999</v>
      </c>
    </row>
    <row r="28" spans="1:23" ht="15" x14ac:dyDescent="0.2">
      <c r="A28" s="9" t="s">
        <v>62</v>
      </c>
      <c r="C28" s="8">
        <f t="shared" ref="C28:H28" si="8">C27-$B$7</f>
        <v>67.251000000000033</v>
      </c>
      <c r="D28" s="8">
        <f t="shared" si="8"/>
        <v>98.22399999999999</v>
      </c>
      <c r="E28" s="8">
        <f t="shared" si="8"/>
        <v>93.543999999999983</v>
      </c>
      <c r="F28" s="8">
        <f t="shared" si="8"/>
        <v>75.923000000000002</v>
      </c>
      <c r="G28" s="8">
        <f t="shared" si="8"/>
        <v>66.72399999999999</v>
      </c>
      <c r="H28" s="8">
        <f t="shared" si="8"/>
        <v>54.766999999999996</v>
      </c>
    </row>
    <row r="29" spans="1:23" ht="15" x14ac:dyDescent="0.2">
      <c r="A29" s="9" t="s">
        <v>61</v>
      </c>
      <c r="C29" s="8">
        <v>5.681</v>
      </c>
      <c r="D29" s="8">
        <v>3.5030000000000001</v>
      </c>
      <c r="E29" s="8">
        <v>3.9350000000000001</v>
      </c>
      <c r="F29" s="8">
        <v>3.3439999999999999</v>
      </c>
      <c r="G29" s="8">
        <v>4.1669999999999998</v>
      </c>
      <c r="H29" s="8">
        <v>4.1449999999999996</v>
      </c>
    </row>
    <row r="30" spans="1:23" ht="15" x14ac:dyDescent="0.2">
      <c r="A30" s="9" t="s">
        <v>60</v>
      </c>
      <c r="C30" s="8">
        <f t="shared" ref="C30:H30" si="9">SQRT((C29^2)+9)</f>
        <v>6.4244658143693165</v>
      </c>
      <c r="D30" s="8">
        <f t="shared" si="9"/>
        <v>4.6120504116932635</v>
      </c>
      <c r="E30" s="8">
        <f t="shared" si="9"/>
        <v>4.9481536960769521</v>
      </c>
      <c r="F30" s="8">
        <f t="shared" si="9"/>
        <v>4.4924754868557715</v>
      </c>
      <c r="G30" s="8">
        <f t="shared" si="9"/>
        <v>5.1345777820576446</v>
      </c>
      <c r="H30" s="8">
        <f t="shared" si="9"/>
        <v>5.1167396846038589</v>
      </c>
    </row>
    <row r="31" spans="1:23" ht="15" x14ac:dyDescent="0.2">
      <c r="A31" s="9" t="s">
        <v>59</v>
      </c>
      <c r="D31" s="8">
        <f>D28/$E$4</f>
        <v>0.94892696979826185</v>
      </c>
      <c r="E31" s="8">
        <f>E28/$E$4</f>
        <v>0.90371420897956301</v>
      </c>
      <c r="F31" s="8">
        <f>F28/$E$4</f>
        <v>0.73348043582009947</v>
      </c>
      <c r="G31" s="8">
        <f>G28/$E$4</f>
        <v>0.64461031044163564</v>
      </c>
      <c r="H31" s="8">
        <f>H28/$E$4</f>
        <v>0.52909557088839199</v>
      </c>
    </row>
    <row r="33" spans="1:17" ht="15" x14ac:dyDescent="0.2">
      <c r="A33" s="10" t="s">
        <v>116</v>
      </c>
      <c r="C33" s="8">
        <v>1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</row>
    <row r="34" spans="1:17" ht="15" x14ac:dyDescent="0.2">
      <c r="A34" s="9" t="s">
        <v>63</v>
      </c>
      <c r="C34" s="8">
        <v>336.238</v>
      </c>
      <c r="D34" s="8">
        <v>329.94900000000001</v>
      </c>
      <c r="E34" s="8">
        <v>297.38299999999998</v>
      </c>
      <c r="F34" s="8">
        <v>292.96100000000001</v>
      </c>
      <c r="G34" s="8">
        <v>273.62900000000002</v>
      </c>
      <c r="H34" s="8">
        <v>265.47300000000001</v>
      </c>
      <c r="I34" s="8">
        <v>252.96899999999999</v>
      </c>
      <c r="J34" s="8">
        <v>369.98</v>
      </c>
      <c r="K34" s="8">
        <v>364.00799999999998</v>
      </c>
      <c r="L34" s="8">
        <v>310.32799999999997</v>
      </c>
      <c r="M34" s="8">
        <v>261.33199999999999</v>
      </c>
      <c r="N34" s="8">
        <v>275.46100000000001</v>
      </c>
      <c r="O34" s="8">
        <v>339.29700000000003</v>
      </c>
      <c r="P34" s="8">
        <v>293.43</v>
      </c>
      <c r="Q34" s="8">
        <v>259.21899999999999</v>
      </c>
    </row>
    <row r="35" spans="1:17" ht="15" x14ac:dyDescent="0.2">
      <c r="A35" s="9" t="s">
        <v>62</v>
      </c>
      <c r="C35" s="8">
        <f t="shared" ref="C35:Q35" si="10">C34-$B$7</f>
        <v>121.96600000000001</v>
      </c>
      <c r="D35" s="8">
        <f t="shared" si="10"/>
        <v>115.67700000000002</v>
      </c>
      <c r="E35" s="8">
        <f t="shared" si="10"/>
        <v>83.11099999999999</v>
      </c>
      <c r="F35" s="8">
        <f t="shared" si="10"/>
        <v>78.689000000000021</v>
      </c>
      <c r="G35" s="8">
        <f t="shared" si="10"/>
        <v>59.357000000000028</v>
      </c>
      <c r="H35" s="8">
        <f t="shared" si="10"/>
        <v>51.201000000000022</v>
      </c>
      <c r="I35" s="8">
        <f t="shared" si="10"/>
        <v>38.697000000000003</v>
      </c>
      <c r="J35" s="8">
        <f t="shared" si="10"/>
        <v>155.70800000000003</v>
      </c>
      <c r="K35" s="8">
        <f t="shared" si="10"/>
        <v>149.73599999999999</v>
      </c>
      <c r="L35" s="8">
        <f t="shared" si="10"/>
        <v>96.055999999999983</v>
      </c>
      <c r="M35" s="8">
        <f t="shared" si="10"/>
        <v>47.06</v>
      </c>
      <c r="N35" s="8">
        <f t="shared" si="10"/>
        <v>61.189000000000021</v>
      </c>
      <c r="O35" s="8">
        <f t="shared" si="10"/>
        <v>125.02500000000003</v>
      </c>
      <c r="P35" s="8">
        <f t="shared" si="10"/>
        <v>79.158000000000015</v>
      </c>
      <c r="Q35" s="8">
        <f t="shared" si="10"/>
        <v>44.947000000000003</v>
      </c>
    </row>
    <row r="36" spans="1:17" ht="15" x14ac:dyDescent="0.2">
      <c r="A36" s="9" t="s">
        <v>61</v>
      </c>
      <c r="C36" s="8">
        <v>3.851</v>
      </c>
      <c r="D36" s="8">
        <v>3.734</v>
      </c>
      <c r="E36" s="8">
        <v>2.6909999999999998</v>
      </c>
      <c r="F36" s="8">
        <v>2.665</v>
      </c>
      <c r="G36" s="8">
        <v>3.202</v>
      </c>
      <c r="H36" s="8">
        <v>2.4900000000000002</v>
      </c>
      <c r="I36" s="8">
        <v>1.6850000000000001</v>
      </c>
      <c r="J36" s="8">
        <v>0.14699999999999999</v>
      </c>
      <c r="K36" s="8">
        <v>0.374</v>
      </c>
      <c r="L36" s="8">
        <v>0.97</v>
      </c>
      <c r="M36" s="8">
        <v>2.3279999999999998</v>
      </c>
      <c r="N36" s="8">
        <v>0.86899999999999999</v>
      </c>
      <c r="O36" s="8">
        <v>1.8879999999999999</v>
      </c>
      <c r="P36" s="8">
        <v>1.647</v>
      </c>
      <c r="Q36" s="8">
        <v>1.8420000000000001</v>
      </c>
    </row>
    <row r="37" spans="1:17" ht="15" x14ac:dyDescent="0.2">
      <c r="A37" s="9" t="s">
        <v>60</v>
      </c>
      <c r="C37" s="8">
        <f t="shared" ref="C37:Q37" si="11">SQRT((C36^2)+1)</f>
        <v>3.9787185122850799</v>
      </c>
      <c r="D37" s="8">
        <f t="shared" si="11"/>
        <v>3.8655861133856533</v>
      </c>
      <c r="E37" s="8">
        <f t="shared" si="11"/>
        <v>2.8707979726898234</v>
      </c>
      <c r="F37" s="8">
        <f t="shared" si="11"/>
        <v>2.8464407599667343</v>
      </c>
      <c r="G37" s="8">
        <f t="shared" si="11"/>
        <v>3.3545199358477511</v>
      </c>
      <c r="H37" s="8">
        <f t="shared" si="11"/>
        <v>2.6833002068348595</v>
      </c>
      <c r="I37" s="8">
        <f t="shared" si="11"/>
        <v>1.9593940389824607</v>
      </c>
      <c r="J37" s="8">
        <f t="shared" si="11"/>
        <v>1.0107467536430677</v>
      </c>
      <c r="K37" s="8">
        <f t="shared" si="11"/>
        <v>1.0676497553036763</v>
      </c>
      <c r="L37" s="8">
        <f t="shared" si="11"/>
        <v>1.3931618714277247</v>
      </c>
      <c r="M37" s="8">
        <f t="shared" si="11"/>
        <v>2.5336897994821701</v>
      </c>
      <c r="N37" s="8">
        <f t="shared" si="11"/>
        <v>1.3248248940897811</v>
      </c>
      <c r="O37" s="8">
        <f t="shared" si="11"/>
        <v>2.1364793469631294</v>
      </c>
      <c r="P37" s="8">
        <f t="shared" si="11"/>
        <v>1.9268131720537931</v>
      </c>
      <c r="Q37" s="8">
        <f t="shared" si="11"/>
        <v>2.0959398846340989</v>
      </c>
    </row>
    <row r="38" spans="1:17" ht="15" x14ac:dyDescent="0.2">
      <c r="A38" s="9" t="s">
        <v>59</v>
      </c>
      <c r="M38" s="8">
        <f>M35/$E$4</f>
        <v>0.45463942823247078</v>
      </c>
      <c r="N38" s="8">
        <f>N35/$E$4</f>
        <v>0.59113752601182878</v>
      </c>
      <c r="O38" s="8">
        <f>O35/$E$4</f>
        <v>1.207847312255943</v>
      </c>
      <c r="P38" s="8">
        <f>P35/$E$4</f>
        <v>0.76473327369370858</v>
      </c>
      <c r="Q38" s="8">
        <f>Q35/$E$4</f>
        <v>0.43422605993975488</v>
      </c>
    </row>
    <row r="40" spans="1:17" ht="15" x14ac:dyDescent="0.2">
      <c r="A40" s="10" t="s">
        <v>115</v>
      </c>
      <c r="B40" s="8"/>
      <c r="C40" s="8">
        <v>1</v>
      </c>
      <c r="D40" s="8"/>
      <c r="E40" s="8"/>
      <c r="F40" s="8"/>
    </row>
    <row r="41" spans="1:17" ht="15" x14ac:dyDescent="0.2">
      <c r="A41" s="9" t="s">
        <v>63</v>
      </c>
      <c r="C41" s="8">
        <v>271.74200000000002</v>
      </c>
      <c r="D41" s="8">
        <v>255.44499999999999</v>
      </c>
      <c r="E41" s="8">
        <v>243.18799999999999</v>
      </c>
    </row>
    <row r="42" spans="1:17" ht="15" x14ac:dyDescent="0.2">
      <c r="A42" s="9" t="s">
        <v>62</v>
      </c>
      <c r="C42" s="8">
        <f>C41-$B$7</f>
        <v>57.470000000000027</v>
      </c>
      <c r="D42" s="8">
        <f>D41-$B$7</f>
        <v>41.173000000000002</v>
      </c>
      <c r="E42" s="8">
        <f>E41-$B$7</f>
        <v>28.915999999999997</v>
      </c>
    </row>
    <row r="43" spans="1:17" ht="15" x14ac:dyDescent="0.2">
      <c r="A43" s="9" t="s">
        <v>61</v>
      </c>
      <c r="C43" s="8">
        <v>3.915</v>
      </c>
      <c r="D43" s="8">
        <v>0.23899999999999999</v>
      </c>
      <c r="E43" s="8">
        <v>0.215</v>
      </c>
    </row>
    <row r="44" spans="1:17" ht="15" x14ac:dyDescent="0.2">
      <c r="A44" s="9" t="s">
        <v>60</v>
      </c>
      <c r="C44" s="8">
        <f>SQRT((C43^2)+4)</f>
        <v>4.3962739905515438</v>
      </c>
      <c r="D44" s="8">
        <f>SQRT((D43^2)+4)</f>
        <v>2.0142296294117017</v>
      </c>
      <c r="E44" s="8">
        <f>SQRT((E43^2)+4)</f>
        <v>2.0115230548020073</v>
      </c>
    </row>
    <row r="45" spans="1:17" ht="15" x14ac:dyDescent="0.2">
      <c r="A45" s="9" t="s">
        <v>59</v>
      </c>
      <c r="D45" s="8">
        <f>D42/$E$4</f>
        <v>0.39776602589493243</v>
      </c>
      <c r="E45" s="8">
        <f>E42/$E$4</f>
        <v>0.27935303244305404</v>
      </c>
    </row>
    <row r="47" spans="1:17" ht="15" x14ac:dyDescent="0.2">
      <c r="A47" s="9"/>
    </row>
    <row r="48" spans="1:17" ht="15" x14ac:dyDescent="0.2">
      <c r="A48" s="9"/>
    </row>
    <row r="49" spans="1:1" ht="15" x14ac:dyDescent="0.2">
      <c r="A49" s="9"/>
    </row>
    <row r="50" spans="1:1" ht="15" x14ac:dyDescent="0.2">
      <c r="A50" s="9"/>
    </row>
    <row r="51" spans="1:1" ht="15" x14ac:dyDescent="0.2">
      <c r="A51" s="9"/>
    </row>
    <row r="52" spans="1:1" ht="15" x14ac:dyDescent="0.2">
      <c r="A52" s="9"/>
    </row>
    <row r="54" spans="1:1" ht="15" x14ac:dyDescent="0.2">
      <c r="A54" s="9"/>
    </row>
    <row r="55" spans="1:1" ht="15" x14ac:dyDescent="0.2">
      <c r="A55" s="9"/>
    </row>
    <row r="56" spans="1:1" ht="15" x14ac:dyDescent="0.2">
      <c r="A56" s="9"/>
    </row>
    <row r="57" spans="1:1" ht="15" x14ac:dyDescent="0.2">
      <c r="A57" s="9"/>
    </row>
    <row r="58" spans="1:1" ht="15" x14ac:dyDescent="0.2">
      <c r="A58" s="9"/>
    </row>
    <row r="59" spans="1:1" ht="15" x14ac:dyDescent="0.2">
      <c r="A59" s="9"/>
    </row>
    <row r="61" spans="1:1" ht="15" x14ac:dyDescent="0.2">
      <c r="A61" s="9"/>
    </row>
    <row r="62" spans="1:1" ht="15" x14ac:dyDescent="0.2">
      <c r="A62" s="9"/>
    </row>
    <row r="63" spans="1:1" ht="15" x14ac:dyDescent="0.2">
      <c r="A63" s="9"/>
    </row>
    <row r="64" spans="1:1" ht="15" x14ac:dyDescent="0.2">
      <c r="A64" s="9"/>
    </row>
    <row r="65" spans="1:4" ht="15" x14ac:dyDescent="0.2">
      <c r="A65" s="9"/>
    </row>
    <row r="66" spans="1:4" ht="15" x14ac:dyDescent="0.2">
      <c r="A66" s="9"/>
    </row>
    <row r="68" spans="1:4" ht="15" x14ac:dyDescent="0.2">
      <c r="A68" s="9"/>
    </row>
    <row r="69" spans="1:4" ht="15" x14ac:dyDescent="0.2">
      <c r="A69" s="9"/>
      <c r="D69" s="11"/>
    </row>
    <row r="70" spans="1:4" ht="15" x14ac:dyDescent="0.2">
      <c r="A70" s="9"/>
    </row>
    <row r="71" spans="1:4" ht="15" x14ac:dyDescent="0.2">
      <c r="A71" s="9"/>
    </row>
    <row r="72" spans="1:4" ht="15" x14ac:dyDescent="0.2">
      <c r="A72" s="9"/>
    </row>
    <row r="73" spans="1:4" ht="15" x14ac:dyDescent="0.2">
      <c r="A73" s="9"/>
    </row>
    <row r="75" spans="1:4" ht="15" x14ac:dyDescent="0.2">
      <c r="A75" s="9"/>
    </row>
    <row r="76" spans="1:4" ht="15" x14ac:dyDescent="0.2">
      <c r="A76" s="9"/>
    </row>
    <row r="77" spans="1:4" ht="15" x14ac:dyDescent="0.2">
      <c r="A77" s="9"/>
    </row>
    <row r="78" spans="1:4" ht="15" x14ac:dyDescent="0.2">
      <c r="A78" s="9"/>
    </row>
    <row r="79" spans="1:4" ht="15" x14ac:dyDescent="0.2">
      <c r="A79" s="9"/>
    </row>
    <row r="80" spans="1:4" ht="15" x14ac:dyDescent="0.2">
      <c r="A80" s="9"/>
    </row>
  </sheetData>
  <mergeCells count="1">
    <mergeCell ref="G4:H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C5B5-8714-3446-8E13-556384FAB6F0}">
  <dimension ref="A1:Y52"/>
  <sheetViews>
    <sheetView workbookViewId="0">
      <selection activeCell="A6" sqref="A6:A17"/>
    </sheetView>
  </sheetViews>
  <sheetFormatPr baseColWidth="10" defaultColWidth="11.1640625" defaultRowHeight="16" x14ac:dyDescent="0.2"/>
  <cols>
    <col min="1" max="1" width="23.6640625" style="2" bestFit="1" customWidth="1"/>
    <col min="2" max="2" width="17.5" style="2" bestFit="1" customWidth="1"/>
    <col min="3" max="16384" width="11.1640625" style="2"/>
  </cols>
  <sheetData>
    <row r="1" spans="1:21" x14ac:dyDescent="0.2">
      <c r="A1" s="2" t="s">
        <v>75</v>
      </c>
      <c r="C1" s="6">
        <v>45098</v>
      </c>
    </row>
    <row r="3" spans="1:21" x14ac:dyDescent="0.2">
      <c r="A3" s="2" t="s">
        <v>74</v>
      </c>
    </row>
    <row r="4" spans="1:21" x14ac:dyDescent="0.2">
      <c r="A4" s="2" t="s">
        <v>27</v>
      </c>
      <c r="B4" s="2">
        <v>50.991</v>
      </c>
      <c r="D4" s="2" t="s">
        <v>73</v>
      </c>
      <c r="E4" s="2">
        <f>AVERAGE(C8,D8,E8,F8,G8,H8,I8,J8,K8,L8,M8,N8,C14,D14,C21,D21,E21,F21,G21,H21,I21,J21,K21,L21,C28,D28,E28,C35,C42,C49)</f>
        <v>416.87573333333336</v>
      </c>
      <c r="G4" s="2" t="s">
        <v>72</v>
      </c>
    </row>
    <row r="5" spans="1:21" ht="17" thickBot="1" x14ac:dyDescent="0.25"/>
    <row r="6" spans="1:21" ht="17" thickBot="1" x14ac:dyDescent="0.25">
      <c r="A6" s="4" t="s">
        <v>71</v>
      </c>
      <c r="B6" s="5" t="s">
        <v>70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</row>
    <row r="7" spans="1:21" x14ac:dyDescent="0.2">
      <c r="A7" s="3" t="s">
        <v>63</v>
      </c>
      <c r="B7" s="2">
        <v>245.208</v>
      </c>
      <c r="C7" s="2">
        <v>364.46499999999997</v>
      </c>
      <c r="D7" s="2">
        <v>696.77700000000004</v>
      </c>
      <c r="E7" s="2">
        <v>501.64800000000002</v>
      </c>
      <c r="F7" s="2">
        <v>1154.5229999999999</v>
      </c>
      <c r="G7" s="2">
        <v>406.28899999999999</v>
      </c>
      <c r="H7" s="2">
        <v>499.16</v>
      </c>
      <c r="I7" s="2">
        <v>657.23800000000006</v>
      </c>
      <c r="J7" s="2">
        <v>984.01199999999994</v>
      </c>
      <c r="K7" s="2">
        <v>1079.098</v>
      </c>
      <c r="L7" s="2">
        <v>639.73400000000004</v>
      </c>
      <c r="M7" s="2">
        <v>1019.121</v>
      </c>
      <c r="N7" s="2">
        <v>771.28499999999997</v>
      </c>
      <c r="O7" s="2">
        <v>1008.0940000000001</v>
      </c>
      <c r="P7" s="2">
        <v>919.84</v>
      </c>
      <c r="Q7" s="2">
        <v>866.00800000000004</v>
      </c>
      <c r="R7" s="2">
        <v>1744.8979999999999</v>
      </c>
      <c r="S7" s="2">
        <v>1556.2070000000001</v>
      </c>
      <c r="T7" s="2">
        <v>1158.1289999999999</v>
      </c>
      <c r="U7" s="2">
        <v>833.47699999999998</v>
      </c>
    </row>
    <row r="8" spans="1:21" x14ac:dyDescent="0.2">
      <c r="A8" s="3" t="s">
        <v>62</v>
      </c>
      <c r="C8" s="2">
        <f t="shared" ref="C8:U8" si="0">C7-$B$7</f>
        <v>119.25699999999998</v>
      </c>
      <c r="D8" s="2">
        <f t="shared" si="0"/>
        <v>451.56900000000007</v>
      </c>
      <c r="E8" s="2">
        <f t="shared" si="0"/>
        <v>256.44000000000005</v>
      </c>
      <c r="F8" s="2">
        <f t="shared" si="0"/>
        <v>909.31499999999994</v>
      </c>
      <c r="G8" s="2">
        <f t="shared" si="0"/>
        <v>161.08099999999999</v>
      </c>
      <c r="H8" s="2">
        <f t="shared" si="0"/>
        <v>253.95200000000003</v>
      </c>
      <c r="I8" s="2">
        <f t="shared" si="0"/>
        <v>412.03000000000009</v>
      </c>
      <c r="J8" s="2">
        <f t="shared" si="0"/>
        <v>738.80399999999997</v>
      </c>
      <c r="K8" s="2">
        <f t="shared" si="0"/>
        <v>833.89</v>
      </c>
      <c r="L8" s="2">
        <f t="shared" si="0"/>
        <v>394.52600000000007</v>
      </c>
      <c r="M8" s="2">
        <f t="shared" si="0"/>
        <v>773.91300000000001</v>
      </c>
      <c r="N8" s="2">
        <f t="shared" si="0"/>
        <v>526.077</v>
      </c>
      <c r="O8" s="2">
        <f t="shared" si="0"/>
        <v>762.88600000000008</v>
      </c>
      <c r="P8" s="2">
        <f t="shared" si="0"/>
        <v>674.63200000000006</v>
      </c>
      <c r="Q8" s="2">
        <f t="shared" si="0"/>
        <v>620.80000000000007</v>
      </c>
      <c r="R8" s="2">
        <f t="shared" si="0"/>
        <v>1499.6899999999998</v>
      </c>
      <c r="S8" s="2">
        <f t="shared" si="0"/>
        <v>1310.999</v>
      </c>
      <c r="T8" s="2">
        <f t="shared" si="0"/>
        <v>912.92099999999994</v>
      </c>
      <c r="U8" s="2">
        <f t="shared" si="0"/>
        <v>588.26900000000001</v>
      </c>
    </row>
    <row r="9" spans="1:21" x14ac:dyDescent="0.2">
      <c r="A9" s="3" t="s">
        <v>61</v>
      </c>
      <c r="C9" s="2">
        <v>6.7370000000000001</v>
      </c>
      <c r="D9" s="2">
        <v>3.879</v>
      </c>
      <c r="E9" s="2">
        <v>2.0529999999999999</v>
      </c>
      <c r="F9" s="2">
        <v>2.8149999999999999</v>
      </c>
      <c r="G9" s="2">
        <v>4.2489999999999997</v>
      </c>
      <c r="H9" s="2">
        <v>0.80800000000000005</v>
      </c>
      <c r="I9" s="2">
        <v>0.99299999999999999</v>
      </c>
      <c r="J9" s="2">
        <v>2.5990000000000002</v>
      </c>
      <c r="K9" s="2">
        <v>1.9610000000000001</v>
      </c>
      <c r="L9" s="2">
        <v>2.617</v>
      </c>
      <c r="M9" s="2">
        <v>12.824</v>
      </c>
      <c r="N9" s="2">
        <v>13.78</v>
      </c>
      <c r="O9" s="2">
        <v>819.88099999999997</v>
      </c>
      <c r="P9" s="2">
        <v>3.0670000000000002</v>
      </c>
      <c r="Q9" s="2">
        <v>2.036</v>
      </c>
      <c r="R9" s="2">
        <v>2.0329999999999999</v>
      </c>
      <c r="S9" s="2">
        <v>1.724</v>
      </c>
      <c r="T9" s="2">
        <v>1.0649999999999999</v>
      </c>
      <c r="U9" s="2">
        <v>1.863</v>
      </c>
    </row>
    <row r="10" spans="1:21" x14ac:dyDescent="0.2">
      <c r="A10" s="3" t="s">
        <v>59</v>
      </c>
      <c r="O10" s="2">
        <f t="shared" ref="O10:U10" si="1">O8/$E$4</f>
        <v>1.8300081750980628</v>
      </c>
      <c r="P10" s="2">
        <f t="shared" si="1"/>
        <v>1.6183047993838613</v>
      </c>
      <c r="Q10" s="2">
        <f t="shared" si="1"/>
        <v>1.4891727926595553</v>
      </c>
      <c r="R10" s="2">
        <f t="shared" si="1"/>
        <v>3.5974509430148323</v>
      </c>
      <c r="S10" s="2">
        <f t="shared" si="1"/>
        <v>3.1448196552897616</v>
      </c>
      <c r="T10" s="2">
        <f t="shared" si="1"/>
        <v>2.1899115899606212</v>
      </c>
      <c r="U10" s="2">
        <f t="shared" si="1"/>
        <v>1.4111375476241041</v>
      </c>
    </row>
    <row r="12" spans="1:21" x14ac:dyDescent="0.2">
      <c r="A12" s="4" t="s">
        <v>69</v>
      </c>
      <c r="C12" s="2">
        <v>1</v>
      </c>
      <c r="D12" s="2">
        <v>1</v>
      </c>
    </row>
    <row r="13" spans="1:21" x14ac:dyDescent="0.2">
      <c r="A13" s="3" t="s">
        <v>63</v>
      </c>
      <c r="C13" s="2">
        <v>530.07799999999997</v>
      </c>
      <c r="D13" s="2">
        <v>733.36300000000006</v>
      </c>
      <c r="E13" s="2">
        <v>693.56600000000003</v>
      </c>
      <c r="F13" s="2">
        <v>652.90200000000004</v>
      </c>
    </row>
    <row r="14" spans="1:21" x14ac:dyDescent="0.2">
      <c r="A14" s="3" t="s">
        <v>62</v>
      </c>
      <c r="C14" s="2">
        <f>C13-$B$7</f>
        <v>284.87</v>
      </c>
      <c r="D14" s="2">
        <f>D13-$B$7</f>
        <v>488.15500000000009</v>
      </c>
      <c r="E14" s="2">
        <f>E13-$B$7</f>
        <v>448.35800000000006</v>
      </c>
      <c r="F14" s="2">
        <f>F13-$B$7</f>
        <v>407.69400000000007</v>
      </c>
    </row>
    <row r="15" spans="1:21" x14ac:dyDescent="0.2">
      <c r="A15" s="3" t="s">
        <v>61</v>
      </c>
      <c r="C15" s="2">
        <v>2.0539999999999998</v>
      </c>
      <c r="D15" s="2">
        <v>1.175</v>
      </c>
      <c r="E15" s="2">
        <v>2.012</v>
      </c>
      <c r="F15" s="2">
        <v>2.7490000000000001</v>
      </c>
    </row>
    <row r="16" spans="1:21" x14ac:dyDescent="0.2">
      <c r="A16" s="3" t="s">
        <v>60</v>
      </c>
      <c r="C16" s="2">
        <f>SQRT((C15^2)+1)</f>
        <v>2.2844946924867213</v>
      </c>
      <c r="D16" s="2">
        <f>SQRT((D15^2)+1)</f>
        <v>1.5429274124209473</v>
      </c>
      <c r="E16" s="2">
        <f>SQRT((E15^2)+1)</f>
        <v>2.2468075128946849</v>
      </c>
      <c r="F16" s="2">
        <f>SQRT((F15^2)+1)</f>
        <v>2.925235204218628</v>
      </c>
    </row>
    <row r="17" spans="1:25" x14ac:dyDescent="0.2">
      <c r="A17" s="3" t="s">
        <v>59</v>
      </c>
      <c r="E17" s="2">
        <f>E14/$E$4</f>
        <v>1.0755195473119408</v>
      </c>
      <c r="F17" s="2">
        <f>F14/$E$4</f>
        <v>0.9779748913185321</v>
      </c>
    </row>
    <row r="19" spans="1:25" x14ac:dyDescent="0.2">
      <c r="A19" s="4" t="s">
        <v>68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</row>
    <row r="20" spans="1:25" x14ac:dyDescent="0.2">
      <c r="A20" s="3" t="s">
        <v>63</v>
      </c>
      <c r="C20" s="2">
        <v>511.69499999999999</v>
      </c>
      <c r="D20" s="2">
        <v>634.90200000000004</v>
      </c>
      <c r="E20" s="2">
        <v>658.41399999999999</v>
      </c>
      <c r="F20" s="2">
        <v>841.71900000000005</v>
      </c>
      <c r="G20" s="2">
        <v>616.01199999999994</v>
      </c>
      <c r="H20" s="2">
        <v>768.35900000000004</v>
      </c>
      <c r="I20" s="2">
        <v>717.81600000000003</v>
      </c>
      <c r="J20" s="2">
        <v>665.91399999999999</v>
      </c>
      <c r="K20" s="2">
        <v>417.20299999999997</v>
      </c>
      <c r="L20" s="2">
        <v>720.86300000000006</v>
      </c>
      <c r="M20" s="2">
        <v>1336.8009999999999</v>
      </c>
      <c r="N20" s="2">
        <v>2086.5160000000001</v>
      </c>
      <c r="O20" s="2">
        <v>1068.797</v>
      </c>
      <c r="P20" s="2">
        <v>1172.0309999999999</v>
      </c>
      <c r="Q20" s="2">
        <v>1082.117</v>
      </c>
      <c r="R20" s="2">
        <v>1616.3979999999999</v>
      </c>
      <c r="S20" s="2">
        <v>1460.1210000000001</v>
      </c>
      <c r="T20" s="2">
        <v>1083.0160000000001</v>
      </c>
      <c r="U20" s="2">
        <v>876.43399999999997</v>
      </c>
      <c r="V20" s="2">
        <v>935.24199999999996</v>
      </c>
      <c r="W20" s="2">
        <v>1116.7929999999999</v>
      </c>
      <c r="X20" s="2">
        <v>1293.1759999999999</v>
      </c>
      <c r="Y20" s="2">
        <v>1158.492</v>
      </c>
    </row>
    <row r="21" spans="1:25" x14ac:dyDescent="0.2">
      <c r="A21" s="3" t="s">
        <v>62</v>
      </c>
      <c r="C21" s="2">
        <f t="shared" ref="C21:Y21" si="2">C20-$B$7</f>
        <v>266.48699999999997</v>
      </c>
      <c r="D21" s="2">
        <f t="shared" si="2"/>
        <v>389.69400000000007</v>
      </c>
      <c r="E21" s="2">
        <f t="shared" si="2"/>
        <v>413.20600000000002</v>
      </c>
      <c r="F21" s="2">
        <f t="shared" si="2"/>
        <v>596.51100000000008</v>
      </c>
      <c r="G21" s="2">
        <f t="shared" si="2"/>
        <v>370.80399999999997</v>
      </c>
      <c r="H21" s="2">
        <f t="shared" si="2"/>
        <v>523.15100000000007</v>
      </c>
      <c r="I21" s="2">
        <f t="shared" si="2"/>
        <v>472.60800000000006</v>
      </c>
      <c r="J21" s="2">
        <f t="shared" si="2"/>
        <v>420.70600000000002</v>
      </c>
      <c r="K21" s="2">
        <f t="shared" si="2"/>
        <v>171.99499999999998</v>
      </c>
      <c r="L21" s="2">
        <f t="shared" si="2"/>
        <v>475.65500000000009</v>
      </c>
      <c r="M21" s="2">
        <f t="shared" si="2"/>
        <v>1091.5929999999998</v>
      </c>
      <c r="N21" s="2">
        <f t="shared" si="2"/>
        <v>1841.308</v>
      </c>
      <c r="O21" s="2">
        <f t="shared" si="2"/>
        <v>823.58900000000006</v>
      </c>
      <c r="P21" s="2">
        <f t="shared" si="2"/>
        <v>926.82299999999998</v>
      </c>
      <c r="Q21" s="2">
        <f t="shared" si="2"/>
        <v>836.90899999999999</v>
      </c>
      <c r="R21" s="2">
        <f t="shared" si="2"/>
        <v>1371.1899999999998</v>
      </c>
      <c r="S21" s="2">
        <f t="shared" si="2"/>
        <v>1214.913</v>
      </c>
      <c r="T21" s="2">
        <f t="shared" si="2"/>
        <v>837.80800000000011</v>
      </c>
      <c r="U21" s="2">
        <f t="shared" si="2"/>
        <v>631.226</v>
      </c>
      <c r="V21" s="2">
        <f t="shared" si="2"/>
        <v>690.03399999999999</v>
      </c>
      <c r="W21" s="2">
        <f t="shared" si="2"/>
        <v>871.58499999999992</v>
      </c>
      <c r="X21" s="2">
        <f t="shared" si="2"/>
        <v>1047.9679999999998</v>
      </c>
      <c r="Y21" s="2">
        <f t="shared" si="2"/>
        <v>913.28399999999999</v>
      </c>
    </row>
    <row r="22" spans="1:25" x14ac:dyDescent="0.2">
      <c r="A22" s="3" t="s">
        <v>61</v>
      </c>
      <c r="C22" s="2">
        <v>3.6</v>
      </c>
      <c r="D22" s="2">
        <v>3.056</v>
      </c>
      <c r="E22" s="2">
        <v>2.1179999999999999</v>
      </c>
      <c r="F22" s="2">
        <v>1.2949999999999999</v>
      </c>
      <c r="G22" s="2">
        <v>2.1</v>
      </c>
      <c r="H22" s="2">
        <v>2.161</v>
      </c>
      <c r="I22" s="2">
        <v>2.613</v>
      </c>
      <c r="J22" s="2">
        <v>2.9089999999999998</v>
      </c>
      <c r="K22" s="2">
        <v>10.276999999999999</v>
      </c>
      <c r="L22" s="2">
        <v>13.977</v>
      </c>
      <c r="M22" s="2">
        <v>2.46</v>
      </c>
      <c r="N22" s="2">
        <v>2.3679999999999999</v>
      </c>
      <c r="O22" s="2">
        <v>2.798</v>
      </c>
      <c r="P22" s="2">
        <v>1.8140000000000001</v>
      </c>
      <c r="Q22" s="2">
        <v>1.732</v>
      </c>
      <c r="R22" s="2">
        <v>0.86899999999999999</v>
      </c>
      <c r="S22" s="2">
        <v>1.7709999999999999</v>
      </c>
      <c r="T22" s="2">
        <v>1.2150000000000001</v>
      </c>
      <c r="U22" s="2">
        <v>1.9059999999999999</v>
      </c>
      <c r="V22" s="2">
        <v>12.976000000000001</v>
      </c>
      <c r="W22" s="2">
        <v>13.42</v>
      </c>
      <c r="X22" s="2">
        <v>13.84</v>
      </c>
      <c r="Y22" s="2">
        <v>14.053000000000001</v>
      </c>
    </row>
    <row r="23" spans="1:25" x14ac:dyDescent="0.2">
      <c r="A23" s="3" t="s">
        <v>60</v>
      </c>
      <c r="C23" s="2">
        <f t="shared" ref="C23:Y23" si="3">SQRT((C22^2)+1)</f>
        <v>3.7363083384538811</v>
      </c>
      <c r="D23" s="2">
        <f t="shared" si="3"/>
        <v>3.2154526897468108</v>
      </c>
      <c r="E23" s="2">
        <f t="shared" si="3"/>
        <v>2.3422049440644601</v>
      </c>
      <c r="F23" s="2">
        <f t="shared" si="3"/>
        <v>1.6361616668288008</v>
      </c>
      <c r="G23" s="2">
        <f t="shared" si="3"/>
        <v>2.3259406699226015</v>
      </c>
      <c r="H23" s="2">
        <f t="shared" si="3"/>
        <v>2.3811595914595896</v>
      </c>
      <c r="I23" s="2">
        <f t="shared" si="3"/>
        <v>2.7978150403484503</v>
      </c>
      <c r="J23" s="2">
        <f t="shared" si="3"/>
        <v>3.0760820860308651</v>
      </c>
      <c r="K23" s="2">
        <f t="shared" si="3"/>
        <v>10.325537709969392</v>
      </c>
      <c r="L23" s="2">
        <f t="shared" si="3"/>
        <v>14.012727393337816</v>
      </c>
      <c r="M23" s="2">
        <f t="shared" si="3"/>
        <v>2.6554848898082626</v>
      </c>
      <c r="N23" s="2">
        <f t="shared" si="3"/>
        <v>2.5704910036800359</v>
      </c>
      <c r="O23" s="2">
        <f t="shared" si="3"/>
        <v>2.9713303417829531</v>
      </c>
      <c r="P23" s="2">
        <f t="shared" si="3"/>
        <v>2.0713753884798383</v>
      </c>
      <c r="Q23" s="2">
        <f t="shared" si="3"/>
        <v>1.9999559995159892</v>
      </c>
      <c r="R23" s="2">
        <f t="shared" si="3"/>
        <v>1.3248248940897811</v>
      </c>
      <c r="S23" s="2">
        <f t="shared" si="3"/>
        <v>2.0338242303601359</v>
      </c>
      <c r="T23" s="2">
        <f t="shared" si="3"/>
        <v>1.5736025546496804</v>
      </c>
      <c r="U23" s="2">
        <f t="shared" si="3"/>
        <v>2.1524023787386963</v>
      </c>
      <c r="V23" s="2">
        <f t="shared" si="3"/>
        <v>13.014475632925055</v>
      </c>
      <c r="W23" s="2">
        <f t="shared" si="3"/>
        <v>13.457206247955034</v>
      </c>
      <c r="X23" s="2">
        <f t="shared" si="3"/>
        <v>13.876080138136995</v>
      </c>
      <c r="Y23" s="2">
        <f t="shared" si="3"/>
        <v>14.088534664754885</v>
      </c>
    </row>
    <row r="24" spans="1:25" x14ac:dyDescent="0.2">
      <c r="A24" s="3" t="s">
        <v>59</v>
      </c>
      <c r="M24" s="2">
        <f t="shared" ref="M24:Y24" si="4">M21/$E$4</f>
        <v>2.618509336755189</v>
      </c>
      <c r="N24" s="2">
        <f t="shared" si="4"/>
        <v>4.4169229647332156</v>
      </c>
      <c r="O24" s="2">
        <f t="shared" si="4"/>
        <v>1.9756223117488569</v>
      </c>
      <c r="P24" s="2">
        <f t="shared" si="4"/>
        <v>2.2232596572343857</v>
      </c>
      <c r="Q24" s="2">
        <f t="shared" si="4"/>
        <v>2.0075742795295031</v>
      </c>
      <c r="R24" s="2">
        <f t="shared" si="4"/>
        <v>3.289205608194032</v>
      </c>
      <c r="S24" s="2">
        <f t="shared" si="4"/>
        <v>2.9143289063279609</v>
      </c>
      <c r="T24" s="2">
        <f t="shared" si="4"/>
        <v>2.0097307974750591</v>
      </c>
      <c r="U24" s="2">
        <f t="shared" si="4"/>
        <v>1.5141826437166885</v>
      </c>
      <c r="V24" s="2">
        <f t="shared" si="4"/>
        <v>1.6552510612275184</v>
      </c>
      <c r="W24" s="2">
        <f t="shared" si="4"/>
        <v>2.0907549427999004</v>
      </c>
      <c r="X24" s="2">
        <f t="shared" si="4"/>
        <v>2.5138618446808123</v>
      </c>
      <c r="Y24" s="2">
        <f t="shared" si="4"/>
        <v>2.1907823530465351</v>
      </c>
    </row>
    <row r="26" spans="1:25" x14ac:dyDescent="0.2">
      <c r="A26" s="4" t="s">
        <v>67</v>
      </c>
      <c r="C26" s="2">
        <v>1</v>
      </c>
      <c r="D26" s="2">
        <v>1</v>
      </c>
      <c r="E26" s="2">
        <v>1</v>
      </c>
    </row>
    <row r="27" spans="1:25" x14ac:dyDescent="0.2">
      <c r="A27" s="3" t="s">
        <v>63</v>
      </c>
      <c r="C27" s="2">
        <v>558.45699999999999</v>
      </c>
      <c r="D27" s="2">
        <v>567.06200000000001</v>
      </c>
      <c r="E27" s="2">
        <v>547.80499999999995</v>
      </c>
      <c r="F27" s="2">
        <v>991.87900000000002</v>
      </c>
      <c r="G27" s="2">
        <v>465.05900000000003</v>
      </c>
      <c r="H27" s="2">
        <v>319.59399999999999</v>
      </c>
    </row>
    <row r="28" spans="1:25" x14ac:dyDescent="0.2">
      <c r="A28" s="3" t="s">
        <v>62</v>
      </c>
      <c r="C28" s="2">
        <f t="shared" ref="C28:H28" si="5">C27-$B$7</f>
        <v>313.24900000000002</v>
      </c>
      <c r="D28" s="2">
        <f t="shared" si="5"/>
        <v>321.85400000000004</v>
      </c>
      <c r="E28" s="2">
        <f t="shared" si="5"/>
        <v>302.59699999999998</v>
      </c>
      <c r="F28" s="2">
        <f t="shared" si="5"/>
        <v>746.67100000000005</v>
      </c>
      <c r="G28" s="2">
        <f t="shared" si="5"/>
        <v>219.85100000000003</v>
      </c>
      <c r="H28" s="2">
        <f t="shared" si="5"/>
        <v>74.385999999999996</v>
      </c>
    </row>
    <row r="29" spans="1:25" x14ac:dyDescent="0.2">
      <c r="A29" s="3" t="s">
        <v>61</v>
      </c>
      <c r="C29" s="2">
        <v>10.824</v>
      </c>
      <c r="D29" s="2">
        <v>10.612</v>
      </c>
      <c r="E29" s="2">
        <v>10.179</v>
      </c>
      <c r="F29" s="2">
        <v>2.2839999999999998</v>
      </c>
      <c r="G29" s="2">
        <v>14.167999999999999</v>
      </c>
      <c r="H29" s="2">
        <v>15.053000000000001</v>
      </c>
    </row>
    <row r="30" spans="1:25" x14ac:dyDescent="0.2">
      <c r="A30" s="3" t="s">
        <v>60</v>
      </c>
      <c r="C30" s="2">
        <f t="shared" ref="C30:H30" si="6">SQRT((C29^2)+4)</f>
        <v>11.007223809844151</v>
      </c>
      <c r="D30" s="2">
        <f t="shared" si="6"/>
        <v>10.798821417173265</v>
      </c>
      <c r="E30" s="2">
        <f t="shared" si="6"/>
        <v>10.373622366367497</v>
      </c>
      <c r="F30" s="2">
        <f t="shared" si="6"/>
        <v>3.0358945963257686</v>
      </c>
      <c r="G30" s="2">
        <f t="shared" si="6"/>
        <v>14.308466864063389</v>
      </c>
      <c r="H30" s="2">
        <f t="shared" si="6"/>
        <v>15.185282644718866</v>
      </c>
    </row>
    <row r="31" spans="1:25" x14ac:dyDescent="0.2">
      <c r="A31" s="3" t="s">
        <v>59</v>
      </c>
      <c r="F31" s="2">
        <f>F28/$E$4</f>
        <v>1.7911116917975236</v>
      </c>
      <c r="G31" s="2">
        <f>G28/$E$4</f>
        <v>0.52737778292364024</v>
      </c>
      <c r="H31" s="2">
        <f>H28/$E$4</f>
        <v>0.17843686751735446</v>
      </c>
    </row>
    <row r="33" spans="1:3" x14ac:dyDescent="0.2">
      <c r="A33" s="4" t="s">
        <v>66</v>
      </c>
      <c r="C33" s="2">
        <v>1</v>
      </c>
    </row>
    <row r="34" spans="1:3" x14ac:dyDescent="0.2">
      <c r="A34" s="3" t="s">
        <v>63</v>
      </c>
      <c r="C34" s="2">
        <v>462.50799999999998</v>
      </c>
    </row>
    <row r="35" spans="1:3" x14ac:dyDescent="0.2">
      <c r="A35" s="3" t="s">
        <v>62</v>
      </c>
      <c r="C35" s="2">
        <f>C34-B7</f>
        <v>217.29999999999998</v>
      </c>
    </row>
    <row r="36" spans="1:3" x14ac:dyDescent="0.2">
      <c r="A36" s="3" t="s">
        <v>61</v>
      </c>
      <c r="C36" s="2">
        <v>3.3250000000000002</v>
      </c>
    </row>
    <row r="37" spans="1:3" x14ac:dyDescent="0.2">
      <c r="A37" s="3" t="s">
        <v>60</v>
      </c>
      <c r="C37" s="2">
        <f>SQRT((C36^2)+9)</f>
        <v>4.4783507008719177</v>
      </c>
    </row>
    <row r="38" spans="1:3" x14ac:dyDescent="0.2">
      <c r="A38" s="3" t="s">
        <v>59</v>
      </c>
    </row>
    <row r="40" spans="1:3" x14ac:dyDescent="0.2">
      <c r="A40" s="4" t="s">
        <v>65</v>
      </c>
      <c r="C40" s="2">
        <v>1</v>
      </c>
    </row>
    <row r="41" spans="1:3" x14ac:dyDescent="0.2">
      <c r="A41" s="3" t="s">
        <v>63</v>
      </c>
      <c r="C41" s="2">
        <v>618.77300000000002</v>
      </c>
    </row>
    <row r="42" spans="1:3" x14ac:dyDescent="0.2">
      <c r="A42" s="3" t="s">
        <v>62</v>
      </c>
      <c r="C42" s="2">
        <f>C41-B7</f>
        <v>373.56500000000005</v>
      </c>
    </row>
    <row r="43" spans="1:3" x14ac:dyDescent="0.2">
      <c r="A43" s="3" t="s">
        <v>61</v>
      </c>
      <c r="C43" s="2">
        <v>12.941000000000001</v>
      </c>
    </row>
    <row r="44" spans="1:3" x14ac:dyDescent="0.2">
      <c r="A44" s="3" t="s">
        <v>60</v>
      </c>
      <c r="C44" s="2">
        <f>SQRT((C43^2)+16)</f>
        <v>13.545090660457021</v>
      </c>
    </row>
    <row r="45" spans="1:3" x14ac:dyDescent="0.2">
      <c r="A45" s="3" t="s">
        <v>59</v>
      </c>
    </row>
    <row r="47" spans="1:3" x14ac:dyDescent="0.2">
      <c r="A47" s="4" t="s">
        <v>64</v>
      </c>
      <c r="C47" s="2">
        <v>1</v>
      </c>
    </row>
    <row r="48" spans="1:3" x14ac:dyDescent="0.2">
      <c r="A48" s="3" t="s">
        <v>63</v>
      </c>
      <c r="C48" s="2">
        <v>518.21900000000005</v>
      </c>
    </row>
    <row r="49" spans="1:3" x14ac:dyDescent="0.2">
      <c r="A49" s="3" t="s">
        <v>62</v>
      </c>
      <c r="C49" s="2">
        <f>C48-B7</f>
        <v>273.01100000000008</v>
      </c>
    </row>
    <row r="50" spans="1:3" x14ac:dyDescent="0.2">
      <c r="A50" s="3" t="s">
        <v>61</v>
      </c>
      <c r="C50" s="2">
        <v>12.951000000000001</v>
      </c>
    </row>
    <row r="51" spans="1:3" x14ac:dyDescent="0.2">
      <c r="A51" s="3" t="s">
        <v>60</v>
      </c>
      <c r="C51" s="2">
        <f>SQRT((C50^2)+25)</f>
        <v>13.882665486137741</v>
      </c>
    </row>
    <row r="52" spans="1:3" x14ac:dyDescent="0.2">
      <c r="A52" s="3" t="s">
        <v>59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1BB7-1876-174D-AFCF-F25E55BE4F2D}">
  <dimension ref="A1:S108"/>
  <sheetViews>
    <sheetView workbookViewId="0">
      <selection activeCell="A6" sqref="A6:B17"/>
    </sheetView>
  </sheetViews>
  <sheetFormatPr baseColWidth="10" defaultColWidth="11.1640625" defaultRowHeight="16" x14ac:dyDescent="0.2"/>
  <cols>
    <col min="1" max="1" width="22" style="2" bestFit="1" customWidth="1"/>
    <col min="2" max="2" width="17.5" style="2" bestFit="1" customWidth="1"/>
    <col min="3" max="3" width="11.1640625" style="2"/>
    <col min="4" max="4" width="12" style="2" bestFit="1" customWidth="1"/>
    <col min="5" max="16384" width="11.1640625" style="2"/>
  </cols>
  <sheetData>
    <row r="1" spans="1:19" x14ac:dyDescent="0.2">
      <c r="A1" s="2" t="s">
        <v>75</v>
      </c>
      <c r="C1" s="6">
        <v>45098</v>
      </c>
    </row>
    <row r="3" spans="1:19" x14ac:dyDescent="0.2">
      <c r="A3" s="2" t="s">
        <v>74</v>
      </c>
    </row>
    <row r="4" spans="1:19" x14ac:dyDescent="0.2">
      <c r="A4" s="2" t="s">
        <v>27</v>
      </c>
      <c r="B4" s="2">
        <v>47.499000000000002</v>
      </c>
      <c r="D4" s="2" t="s">
        <v>73</v>
      </c>
      <c r="E4" s="2">
        <f>AVERAGE(C8,D8,E8,F8,G8,C14,D14,E14,F14,G14,H14,I14,J14,K14,L14,M14,C21,D21,E21,F21,G21,C28,D28,E28,F28,C35,D35,C49,D49,C56,D56,E56,F56,G56,H56,I56,C63,D63,C70,D70,C77,C84,D84,C91,D91,E91,F91,C98,C105,D105,E105)</f>
        <v>658.91666666666686</v>
      </c>
      <c r="G4" s="2" t="s">
        <v>72</v>
      </c>
    </row>
    <row r="5" spans="1:19" ht="17" thickBot="1" x14ac:dyDescent="0.25"/>
    <row r="6" spans="1:19" ht="17" thickBot="1" x14ac:dyDescent="0.25">
      <c r="A6" s="4" t="s">
        <v>96</v>
      </c>
      <c r="B6" s="5" t="s">
        <v>70</v>
      </c>
      <c r="C6" s="2">
        <v>1</v>
      </c>
      <c r="D6" s="2">
        <v>1</v>
      </c>
      <c r="E6" s="2">
        <v>1</v>
      </c>
      <c r="F6" s="2">
        <v>1</v>
      </c>
      <c r="G6" s="2">
        <v>1</v>
      </c>
    </row>
    <row r="7" spans="1:19" x14ac:dyDescent="0.2">
      <c r="A7" s="3" t="s">
        <v>63</v>
      </c>
      <c r="B7" s="2">
        <v>224.583</v>
      </c>
      <c r="C7" s="2">
        <v>763.21100000000001</v>
      </c>
      <c r="D7" s="2">
        <v>799.27300000000002</v>
      </c>
      <c r="E7" s="2">
        <v>810.34</v>
      </c>
      <c r="F7" s="2">
        <v>720.51199999999994</v>
      </c>
      <c r="G7" s="2">
        <v>610.25400000000002</v>
      </c>
      <c r="H7" s="2">
        <v>1724.5039999999999</v>
      </c>
      <c r="I7" s="2">
        <v>1571.0350000000001</v>
      </c>
      <c r="J7" s="2">
        <v>1386.367</v>
      </c>
      <c r="K7" s="2">
        <v>1526.2190000000001</v>
      </c>
      <c r="L7" s="2">
        <v>1058.73</v>
      </c>
      <c r="M7" s="2">
        <v>1577.6130000000001</v>
      </c>
      <c r="N7" s="2">
        <v>1708.8789999999999</v>
      </c>
      <c r="O7" s="2">
        <v>1383.0229999999999</v>
      </c>
    </row>
    <row r="8" spans="1:19" x14ac:dyDescent="0.2">
      <c r="A8" s="3" t="s">
        <v>62</v>
      </c>
      <c r="C8" s="2">
        <f t="shared" ref="C8:O8" si="0">C7-$B$7</f>
        <v>538.62800000000004</v>
      </c>
      <c r="D8" s="2">
        <f t="shared" si="0"/>
        <v>574.69000000000005</v>
      </c>
      <c r="E8" s="2">
        <f t="shared" si="0"/>
        <v>585.75700000000006</v>
      </c>
      <c r="F8" s="2">
        <f t="shared" si="0"/>
        <v>495.92899999999997</v>
      </c>
      <c r="G8" s="2">
        <f t="shared" si="0"/>
        <v>385.67100000000005</v>
      </c>
      <c r="H8" s="2">
        <f t="shared" si="0"/>
        <v>1499.9209999999998</v>
      </c>
      <c r="I8" s="2">
        <f t="shared" si="0"/>
        <v>1346.452</v>
      </c>
      <c r="J8" s="2">
        <f t="shared" si="0"/>
        <v>1161.7839999999999</v>
      </c>
      <c r="K8" s="2">
        <f t="shared" si="0"/>
        <v>1301.636</v>
      </c>
      <c r="L8" s="2">
        <f t="shared" si="0"/>
        <v>834.14700000000005</v>
      </c>
      <c r="M8" s="2">
        <f t="shared" si="0"/>
        <v>1353.03</v>
      </c>
      <c r="N8" s="2">
        <f t="shared" si="0"/>
        <v>1484.2959999999998</v>
      </c>
      <c r="O8" s="2">
        <f t="shared" si="0"/>
        <v>1158.4399999999998</v>
      </c>
    </row>
    <row r="9" spans="1:19" x14ac:dyDescent="0.2">
      <c r="A9" s="3" t="s">
        <v>61</v>
      </c>
      <c r="C9" s="2">
        <v>1.77</v>
      </c>
      <c r="D9" s="2">
        <v>1.897</v>
      </c>
      <c r="E9" s="2">
        <v>1.633</v>
      </c>
      <c r="F9" s="2">
        <v>9.6969999999999992</v>
      </c>
      <c r="G9" s="2">
        <v>11.644</v>
      </c>
      <c r="H9" s="2">
        <v>2.4489999999999998</v>
      </c>
      <c r="I9" s="2">
        <v>1.9530000000000001</v>
      </c>
      <c r="J9" s="2">
        <v>2.6480000000000001</v>
      </c>
      <c r="K9" s="2">
        <v>2.4860000000000002</v>
      </c>
      <c r="L9" s="2">
        <v>2.5779999999999998</v>
      </c>
      <c r="M9" s="2">
        <v>3.45</v>
      </c>
      <c r="N9" s="2">
        <v>6.8479999999999999</v>
      </c>
      <c r="O9" s="2">
        <v>9.2680000000000007</v>
      </c>
    </row>
    <row r="10" spans="1:19" x14ac:dyDescent="0.2">
      <c r="A10" s="3" t="s">
        <v>59</v>
      </c>
      <c r="H10" s="2">
        <f t="shared" ref="H10:O10" si="1">H8/$E$4</f>
        <v>2.2763439989882372</v>
      </c>
      <c r="I10" s="2">
        <f t="shared" si="1"/>
        <v>2.0434329075502715</v>
      </c>
      <c r="J10" s="2">
        <f t="shared" si="1"/>
        <v>1.7631728847856323</v>
      </c>
      <c r="K10" s="2">
        <f t="shared" si="1"/>
        <v>1.9754182370051847</v>
      </c>
      <c r="L10" s="2">
        <f t="shared" si="1"/>
        <v>1.2659370178323002</v>
      </c>
      <c r="M10" s="2">
        <f t="shared" si="1"/>
        <v>2.0534159605412921</v>
      </c>
      <c r="N10" s="2">
        <f t="shared" si="1"/>
        <v>2.2526308334387242</v>
      </c>
      <c r="O10" s="2">
        <f t="shared" si="1"/>
        <v>1.7580978879473876</v>
      </c>
    </row>
    <row r="12" spans="1:19" x14ac:dyDescent="0.2">
      <c r="A12" s="4" t="s">
        <v>95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</row>
    <row r="13" spans="1:19" x14ac:dyDescent="0.2">
      <c r="A13" s="3" t="s">
        <v>63</v>
      </c>
      <c r="C13" s="2">
        <v>1140.6600000000001</v>
      </c>
      <c r="D13" s="2">
        <v>1004.707</v>
      </c>
      <c r="E13" s="2">
        <v>759.79300000000001</v>
      </c>
      <c r="F13" s="2">
        <v>884.12900000000002</v>
      </c>
      <c r="G13" s="2">
        <v>738.14499999999998</v>
      </c>
      <c r="H13" s="2">
        <v>1036.6559999999999</v>
      </c>
      <c r="I13" s="2">
        <v>1102.289</v>
      </c>
      <c r="J13" s="2">
        <v>1268.605</v>
      </c>
      <c r="K13" s="2">
        <v>1361.316</v>
      </c>
      <c r="L13" s="2">
        <v>1030.355</v>
      </c>
      <c r="M13" s="2">
        <v>913.90200000000004</v>
      </c>
      <c r="N13" s="2">
        <v>2058.1289999999999</v>
      </c>
      <c r="O13" s="2">
        <v>1492.7149999999999</v>
      </c>
      <c r="P13" s="2">
        <v>2142.9490000000001</v>
      </c>
      <c r="Q13" s="2">
        <v>1221.855</v>
      </c>
      <c r="R13" s="2">
        <v>1222.3320000000001</v>
      </c>
      <c r="S13" s="2">
        <v>1509.684</v>
      </c>
    </row>
    <row r="14" spans="1:19" x14ac:dyDescent="0.2">
      <c r="A14" s="3" t="s">
        <v>62</v>
      </c>
      <c r="C14" s="2">
        <f t="shared" ref="C14:S14" si="2">C13-$B$7</f>
        <v>916.07700000000011</v>
      </c>
      <c r="D14" s="2">
        <f t="shared" si="2"/>
        <v>780.12400000000002</v>
      </c>
      <c r="E14" s="2">
        <f t="shared" si="2"/>
        <v>535.21</v>
      </c>
      <c r="F14" s="2">
        <f t="shared" si="2"/>
        <v>659.54600000000005</v>
      </c>
      <c r="G14" s="2">
        <f t="shared" si="2"/>
        <v>513.56200000000001</v>
      </c>
      <c r="H14" s="2">
        <f t="shared" si="2"/>
        <v>812.07299999999998</v>
      </c>
      <c r="I14" s="2">
        <f t="shared" si="2"/>
        <v>877.70600000000002</v>
      </c>
      <c r="J14" s="2">
        <f t="shared" si="2"/>
        <v>1044.0219999999999</v>
      </c>
      <c r="K14" s="2">
        <f t="shared" si="2"/>
        <v>1136.7329999999999</v>
      </c>
      <c r="L14" s="2">
        <f t="shared" si="2"/>
        <v>805.77200000000005</v>
      </c>
      <c r="M14" s="2">
        <f t="shared" si="2"/>
        <v>689.31900000000007</v>
      </c>
      <c r="N14" s="2">
        <f t="shared" si="2"/>
        <v>1833.5459999999998</v>
      </c>
      <c r="O14" s="2">
        <f t="shared" si="2"/>
        <v>1268.1319999999998</v>
      </c>
      <c r="P14" s="2">
        <f t="shared" si="2"/>
        <v>1918.366</v>
      </c>
      <c r="Q14" s="2">
        <f t="shared" si="2"/>
        <v>997.27200000000005</v>
      </c>
      <c r="R14" s="2">
        <f t="shared" si="2"/>
        <v>997.74900000000014</v>
      </c>
      <c r="S14" s="2">
        <f t="shared" si="2"/>
        <v>1285.1009999999999</v>
      </c>
    </row>
    <row r="15" spans="1:19" x14ac:dyDescent="0.2">
      <c r="A15" s="3" t="s">
        <v>61</v>
      </c>
      <c r="C15" s="2">
        <v>2.6480000000000001</v>
      </c>
      <c r="D15" s="2">
        <v>2.0089999999999999</v>
      </c>
      <c r="E15" s="2">
        <v>2.806</v>
      </c>
      <c r="F15" s="2">
        <v>2.1019999999999999</v>
      </c>
      <c r="G15" s="2">
        <v>2.7109999999999999</v>
      </c>
      <c r="H15" s="2">
        <v>2.5099999999999998</v>
      </c>
      <c r="I15" s="2">
        <v>2.6030000000000002</v>
      </c>
      <c r="J15" s="2">
        <v>1.6459999999999999</v>
      </c>
      <c r="K15" s="2">
        <v>1.84</v>
      </c>
      <c r="L15" s="2">
        <v>1.861</v>
      </c>
      <c r="M15" s="2">
        <v>9.2509999999999994</v>
      </c>
      <c r="N15" s="2">
        <v>1.659</v>
      </c>
      <c r="O15" s="2">
        <v>2.6219999999999999</v>
      </c>
      <c r="P15" s="2">
        <v>2.3919999999999999</v>
      </c>
      <c r="Q15" s="2">
        <v>2.4329999999999998</v>
      </c>
      <c r="R15" s="2">
        <v>9.4969999999999999</v>
      </c>
      <c r="S15" s="2">
        <v>11.603</v>
      </c>
    </row>
    <row r="16" spans="1:19" x14ac:dyDescent="0.2">
      <c r="A16" s="3" t="s">
        <v>60</v>
      </c>
      <c r="C16" s="2">
        <f t="shared" ref="C16:S16" si="3">SQRT((C15^2)+1)</f>
        <v>2.8305306922907585</v>
      </c>
      <c r="D16" s="2">
        <f t="shared" si="3"/>
        <v>2.2441214316520397</v>
      </c>
      <c r="E16" s="2">
        <f t="shared" si="3"/>
        <v>2.9788648844820069</v>
      </c>
      <c r="F16" s="2">
        <f t="shared" si="3"/>
        <v>2.3277465497772734</v>
      </c>
      <c r="G16" s="2">
        <f t="shared" si="3"/>
        <v>2.8895537717786115</v>
      </c>
      <c r="H16" s="2">
        <f t="shared" si="3"/>
        <v>2.7018697229881381</v>
      </c>
      <c r="I16" s="2">
        <f t="shared" si="3"/>
        <v>2.7884779002172495</v>
      </c>
      <c r="J16" s="2">
        <f t="shared" si="3"/>
        <v>1.9259584626881234</v>
      </c>
      <c r="K16" s="2">
        <f t="shared" si="3"/>
        <v>2.0941824180333479</v>
      </c>
      <c r="L16" s="2">
        <f t="shared" si="3"/>
        <v>2.1126573314193671</v>
      </c>
      <c r="M16" s="2">
        <f t="shared" si="3"/>
        <v>9.3048912406325304</v>
      </c>
      <c r="N16" s="2">
        <f t="shared" si="3"/>
        <v>1.9370805352385325</v>
      </c>
      <c r="O16" s="2">
        <f t="shared" si="3"/>
        <v>2.8062223718016361</v>
      </c>
      <c r="P16" s="2">
        <f t="shared" si="3"/>
        <v>2.5926172104651313</v>
      </c>
      <c r="Q16" s="2">
        <f t="shared" si="3"/>
        <v>2.6304921592736217</v>
      </c>
      <c r="R16" s="2">
        <f t="shared" si="3"/>
        <v>9.5495030760767872</v>
      </c>
      <c r="S16" s="2">
        <f t="shared" si="3"/>
        <v>11.646012579419619</v>
      </c>
    </row>
    <row r="17" spans="1:19" x14ac:dyDescent="0.2">
      <c r="A17" s="3" t="s">
        <v>59</v>
      </c>
      <c r="N17" s="2">
        <f t="shared" ref="N17:S17" si="4">N14/$E$4</f>
        <v>2.7826675098014406</v>
      </c>
      <c r="O17" s="2">
        <f t="shared" si="4"/>
        <v>1.9245711394966478</v>
      </c>
      <c r="P17" s="2">
        <f t="shared" si="4"/>
        <v>2.9113939547236618</v>
      </c>
      <c r="Q17" s="2">
        <f t="shared" si="4"/>
        <v>1.5135024661692167</v>
      </c>
      <c r="R17" s="2">
        <f t="shared" si="4"/>
        <v>1.5142263816871124</v>
      </c>
      <c r="S17" s="2">
        <f t="shared" si="4"/>
        <v>1.9503240166940679</v>
      </c>
    </row>
    <row r="19" spans="1:19" x14ac:dyDescent="0.2">
      <c r="A19" s="4" t="s">
        <v>94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</row>
    <row r="20" spans="1:19" x14ac:dyDescent="0.2">
      <c r="A20" s="3" t="s">
        <v>63</v>
      </c>
      <c r="C20" s="2">
        <v>1329.16</v>
      </c>
      <c r="D20" s="2">
        <v>1102.934</v>
      </c>
      <c r="E20" s="2">
        <v>1169.922</v>
      </c>
      <c r="F20" s="2">
        <v>1418.6130000000001</v>
      </c>
      <c r="G20" s="2">
        <v>1101.816</v>
      </c>
      <c r="H20" s="2">
        <v>2095.6640000000002</v>
      </c>
      <c r="I20" s="2">
        <v>2201.0619999999999</v>
      </c>
      <c r="J20" s="2">
        <v>2288.547</v>
      </c>
      <c r="K20" s="2">
        <v>3962.6289999999999</v>
      </c>
      <c r="L20" s="2">
        <v>1407.6210000000001</v>
      </c>
      <c r="M20" s="2">
        <v>2165.7460000000001</v>
      </c>
      <c r="N20" s="2">
        <v>3189.777</v>
      </c>
      <c r="O20" s="2">
        <v>477.14100000000002</v>
      </c>
      <c r="P20" s="2">
        <v>496.875</v>
      </c>
    </row>
    <row r="21" spans="1:19" x14ac:dyDescent="0.2">
      <c r="A21" s="3" t="s">
        <v>62</v>
      </c>
      <c r="C21" s="2">
        <f t="shared" ref="C21:P21" si="5">C20-$B$7</f>
        <v>1104.577</v>
      </c>
      <c r="D21" s="2">
        <f t="shared" si="5"/>
        <v>878.351</v>
      </c>
      <c r="E21" s="2">
        <f t="shared" si="5"/>
        <v>945.33900000000006</v>
      </c>
      <c r="F21" s="2">
        <f t="shared" si="5"/>
        <v>1194.03</v>
      </c>
      <c r="G21" s="2">
        <f t="shared" si="5"/>
        <v>877.23300000000006</v>
      </c>
      <c r="H21" s="2">
        <f t="shared" si="5"/>
        <v>1871.0810000000001</v>
      </c>
      <c r="I21" s="2">
        <f t="shared" si="5"/>
        <v>1976.4789999999998</v>
      </c>
      <c r="J21" s="2">
        <f t="shared" si="5"/>
        <v>2063.9639999999999</v>
      </c>
      <c r="K21" s="2">
        <f t="shared" si="5"/>
        <v>3738.0459999999998</v>
      </c>
      <c r="L21" s="2">
        <f t="shared" si="5"/>
        <v>1183.038</v>
      </c>
      <c r="M21" s="2">
        <f t="shared" si="5"/>
        <v>1941.163</v>
      </c>
      <c r="N21" s="2">
        <f t="shared" si="5"/>
        <v>2965.194</v>
      </c>
      <c r="O21" s="2">
        <f t="shared" si="5"/>
        <v>252.55800000000002</v>
      </c>
      <c r="P21" s="2">
        <f t="shared" si="5"/>
        <v>272.29200000000003</v>
      </c>
    </row>
    <row r="22" spans="1:19" x14ac:dyDescent="0.2">
      <c r="A22" s="3" t="s">
        <v>61</v>
      </c>
      <c r="C22" s="2">
        <v>2.0209999999999999</v>
      </c>
      <c r="D22" s="2">
        <v>1.3620000000000001</v>
      </c>
      <c r="E22" s="2">
        <v>3.2919999999999998</v>
      </c>
      <c r="F22" s="2">
        <v>1.9410000000000001</v>
      </c>
      <c r="G22" s="2">
        <v>3.4790000000000001</v>
      </c>
      <c r="H22" s="2">
        <v>2.8570000000000002</v>
      </c>
      <c r="I22" s="2">
        <v>2.6259999999999999</v>
      </c>
      <c r="J22" s="2">
        <v>2.1440000000000001</v>
      </c>
      <c r="K22" s="2">
        <v>1.647</v>
      </c>
      <c r="L22" s="2">
        <v>2.774</v>
      </c>
      <c r="M22" s="2">
        <v>2.5129999999999999</v>
      </c>
      <c r="N22" s="2">
        <v>2.4580000000000002</v>
      </c>
      <c r="O22" s="2">
        <v>9.5229999999999997</v>
      </c>
      <c r="P22" s="2">
        <v>9.8719999999999999</v>
      </c>
    </row>
    <row r="23" spans="1:19" x14ac:dyDescent="0.2">
      <c r="A23" s="3" t="s">
        <v>60</v>
      </c>
      <c r="C23" s="2">
        <f t="shared" ref="C23:P23" si="6">SQRT((C22^2)+4)</f>
        <v>2.8433151425756518</v>
      </c>
      <c r="D23" s="2">
        <f t="shared" si="6"/>
        <v>2.4197198184913891</v>
      </c>
      <c r="E23" s="2">
        <f t="shared" si="6"/>
        <v>3.8519169253762469</v>
      </c>
      <c r="F23" s="2">
        <f t="shared" si="6"/>
        <v>2.7870200932178442</v>
      </c>
      <c r="G23" s="2">
        <f t="shared" si="6"/>
        <v>4.0129092937668052</v>
      </c>
      <c r="H23" s="2">
        <f t="shared" si="6"/>
        <v>3.4874702866117726</v>
      </c>
      <c r="I23" s="2">
        <f t="shared" si="6"/>
        <v>3.3008901829658011</v>
      </c>
      <c r="J23" s="2">
        <f t="shared" si="6"/>
        <v>2.9320190995285142</v>
      </c>
      <c r="K23" s="2">
        <f t="shared" si="6"/>
        <v>2.5908703170942387</v>
      </c>
      <c r="L23" s="2">
        <f t="shared" si="6"/>
        <v>3.4198064272704092</v>
      </c>
      <c r="M23" s="2">
        <f t="shared" si="6"/>
        <v>3.2117236805179861</v>
      </c>
      <c r="N23" s="2">
        <f t="shared" si="6"/>
        <v>3.1688742480571865</v>
      </c>
      <c r="O23" s="2">
        <f t="shared" si="6"/>
        <v>9.7307517181356555</v>
      </c>
      <c r="P23" s="2">
        <f t="shared" si="6"/>
        <v>10.072555981477592</v>
      </c>
    </row>
    <row r="24" spans="1:19" x14ac:dyDescent="0.2">
      <c r="A24" s="3" t="s">
        <v>59</v>
      </c>
      <c r="H24" s="2">
        <f t="shared" ref="H24:P24" si="7">H21/$E$4</f>
        <v>2.8396322246111034</v>
      </c>
      <c r="I24" s="2">
        <f t="shared" si="7"/>
        <v>2.9995887188567081</v>
      </c>
      <c r="J24" s="2">
        <f t="shared" si="7"/>
        <v>3.1323596812950538</v>
      </c>
      <c r="K24" s="2">
        <f t="shared" si="7"/>
        <v>5.6730178323004914</v>
      </c>
      <c r="L24" s="2">
        <f t="shared" si="7"/>
        <v>1.795428860503351</v>
      </c>
      <c r="M24" s="2">
        <f t="shared" si="7"/>
        <v>2.9459916529657257</v>
      </c>
      <c r="N24" s="2">
        <f t="shared" si="7"/>
        <v>4.5001047173390649</v>
      </c>
      <c r="O24" s="2">
        <f t="shared" si="7"/>
        <v>0.38329277855065125</v>
      </c>
      <c r="P24" s="2">
        <f t="shared" si="7"/>
        <v>0.41324193752371308</v>
      </c>
    </row>
    <row r="26" spans="1:19" x14ac:dyDescent="0.2">
      <c r="A26" s="4" t="s">
        <v>93</v>
      </c>
      <c r="C26" s="2">
        <v>1</v>
      </c>
      <c r="D26" s="2">
        <v>1</v>
      </c>
      <c r="E26" s="2">
        <v>1</v>
      </c>
      <c r="F26" s="2">
        <v>1</v>
      </c>
    </row>
    <row r="27" spans="1:19" x14ac:dyDescent="0.2">
      <c r="A27" s="3" t="s">
        <v>63</v>
      </c>
      <c r="C27" s="2">
        <v>921.10900000000004</v>
      </c>
      <c r="D27" s="2">
        <v>1126.7850000000001</v>
      </c>
      <c r="E27" s="2">
        <v>637.375</v>
      </c>
      <c r="F27" s="2">
        <v>1082.25</v>
      </c>
      <c r="G27" s="2">
        <v>853.14499999999998</v>
      </c>
      <c r="H27" s="2">
        <v>1437.9449999999999</v>
      </c>
      <c r="I27" s="2">
        <v>2681.9690000000001</v>
      </c>
    </row>
    <row r="28" spans="1:19" x14ac:dyDescent="0.2">
      <c r="A28" s="3" t="s">
        <v>62</v>
      </c>
      <c r="C28" s="2">
        <f t="shared" ref="C28:I28" si="8">C27-$B$7</f>
        <v>696.52600000000007</v>
      </c>
      <c r="D28" s="2">
        <f t="shared" si="8"/>
        <v>902.20200000000011</v>
      </c>
      <c r="E28" s="2">
        <f t="shared" si="8"/>
        <v>412.79200000000003</v>
      </c>
      <c r="F28" s="2">
        <f t="shared" si="8"/>
        <v>857.66700000000003</v>
      </c>
      <c r="G28" s="2">
        <f t="shared" si="8"/>
        <v>628.56200000000001</v>
      </c>
      <c r="H28" s="2">
        <f t="shared" si="8"/>
        <v>1213.3619999999999</v>
      </c>
      <c r="I28" s="2">
        <f t="shared" si="8"/>
        <v>2457.386</v>
      </c>
    </row>
    <row r="29" spans="1:19" x14ac:dyDescent="0.2">
      <c r="A29" s="3" t="s">
        <v>61</v>
      </c>
      <c r="C29" s="2">
        <v>2.6469999999999998</v>
      </c>
      <c r="D29" s="2">
        <v>3.2240000000000002</v>
      </c>
      <c r="E29" s="2">
        <v>9.83</v>
      </c>
      <c r="F29" s="2">
        <v>12.545</v>
      </c>
      <c r="G29" s="2">
        <v>1.5629999999999999</v>
      </c>
      <c r="H29" s="2">
        <v>2.9239999999999999</v>
      </c>
      <c r="I29" s="2">
        <v>3.536</v>
      </c>
    </row>
    <row r="30" spans="1:19" x14ac:dyDescent="0.2">
      <c r="A30" s="3" t="s">
        <v>60</v>
      </c>
      <c r="C30" s="2">
        <f t="shared" ref="C30:I30" si="9">SQRT((C29^2)+9)</f>
        <v>4.0008260397072997</v>
      </c>
      <c r="D30" s="2">
        <f t="shared" si="9"/>
        <v>4.4038819239393785</v>
      </c>
      <c r="E30" s="2">
        <f t="shared" si="9"/>
        <v>10.27759213045546</v>
      </c>
      <c r="F30" s="2">
        <f t="shared" si="9"/>
        <v>12.898721835902967</v>
      </c>
      <c r="G30" s="2">
        <f t="shared" si="9"/>
        <v>3.3827457782103578</v>
      </c>
      <c r="H30" s="2">
        <f t="shared" si="9"/>
        <v>4.189245278090076</v>
      </c>
      <c r="I30" s="2">
        <f t="shared" si="9"/>
        <v>4.6371646509478177</v>
      </c>
    </row>
    <row r="31" spans="1:19" x14ac:dyDescent="0.2">
      <c r="A31" s="3" t="s">
        <v>59</v>
      </c>
      <c r="G31" s="2">
        <f>G28/$E$4</f>
        <v>0.95393246490451478</v>
      </c>
      <c r="H31" s="2">
        <f>H28/$E$4</f>
        <v>1.8414498545592506</v>
      </c>
      <c r="I31" s="2">
        <f>I28/$E$4</f>
        <v>3.7294336663715684</v>
      </c>
    </row>
    <row r="33" spans="1:10" x14ac:dyDescent="0.2">
      <c r="A33" s="4" t="s">
        <v>92</v>
      </c>
      <c r="C33" s="2">
        <v>1</v>
      </c>
      <c r="D33" s="2">
        <v>1</v>
      </c>
    </row>
    <row r="34" spans="1:10" x14ac:dyDescent="0.2">
      <c r="A34" s="3" t="s">
        <v>63</v>
      </c>
      <c r="C34" s="2">
        <v>711.85199999999998</v>
      </c>
      <c r="D34" s="2">
        <v>932.79700000000003</v>
      </c>
      <c r="E34" s="2">
        <v>1291.578</v>
      </c>
      <c r="F34" s="2">
        <v>1648.4839999999999</v>
      </c>
      <c r="G34" s="2">
        <v>468.89800000000002</v>
      </c>
    </row>
    <row r="35" spans="1:10" x14ac:dyDescent="0.2">
      <c r="A35" s="3" t="s">
        <v>62</v>
      </c>
      <c r="C35" s="2">
        <f>C34-$B$7</f>
        <v>487.26900000000001</v>
      </c>
      <c r="D35" s="2">
        <f>D34-$B$7</f>
        <v>708.21400000000006</v>
      </c>
      <c r="E35" s="2">
        <f>E34-$B$7</f>
        <v>1066.9949999999999</v>
      </c>
      <c r="F35" s="2">
        <f>F34-$B$7</f>
        <v>1423.9009999999998</v>
      </c>
      <c r="G35" s="2">
        <f>G34-$B$7</f>
        <v>244.31500000000003</v>
      </c>
    </row>
    <row r="36" spans="1:10" x14ac:dyDescent="0.2">
      <c r="A36" s="3" t="s">
        <v>61</v>
      </c>
      <c r="C36" s="2">
        <v>12.351000000000001</v>
      </c>
      <c r="D36" s="2">
        <v>13.702999999999999</v>
      </c>
      <c r="E36" s="2">
        <v>12.321</v>
      </c>
      <c r="F36" s="2">
        <v>13.086</v>
      </c>
      <c r="G36" s="2">
        <v>11.914</v>
      </c>
    </row>
    <row r="37" spans="1:10" x14ac:dyDescent="0.2">
      <c r="A37" s="3" t="s">
        <v>60</v>
      </c>
      <c r="C37" s="2">
        <f>SQRT((C36^2)+16)</f>
        <v>12.982572973028114</v>
      </c>
      <c r="D37" s="2">
        <f>SQRT((D36^2)+16)</f>
        <v>14.274880349761254</v>
      </c>
      <c r="E37" s="2">
        <f>SQRT((E36^2)+16)</f>
        <v>12.954035703208479</v>
      </c>
      <c r="F37" s="2">
        <f>SQRT((F36^2)+16)</f>
        <v>13.683690876368116</v>
      </c>
      <c r="G37" s="2">
        <f>SQRT((G36^2)+16)</f>
        <v>12.567553302055257</v>
      </c>
    </row>
    <row r="38" spans="1:10" x14ac:dyDescent="0.2">
      <c r="A38" s="3" t="s">
        <v>59</v>
      </c>
      <c r="E38" s="2">
        <f>E35/$E$4</f>
        <v>1.6193170608321734</v>
      </c>
      <c r="F38" s="2">
        <f>F35/$E$4</f>
        <v>2.1609728089035025</v>
      </c>
      <c r="G38" s="2">
        <f>G35/$E$4</f>
        <v>0.3707828506386745</v>
      </c>
    </row>
    <row r="40" spans="1:10" x14ac:dyDescent="0.2">
      <c r="A40" s="4" t="s">
        <v>91</v>
      </c>
    </row>
    <row r="41" spans="1:10" x14ac:dyDescent="0.2">
      <c r="A41" s="3" t="s">
        <v>63</v>
      </c>
      <c r="C41" s="2">
        <v>770.11300000000006</v>
      </c>
      <c r="D41" s="2">
        <v>1289.664</v>
      </c>
      <c r="E41" s="2">
        <v>1111.0940000000001</v>
      </c>
      <c r="F41" s="2">
        <v>1185.6210000000001</v>
      </c>
      <c r="G41" s="2">
        <v>886.05499999999995</v>
      </c>
      <c r="H41" s="2">
        <v>844.22699999999998</v>
      </c>
      <c r="I41" s="2">
        <v>788.32399999999996</v>
      </c>
      <c r="J41" s="2">
        <v>415.41399999999999</v>
      </c>
    </row>
    <row r="42" spans="1:10" x14ac:dyDescent="0.2">
      <c r="A42" s="3" t="s">
        <v>62</v>
      </c>
      <c r="C42" s="2">
        <f t="shared" ref="C42:J42" si="10">C41-$B$4</f>
        <v>722.61400000000003</v>
      </c>
      <c r="D42" s="2">
        <f t="shared" si="10"/>
        <v>1242.165</v>
      </c>
      <c r="E42" s="2">
        <f t="shared" si="10"/>
        <v>1063.595</v>
      </c>
      <c r="F42" s="2">
        <f t="shared" si="10"/>
        <v>1138.1220000000001</v>
      </c>
      <c r="G42" s="2">
        <f t="shared" si="10"/>
        <v>838.55599999999993</v>
      </c>
      <c r="H42" s="2">
        <f t="shared" si="10"/>
        <v>796.72799999999995</v>
      </c>
      <c r="I42" s="2">
        <f t="shared" si="10"/>
        <v>740.82499999999993</v>
      </c>
      <c r="J42" s="2">
        <f t="shared" si="10"/>
        <v>367.91499999999996</v>
      </c>
    </row>
    <row r="43" spans="1:10" x14ac:dyDescent="0.2">
      <c r="A43" s="3" t="s">
        <v>61</v>
      </c>
      <c r="C43" s="2">
        <v>11.811</v>
      </c>
      <c r="D43" s="2">
        <v>12.162000000000001</v>
      </c>
      <c r="E43" s="2">
        <v>13.616</v>
      </c>
      <c r="F43" s="2">
        <v>13.02</v>
      </c>
      <c r="G43" s="2">
        <v>11.385999999999999</v>
      </c>
      <c r="H43" s="2">
        <v>12.067</v>
      </c>
      <c r="I43" s="2">
        <v>12.726000000000001</v>
      </c>
      <c r="J43" s="2">
        <v>13.712</v>
      </c>
    </row>
    <row r="44" spans="1:10" x14ac:dyDescent="0.2">
      <c r="A44" s="3" t="s">
        <v>60</v>
      </c>
      <c r="C44" s="2">
        <f t="shared" ref="C44:J44" si="11">SQRT((C43^2)+25)</f>
        <v>12.825744461823648</v>
      </c>
      <c r="D44" s="2">
        <f t="shared" si="11"/>
        <v>13.149686079903201</v>
      </c>
      <c r="E44" s="2">
        <f t="shared" si="11"/>
        <v>14.505014856938272</v>
      </c>
      <c r="F44" s="2">
        <f t="shared" si="11"/>
        <v>13.947057037239075</v>
      </c>
      <c r="G44" s="2">
        <f t="shared" si="11"/>
        <v>12.435473292159006</v>
      </c>
      <c r="H44" s="2">
        <f t="shared" si="11"/>
        <v>13.061871573400191</v>
      </c>
      <c r="I44" s="2">
        <f t="shared" si="11"/>
        <v>13.673005375556613</v>
      </c>
      <c r="J44" s="2">
        <f t="shared" si="11"/>
        <v>14.595168515642428</v>
      </c>
    </row>
    <row r="45" spans="1:10" x14ac:dyDescent="0.2">
      <c r="A45" s="3" t="s">
        <v>59</v>
      </c>
      <c r="C45" s="2">
        <f t="shared" ref="C45:J45" si="12">C42/$E$4</f>
        <v>1.0966697862653343</v>
      </c>
      <c r="D45" s="2">
        <f t="shared" si="12"/>
        <v>1.8851625142278987</v>
      </c>
      <c r="E45" s="2">
        <f t="shared" si="12"/>
        <v>1.6141570760085995</v>
      </c>
      <c r="F45" s="2">
        <f t="shared" si="12"/>
        <v>1.7272624256987477</v>
      </c>
      <c r="G45" s="2">
        <f t="shared" si="12"/>
        <v>1.2726283040343995</v>
      </c>
      <c r="H45" s="2">
        <f t="shared" si="12"/>
        <v>1.2091483495636772</v>
      </c>
      <c r="I45" s="2">
        <f t="shared" si="12"/>
        <v>1.1243075755659537</v>
      </c>
      <c r="J45" s="2">
        <f t="shared" si="12"/>
        <v>0.55836347540154274</v>
      </c>
    </row>
    <row r="47" spans="1:10" x14ac:dyDescent="0.2">
      <c r="A47" s="4" t="s">
        <v>90</v>
      </c>
      <c r="C47" s="2">
        <v>1</v>
      </c>
      <c r="D47" s="2">
        <v>1</v>
      </c>
    </row>
    <row r="48" spans="1:10" x14ac:dyDescent="0.2">
      <c r="A48" s="3" t="s">
        <v>63</v>
      </c>
      <c r="C48" s="2">
        <v>651.27</v>
      </c>
      <c r="D48" s="2">
        <v>579.84400000000005</v>
      </c>
      <c r="E48" s="2">
        <v>1847.605</v>
      </c>
      <c r="F48" s="2">
        <v>2402.6950000000002</v>
      </c>
      <c r="G48" s="2">
        <v>1909.68</v>
      </c>
      <c r="H48" s="2">
        <v>2034.1559999999999</v>
      </c>
    </row>
    <row r="49" spans="1:13" x14ac:dyDescent="0.2">
      <c r="A49" s="3" t="s">
        <v>62</v>
      </c>
      <c r="C49" s="2">
        <f t="shared" ref="C49:H49" si="13">C48-$B$7</f>
        <v>426.68700000000001</v>
      </c>
      <c r="D49" s="2">
        <f t="shared" si="13"/>
        <v>355.26100000000008</v>
      </c>
      <c r="E49" s="2">
        <f t="shared" si="13"/>
        <v>1623.0219999999999</v>
      </c>
      <c r="F49" s="2">
        <f t="shared" si="13"/>
        <v>2178.1120000000001</v>
      </c>
      <c r="G49" s="2">
        <f t="shared" si="13"/>
        <v>1685.097</v>
      </c>
      <c r="H49" s="2">
        <f t="shared" si="13"/>
        <v>1809.5729999999999</v>
      </c>
    </row>
    <row r="50" spans="1:13" x14ac:dyDescent="0.2">
      <c r="A50" s="3" t="s">
        <v>61</v>
      </c>
      <c r="C50" s="2">
        <v>13.731</v>
      </c>
      <c r="D50" s="2">
        <v>13.718</v>
      </c>
      <c r="E50" s="2">
        <v>11.359</v>
      </c>
      <c r="F50" s="2">
        <v>11.952</v>
      </c>
      <c r="G50" s="2">
        <v>12.178000000000001</v>
      </c>
      <c r="H50" s="2">
        <v>12.723000000000001</v>
      </c>
    </row>
    <row r="51" spans="1:13" x14ac:dyDescent="0.2">
      <c r="A51" s="3" t="s">
        <v>60</v>
      </c>
      <c r="C51" s="2">
        <f t="shared" ref="C51:H51" si="14">SQRT((C50^2)+36)</f>
        <v>14.984670867256311</v>
      </c>
      <c r="D51" s="2">
        <f t="shared" si="14"/>
        <v>14.972759398320672</v>
      </c>
      <c r="E51" s="2">
        <f t="shared" si="14"/>
        <v>12.84627887755828</v>
      </c>
      <c r="F51" s="2">
        <f t="shared" si="14"/>
        <v>13.373492587951734</v>
      </c>
      <c r="G51" s="2">
        <f t="shared" si="14"/>
        <v>13.575849292033263</v>
      </c>
      <c r="H51" s="2">
        <f t="shared" si="14"/>
        <v>14.066795264025137</v>
      </c>
    </row>
    <row r="52" spans="1:13" x14ac:dyDescent="0.2">
      <c r="A52" s="3" t="s">
        <v>59</v>
      </c>
      <c r="E52" s="2">
        <f>E49/$E$4</f>
        <v>2.4631673200961166</v>
      </c>
      <c r="F52" s="2">
        <f>F49/$E$4</f>
        <v>3.3055955482483865</v>
      </c>
      <c r="G52" s="2">
        <f>G49/$E$4</f>
        <v>2.5573749841912221</v>
      </c>
      <c r="H52" s="2">
        <f>H49/$E$4</f>
        <v>2.7462850638674583</v>
      </c>
    </row>
    <row r="54" spans="1:13" x14ac:dyDescent="0.2">
      <c r="A54" s="4" t="s">
        <v>89</v>
      </c>
      <c r="C54" s="2">
        <v>1</v>
      </c>
      <c r="D54" s="2">
        <v>1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</row>
    <row r="55" spans="1:13" x14ac:dyDescent="0.2">
      <c r="A55" s="3" t="s">
        <v>63</v>
      </c>
      <c r="C55" s="2">
        <v>522.09799999999996</v>
      </c>
      <c r="D55" s="2">
        <v>729.94500000000005</v>
      </c>
      <c r="E55" s="2">
        <v>650.38300000000004</v>
      </c>
      <c r="F55" s="2">
        <v>611.47299999999996</v>
      </c>
      <c r="G55" s="2">
        <v>518.73</v>
      </c>
      <c r="H55" s="2">
        <v>798.21900000000005</v>
      </c>
      <c r="I55" s="2">
        <v>663.20699999999999</v>
      </c>
      <c r="J55" s="2">
        <v>847.11300000000006</v>
      </c>
      <c r="K55" s="2">
        <v>1021.777</v>
      </c>
      <c r="L55" s="2">
        <v>1743.355</v>
      </c>
      <c r="M55" s="2">
        <v>1040.6949999999999</v>
      </c>
    </row>
    <row r="56" spans="1:13" x14ac:dyDescent="0.2">
      <c r="A56" s="3" t="s">
        <v>62</v>
      </c>
      <c r="C56" s="2">
        <f t="shared" ref="C56:M56" si="15">C55-$B$7</f>
        <v>297.51499999999999</v>
      </c>
      <c r="D56" s="2">
        <f t="shared" si="15"/>
        <v>505.36200000000008</v>
      </c>
      <c r="E56" s="2">
        <f t="shared" si="15"/>
        <v>425.80000000000007</v>
      </c>
      <c r="F56" s="2">
        <f t="shared" si="15"/>
        <v>386.89</v>
      </c>
      <c r="G56" s="2">
        <f t="shared" si="15"/>
        <v>294.14700000000005</v>
      </c>
      <c r="H56" s="2">
        <f t="shared" si="15"/>
        <v>573.63600000000008</v>
      </c>
      <c r="I56" s="2">
        <f t="shared" si="15"/>
        <v>438.62400000000002</v>
      </c>
      <c r="J56" s="2">
        <f t="shared" si="15"/>
        <v>622.53000000000009</v>
      </c>
      <c r="K56" s="2">
        <f t="shared" si="15"/>
        <v>797.19400000000007</v>
      </c>
      <c r="L56" s="2">
        <f t="shared" si="15"/>
        <v>1518.7719999999999</v>
      </c>
      <c r="M56" s="2">
        <f t="shared" si="15"/>
        <v>816.11199999999997</v>
      </c>
    </row>
    <row r="57" spans="1:13" x14ac:dyDescent="0.2">
      <c r="A57" s="3" t="s">
        <v>61</v>
      </c>
      <c r="C57" s="2">
        <v>4.3250000000000002</v>
      </c>
      <c r="D57" s="2">
        <v>10.06</v>
      </c>
      <c r="E57" s="2">
        <v>13.121</v>
      </c>
      <c r="F57" s="2">
        <v>14.359</v>
      </c>
      <c r="G57" s="2">
        <v>15.173</v>
      </c>
      <c r="H57" s="2">
        <v>15.297000000000001</v>
      </c>
      <c r="I57" s="2">
        <v>15.209</v>
      </c>
      <c r="J57" s="2">
        <v>11.789</v>
      </c>
      <c r="K57" s="2">
        <v>12.750999999999999</v>
      </c>
      <c r="L57" s="2">
        <v>13.555999999999999</v>
      </c>
      <c r="M57" s="2">
        <v>13.051</v>
      </c>
    </row>
    <row r="58" spans="1:13" x14ac:dyDescent="0.2">
      <c r="A58" s="3" t="s">
        <v>60</v>
      </c>
      <c r="C58" s="2">
        <f t="shared" ref="C58:M58" si="16">SQRT((C57^2)+49)</f>
        <v>8.2283427857619049</v>
      </c>
      <c r="D58" s="2">
        <f t="shared" si="16"/>
        <v>12.255757830505628</v>
      </c>
      <c r="E58" s="2">
        <f t="shared" si="16"/>
        <v>14.871470707364487</v>
      </c>
      <c r="F58" s="2">
        <f t="shared" si="16"/>
        <v>15.974382022475861</v>
      </c>
      <c r="G58" s="2">
        <f t="shared" si="16"/>
        <v>16.709875194028228</v>
      </c>
      <c r="H58" s="2">
        <f t="shared" si="16"/>
        <v>16.822550609226891</v>
      </c>
      <c r="I58" s="2">
        <f t="shared" si="16"/>
        <v>16.742570919664637</v>
      </c>
      <c r="J58" s="2">
        <f t="shared" si="16"/>
        <v>13.710598856359265</v>
      </c>
      <c r="K58" s="2">
        <f t="shared" si="16"/>
        <v>14.546064794300896</v>
      </c>
      <c r="L58" s="2">
        <f t="shared" si="16"/>
        <v>15.256642356691723</v>
      </c>
      <c r="M58" s="2">
        <f t="shared" si="16"/>
        <v>14.809746824304593</v>
      </c>
    </row>
    <row r="59" spans="1:13" x14ac:dyDescent="0.2">
      <c r="A59" s="3" t="s">
        <v>59</v>
      </c>
      <c r="J59" s="2">
        <f>J56/$E$4</f>
        <v>0.94477804477045646</v>
      </c>
      <c r="K59" s="2">
        <f>K56/$E$4</f>
        <v>1.2098555710130261</v>
      </c>
      <c r="L59" s="2">
        <f>L56/$E$4</f>
        <v>2.3049530795497652</v>
      </c>
      <c r="M59" s="2">
        <f>M56/$E$4</f>
        <v>1.23856633362843</v>
      </c>
    </row>
    <row r="61" spans="1:13" x14ac:dyDescent="0.2">
      <c r="A61" s="4" t="s">
        <v>88</v>
      </c>
      <c r="C61" s="2">
        <v>1</v>
      </c>
      <c r="D61" s="2">
        <v>1</v>
      </c>
    </row>
    <row r="62" spans="1:13" x14ac:dyDescent="0.2">
      <c r="A62" s="3" t="s">
        <v>63</v>
      </c>
      <c r="C62" s="2">
        <v>1054.5160000000001</v>
      </c>
      <c r="D62" s="2">
        <v>1049.617</v>
      </c>
      <c r="E62" s="2">
        <v>1272.1289999999999</v>
      </c>
      <c r="F62" s="2">
        <v>1196.9649999999999</v>
      </c>
      <c r="G62" s="2">
        <v>1359.0160000000001</v>
      </c>
    </row>
    <row r="63" spans="1:13" x14ac:dyDescent="0.2">
      <c r="A63" s="3" t="s">
        <v>62</v>
      </c>
      <c r="C63" s="2">
        <f>C62-$B$7</f>
        <v>829.93300000000011</v>
      </c>
      <c r="D63" s="2">
        <f>D62-$B$7</f>
        <v>825.03399999999999</v>
      </c>
      <c r="E63" s="2">
        <f>E62-$B$7</f>
        <v>1047.5459999999998</v>
      </c>
      <c r="F63" s="2">
        <f>F62-$B$7</f>
        <v>972.38199999999995</v>
      </c>
      <c r="G63" s="2">
        <f>G62-$B$7</f>
        <v>1134.433</v>
      </c>
    </row>
    <row r="64" spans="1:13" x14ac:dyDescent="0.2">
      <c r="A64" s="3" t="s">
        <v>61</v>
      </c>
      <c r="C64" s="2">
        <v>12.996</v>
      </c>
      <c r="D64" s="2">
        <v>13.547000000000001</v>
      </c>
      <c r="E64" s="2">
        <v>12.986000000000001</v>
      </c>
      <c r="F64" s="2">
        <v>13.069000000000001</v>
      </c>
      <c r="G64" s="2">
        <v>14.27</v>
      </c>
    </row>
    <row r="65" spans="1:7" x14ac:dyDescent="0.2">
      <c r="A65" s="3" t="s">
        <v>60</v>
      </c>
      <c r="C65" s="2">
        <f>SQRT((C64^2)+64)</f>
        <v>15.260931033197156</v>
      </c>
      <c r="D65" s="2">
        <f>SQRT((D64^2)+64)</f>
        <v>15.732806774380725</v>
      </c>
      <c r="E65" s="2">
        <f>SQRT((E64^2)+64)</f>
        <v>15.252416070904964</v>
      </c>
      <c r="F65" s="2">
        <f>SQRT((F64^2)+64)</f>
        <v>15.323144618517441</v>
      </c>
      <c r="G65" s="2">
        <f>SQRT((G64^2)+64)</f>
        <v>16.359489600840242</v>
      </c>
    </row>
    <row r="66" spans="1:7" x14ac:dyDescent="0.2">
      <c r="A66" s="3" t="s">
        <v>59</v>
      </c>
      <c r="E66" s="2">
        <f>E63/$E$4</f>
        <v>1.5898004299987345</v>
      </c>
      <c r="F66" s="2">
        <f>F63/$E$4</f>
        <v>1.4757283419754643</v>
      </c>
      <c r="G66" s="2">
        <f>G63/$E$4</f>
        <v>1.7216638421651695</v>
      </c>
    </row>
    <row r="68" spans="1:7" x14ac:dyDescent="0.2">
      <c r="A68" s="4" t="s">
        <v>87</v>
      </c>
      <c r="C68" s="2">
        <v>1</v>
      </c>
      <c r="D68" s="2">
        <v>1</v>
      </c>
    </row>
    <row r="69" spans="1:7" x14ac:dyDescent="0.2">
      <c r="A69" s="3" t="s">
        <v>63</v>
      </c>
      <c r="C69" s="2">
        <v>426.637</v>
      </c>
      <c r="D69" s="2">
        <v>638.44100000000003</v>
      </c>
      <c r="E69" s="2">
        <v>1124.691</v>
      </c>
      <c r="F69" s="2">
        <v>1507.8910000000001</v>
      </c>
      <c r="G69" s="2">
        <v>1104.7809999999999</v>
      </c>
    </row>
    <row r="70" spans="1:7" x14ac:dyDescent="0.2">
      <c r="A70" s="3" t="s">
        <v>62</v>
      </c>
      <c r="C70" s="2">
        <f>C69-$B$7</f>
        <v>202.054</v>
      </c>
      <c r="D70" s="2">
        <f>D69-$B$7</f>
        <v>413.85800000000006</v>
      </c>
      <c r="E70" s="2">
        <f>E69-$B$7</f>
        <v>900.10800000000006</v>
      </c>
      <c r="F70" s="2">
        <f>F69-$B$7</f>
        <v>1283.308</v>
      </c>
      <c r="G70" s="2">
        <f>G69-$B$7</f>
        <v>880.19799999999998</v>
      </c>
    </row>
    <row r="71" spans="1:7" x14ac:dyDescent="0.2">
      <c r="A71" s="3" t="s">
        <v>61</v>
      </c>
      <c r="C71" s="2">
        <v>7.7949999999999999</v>
      </c>
      <c r="D71" s="2">
        <v>5.16</v>
      </c>
      <c r="E71" s="2">
        <v>12.858000000000001</v>
      </c>
      <c r="F71" s="2">
        <v>5.7510000000000003</v>
      </c>
      <c r="G71" s="2">
        <v>13.984999999999999</v>
      </c>
    </row>
    <row r="72" spans="1:7" x14ac:dyDescent="0.2">
      <c r="A72" s="3" t="s">
        <v>60</v>
      </c>
      <c r="C72" s="2">
        <f>SQRT((C71^2)+81)</f>
        <v>11.906385891612954</v>
      </c>
      <c r="D72" s="2">
        <f>SQRT((D71^2)+81)</f>
        <v>10.374275878344474</v>
      </c>
      <c r="E72" s="2">
        <f>SQRT((E71^2)+81)</f>
        <v>15.694845141000915</v>
      </c>
      <c r="F72" s="2">
        <f>SQRT((F71^2)+81)</f>
        <v>10.680543104168439</v>
      </c>
      <c r="G72" s="2">
        <f>SQRT((G71^2)+81)</f>
        <v>16.630701278057998</v>
      </c>
    </row>
    <row r="73" spans="1:7" x14ac:dyDescent="0.2">
      <c r="A73" s="3" t="s">
        <v>59</v>
      </c>
      <c r="E73" s="2">
        <f>E70/$E$4</f>
        <v>1.3660422410522319</v>
      </c>
      <c r="F73" s="2">
        <f>F70/$E$4</f>
        <v>1.9476028835209303</v>
      </c>
      <c r="G73" s="2">
        <f>G70/$E$4</f>
        <v>1.3358259769824201</v>
      </c>
    </row>
    <row r="75" spans="1:7" x14ac:dyDescent="0.2">
      <c r="A75" s="4" t="s">
        <v>86</v>
      </c>
      <c r="C75" s="2">
        <v>1</v>
      </c>
    </row>
    <row r="76" spans="1:7" x14ac:dyDescent="0.2">
      <c r="A76" s="3" t="s">
        <v>63</v>
      </c>
      <c r="C76" s="2">
        <v>448.53899999999999</v>
      </c>
      <c r="D76" s="2">
        <v>359.25400000000002</v>
      </c>
    </row>
    <row r="77" spans="1:7" x14ac:dyDescent="0.2">
      <c r="A77" s="3" t="s">
        <v>62</v>
      </c>
      <c r="C77" s="2">
        <f>C76-B7</f>
        <v>223.95599999999999</v>
      </c>
      <c r="D77" s="2">
        <f>D76-B7</f>
        <v>134.67100000000002</v>
      </c>
    </row>
    <row r="78" spans="1:7" x14ac:dyDescent="0.2">
      <c r="A78" s="3" t="s">
        <v>61</v>
      </c>
      <c r="C78" s="2">
        <v>9.8680000000000003</v>
      </c>
      <c r="D78" s="2">
        <v>7.3280000000000003</v>
      </c>
    </row>
    <row r="79" spans="1:7" x14ac:dyDescent="0.2">
      <c r="A79" s="3" t="s">
        <v>60</v>
      </c>
      <c r="C79" s="2">
        <f>SQRT((C78^2)+121)</f>
        <v>14.777598722390591</v>
      </c>
      <c r="D79" s="2">
        <f>SQRT((D78^2)+121)</f>
        <v>13.217397020593729</v>
      </c>
    </row>
    <row r="80" spans="1:7" x14ac:dyDescent="0.2">
      <c r="A80" s="3" t="s">
        <v>59</v>
      </c>
      <c r="D80" s="2">
        <f>D77/$E$4</f>
        <v>0.20438244593398253</v>
      </c>
    </row>
    <row r="82" spans="1:9" x14ac:dyDescent="0.2">
      <c r="A82" s="4" t="s">
        <v>85</v>
      </c>
      <c r="C82" s="2">
        <v>1</v>
      </c>
      <c r="D82" s="2">
        <v>1</v>
      </c>
    </row>
    <row r="83" spans="1:9" x14ac:dyDescent="0.2">
      <c r="A83" s="3" t="s">
        <v>63</v>
      </c>
      <c r="C83" s="2">
        <v>772.48400000000004</v>
      </c>
      <c r="D83" s="2">
        <v>502.16399999999999</v>
      </c>
      <c r="E83" s="2">
        <v>489.91800000000001</v>
      </c>
    </row>
    <row r="84" spans="1:9" x14ac:dyDescent="0.2">
      <c r="A84" s="3" t="s">
        <v>62</v>
      </c>
      <c r="C84" s="2">
        <f>C83-$B$7</f>
        <v>547.90100000000007</v>
      </c>
      <c r="D84" s="2">
        <f>D83-$B$7</f>
        <v>277.58100000000002</v>
      </c>
      <c r="E84" s="2">
        <f>E83-$B$7</f>
        <v>265.33500000000004</v>
      </c>
    </row>
    <row r="85" spans="1:9" x14ac:dyDescent="0.2">
      <c r="A85" s="3" t="s">
        <v>61</v>
      </c>
      <c r="C85" s="2">
        <v>1.29</v>
      </c>
      <c r="D85" s="2">
        <v>7.3090000000000002</v>
      </c>
      <c r="E85" s="2">
        <v>2.758</v>
      </c>
    </row>
    <row r="86" spans="1:9" x14ac:dyDescent="0.2">
      <c r="A86" s="3" t="s">
        <v>60</v>
      </c>
      <c r="C86" s="2">
        <f>SQRT((C85^2)+144)</f>
        <v>12.069138328812045</v>
      </c>
      <c r="D86" s="2">
        <f>SQRT((D85^2)+144)</f>
        <v>14.050675464190325</v>
      </c>
      <c r="E86" s="2">
        <f>SQRT((E85^2)+144)</f>
        <v>12.312861730726938</v>
      </c>
    </row>
    <row r="87" spans="1:9" x14ac:dyDescent="0.2">
      <c r="A87" s="3" t="s">
        <v>59</v>
      </c>
      <c r="E87" s="2">
        <f>E84/$E$4</f>
        <v>0.40268369798912351</v>
      </c>
    </row>
    <row r="89" spans="1:9" x14ac:dyDescent="0.2">
      <c r="A89" s="4" t="s">
        <v>84</v>
      </c>
      <c r="C89" s="2">
        <v>1</v>
      </c>
      <c r="D89" s="2">
        <v>1</v>
      </c>
      <c r="E89" s="2">
        <v>1</v>
      </c>
      <c r="F89" s="2">
        <v>1</v>
      </c>
    </row>
    <row r="90" spans="1:9" x14ac:dyDescent="0.2">
      <c r="A90" s="3" t="s">
        <v>63</v>
      </c>
      <c r="C90" s="2">
        <v>1269.758</v>
      </c>
      <c r="D90" s="2">
        <v>756.54300000000001</v>
      </c>
      <c r="E90" s="2">
        <v>1234.633</v>
      </c>
      <c r="F90" s="2">
        <v>520.23</v>
      </c>
      <c r="G90" s="2">
        <v>2124.7579999999998</v>
      </c>
      <c r="H90" s="2">
        <v>1648.3009999999999</v>
      </c>
      <c r="I90" s="2">
        <v>1850.6949999999999</v>
      </c>
    </row>
    <row r="91" spans="1:9" x14ac:dyDescent="0.2">
      <c r="A91" s="3" t="s">
        <v>62</v>
      </c>
      <c r="C91" s="2">
        <f t="shared" ref="C91:I91" si="17">C90-$B$7</f>
        <v>1045.175</v>
      </c>
      <c r="D91" s="2">
        <f t="shared" si="17"/>
        <v>531.96</v>
      </c>
      <c r="E91" s="2">
        <f t="shared" si="17"/>
        <v>1010.0500000000001</v>
      </c>
      <c r="F91" s="2">
        <f t="shared" si="17"/>
        <v>295.64700000000005</v>
      </c>
      <c r="G91" s="2">
        <f t="shared" si="17"/>
        <v>1900.1749999999997</v>
      </c>
      <c r="H91" s="2">
        <f t="shared" si="17"/>
        <v>1423.7179999999998</v>
      </c>
      <c r="I91" s="2">
        <f t="shared" si="17"/>
        <v>1626.1119999999999</v>
      </c>
    </row>
    <row r="92" spans="1:9" x14ac:dyDescent="0.2">
      <c r="A92" s="3" t="s">
        <v>61</v>
      </c>
      <c r="C92" s="2">
        <v>1.5920000000000001</v>
      </c>
      <c r="D92" s="2">
        <v>3.335</v>
      </c>
      <c r="E92" s="2">
        <v>9.6859999999999999</v>
      </c>
      <c r="F92" s="2">
        <v>9.2210000000000001</v>
      </c>
      <c r="G92" s="2">
        <v>2.7829999999999999</v>
      </c>
      <c r="H92" s="2">
        <v>2.2629999999999999</v>
      </c>
      <c r="I92" s="2">
        <v>6.6950000000000003</v>
      </c>
    </row>
    <row r="93" spans="1:9" x14ac:dyDescent="0.2">
      <c r="A93" s="3" t="s">
        <v>60</v>
      </c>
      <c r="C93" s="2">
        <f t="shared" ref="C93:I93" si="18">SQRT((C92^2)+1)</f>
        <v>1.8800170211995424</v>
      </c>
      <c r="D93" s="2">
        <f t="shared" si="18"/>
        <v>3.4816985797165154</v>
      </c>
      <c r="E93" s="2">
        <f t="shared" si="18"/>
        <v>9.7374840693066087</v>
      </c>
      <c r="F93" s="2">
        <f t="shared" si="18"/>
        <v>9.2750655523289964</v>
      </c>
      <c r="G93" s="2">
        <f t="shared" si="18"/>
        <v>2.9572096645317525</v>
      </c>
      <c r="H93" s="2">
        <f t="shared" si="18"/>
        <v>2.4740996342103929</v>
      </c>
      <c r="I93" s="2">
        <f t="shared" si="18"/>
        <v>6.7692706401797826</v>
      </c>
    </row>
    <row r="94" spans="1:9" x14ac:dyDescent="0.2">
      <c r="A94" s="3" t="s">
        <v>59</v>
      </c>
      <c r="G94" s="2">
        <f>G91/$E$4</f>
        <v>2.8837865182749449</v>
      </c>
      <c r="H94" s="2">
        <f>H91/$E$4</f>
        <v>2.1606950803085865</v>
      </c>
      <c r="I94" s="2">
        <f>I91/$E$4</f>
        <v>2.467856835715188</v>
      </c>
    </row>
    <row r="96" spans="1:9" x14ac:dyDescent="0.2">
      <c r="A96" s="4" t="s">
        <v>83</v>
      </c>
      <c r="C96" s="2">
        <v>1</v>
      </c>
    </row>
    <row r="97" spans="1:9" x14ac:dyDescent="0.2">
      <c r="A97" s="3" t="s">
        <v>63</v>
      </c>
      <c r="C97" s="2">
        <v>1475.0509999999999</v>
      </c>
      <c r="D97" s="2">
        <v>2652.3670000000002</v>
      </c>
      <c r="E97" s="2">
        <v>2349.605</v>
      </c>
      <c r="F97" s="2">
        <v>3133.1909999999998</v>
      </c>
      <c r="G97" s="2">
        <v>2249.172</v>
      </c>
      <c r="H97" s="2">
        <v>1628.9380000000001</v>
      </c>
      <c r="I97" s="2">
        <v>707.70299999999997</v>
      </c>
    </row>
    <row r="98" spans="1:9" x14ac:dyDescent="0.2">
      <c r="A98" s="3" t="s">
        <v>62</v>
      </c>
      <c r="C98" s="2">
        <f t="shared" ref="C98:I98" si="19">C97-$B$7</f>
        <v>1250.4679999999998</v>
      </c>
      <c r="D98" s="2">
        <f t="shared" si="19"/>
        <v>2427.7840000000001</v>
      </c>
      <c r="E98" s="2">
        <f t="shared" si="19"/>
        <v>2125.0219999999999</v>
      </c>
      <c r="F98" s="2">
        <f t="shared" si="19"/>
        <v>2908.6079999999997</v>
      </c>
      <c r="G98" s="2">
        <f t="shared" si="19"/>
        <v>2024.5889999999999</v>
      </c>
      <c r="H98" s="2">
        <f t="shared" si="19"/>
        <v>1404.355</v>
      </c>
      <c r="I98" s="2">
        <f t="shared" si="19"/>
        <v>483.12</v>
      </c>
    </row>
    <row r="99" spans="1:9" x14ac:dyDescent="0.2">
      <c r="A99" s="3" t="s">
        <v>61</v>
      </c>
      <c r="C99" s="2">
        <v>1.0389999999999999</v>
      </c>
      <c r="D99" s="2">
        <v>2.7890000000000001</v>
      </c>
      <c r="E99" s="2">
        <v>2.7970000000000002</v>
      </c>
      <c r="F99" s="2">
        <v>0.185</v>
      </c>
      <c r="G99" s="2">
        <v>3.161</v>
      </c>
      <c r="H99" s="2">
        <v>9.2119999999999997</v>
      </c>
      <c r="I99" s="2">
        <v>1.5209999999999999</v>
      </c>
    </row>
    <row r="100" spans="1:9" x14ac:dyDescent="0.2">
      <c r="A100" s="3" t="s">
        <v>60</v>
      </c>
      <c r="C100" s="2">
        <f t="shared" ref="C100:I100" si="20">SQRT((C99^2)+4)</f>
        <v>2.2537792704699364</v>
      </c>
      <c r="D100" s="2">
        <f t="shared" si="20"/>
        <v>3.4319849941396892</v>
      </c>
      <c r="E100" s="2">
        <f t="shared" si="20"/>
        <v>3.4384893485366508</v>
      </c>
      <c r="F100" s="2">
        <f t="shared" si="20"/>
        <v>2.008538025530012</v>
      </c>
      <c r="G100" s="2">
        <f t="shared" si="20"/>
        <v>3.7405776291904438</v>
      </c>
      <c r="H100" s="2">
        <f t="shared" si="20"/>
        <v>9.4266082977919474</v>
      </c>
      <c r="I100" s="2">
        <f t="shared" si="20"/>
        <v>2.512656164301037</v>
      </c>
    </row>
    <row r="101" spans="1:9" x14ac:dyDescent="0.2">
      <c r="A101" s="3" t="s">
        <v>59</v>
      </c>
      <c r="D101" s="2">
        <f t="shared" ref="D101:I101" si="21">D98/$E$4</f>
        <v>3.6845084102693808</v>
      </c>
      <c r="E101" s="2">
        <f t="shared" si="21"/>
        <v>3.2250239028708729</v>
      </c>
      <c r="F101" s="2">
        <f t="shared" si="21"/>
        <v>4.414227393448841</v>
      </c>
      <c r="G101" s="2">
        <f t="shared" si="21"/>
        <v>3.0726025041102809</v>
      </c>
      <c r="H101" s="2">
        <f t="shared" si="21"/>
        <v>2.1313089667383327</v>
      </c>
      <c r="I101" s="2">
        <f t="shared" si="21"/>
        <v>0.73320349057796863</v>
      </c>
    </row>
    <row r="103" spans="1:9" x14ac:dyDescent="0.2">
      <c r="A103" s="4" t="s">
        <v>82</v>
      </c>
      <c r="C103" s="2">
        <v>1</v>
      </c>
      <c r="D103" s="2">
        <v>1</v>
      </c>
      <c r="E103" s="2">
        <v>1</v>
      </c>
    </row>
    <row r="104" spans="1:9" x14ac:dyDescent="0.2">
      <c r="A104" s="3" t="s">
        <v>63</v>
      </c>
      <c r="C104" s="2">
        <v>984.54300000000001</v>
      </c>
      <c r="D104" s="2">
        <v>867.33199999999999</v>
      </c>
      <c r="E104" s="2">
        <v>854.06600000000003</v>
      </c>
      <c r="F104" s="2">
        <v>1900.258</v>
      </c>
      <c r="G104" s="2">
        <v>1586.5119999999999</v>
      </c>
    </row>
    <row r="105" spans="1:9" x14ac:dyDescent="0.2">
      <c r="A105" s="3" t="s">
        <v>62</v>
      </c>
      <c r="C105" s="2">
        <f>C104-$B$7</f>
        <v>759.96</v>
      </c>
      <c r="D105" s="2">
        <f>D104-$B$7</f>
        <v>642.74900000000002</v>
      </c>
      <c r="E105" s="2">
        <f>E104-$B$7</f>
        <v>629.48300000000006</v>
      </c>
      <c r="F105" s="2">
        <f>F104-$B$7</f>
        <v>1675.675</v>
      </c>
      <c r="G105" s="2">
        <f>G104-$B$7</f>
        <v>1361.9289999999999</v>
      </c>
    </row>
    <row r="106" spans="1:9" x14ac:dyDescent="0.2">
      <c r="A106" s="3" t="s">
        <v>61</v>
      </c>
      <c r="C106" s="2">
        <v>6.5000000000000002E-2</v>
      </c>
      <c r="D106" s="2">
        <v>3.2850000000000001</v>
      </c>
      <c r="E106" s="2">
        <v>9.35</v>
      </c>
      <c r="F106" s="2">
        <v>1.351</v>
      </c>
      <c r="G106" s="2">
        <v>9.5150000000000006</v>
      </c>
    </row>
    <row r="107" spans="1:9" x14ac:dyDescent="0.2">
      <c r="A107" s="3" t="s">
        <v>60</v>
      </c>
      <c r="C107" s="2">
        <f>SQRT((C106^2)+9)</f>
        <v>3.0007040840442762</v>
      </c>
      <c r="D107" s="2">
        <f>SQRT((D106^2)+9)</f>
        <v>4.4487329656880963</v>
      </c>
      <c r="E107" s="2">
        <f>SQRT((E106^2)+9)</f>
        <v>9.8194959137422124</v>
      </c>
      <c r="F107" s="2">
        <f>SQRT((F106^2)+9)</f>
        <v>3.2901673209732056</v>
      </c>
      <c r="G107" s="2">
        <f>SQRT((G106^2)+9)</f>
        <v>9.9767341850928357</v>
      </c>
    </row>
    <row r="108" spans="1:9" x14ac:dyDescent="0.2">
      <c r="A108" s="3" t="s">
        <v>59</v>
      </c>
      <c r="F108" s="2">
        <f>F105/$E$4</f>
        <v>2.5430757556595416</v>
      </c>
      <c r="G108" s="2">
        <f>G105/$E$4</f>
        <v>2.0669214619956993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CE52-B6C1-A140-B199-DABCA01ECB47}">
  <dimension ref="A1:Y45"/>
  <sheetViews>
    <sheetView workbookViewId="0">
      <selection activeCell="M17" sqref="M17"/>
    </sheetView>
  </sheetViews>
  <sheetFormatPr baseColWidth="10" defaultRowHeight="16" x14ac:dyDescent="0.2"/>
  <cols>
    <col min="1" max="16384" width="10.83203125" style="2"/>
  </cols>
  <sheetData>
    <row r="1" spans="1:25" x14ac:dyDescent="0.2">
      <c r="A1" s="2" t="s">
        <v>75</v>
      </c>
      <c r="C1" s="6">
        <v>45166</v>
      </c>
    </row>
    <row r="3" spans="1:25" x14ac:dyDescent="0.2">
      <c r="A3" s="2" t="s">
        <v>74</v>
      </c>
    </row>
    <row r="4" spans="1:25" x14ac:dyDescent="0.2">
      <c r="A4" s="2" t="s">
        <v>27</v>
      </c>
      <c r="B4" s="2">
        <v>48.741</v>
      </c>
      <c r="D4" s="2" t="s">
        <v>73</v>
      </c>
      <c r="E4" s="2">
        <f>AVERAGE(C8,D8,E8,F8,G8,H8,I8,J8,K8,L8,M8,N8,O8,P8,C14,D14,C21,C28,D28,E28,F28,G28,H28,I28,J28,K28,L28,M28,N28,O28,P28,Q28,R28,S28,C35,D35,E35,F35,G35,H35,C42,D42)</f>
        <v>118.30809523809528</v>
      </c>
      <c r="G4" s="2" t="s">
        <v>72</v>
      </c>
    </row>
    <row r="5" spans="1:25" ht="17" thickBot="1" x14ac:dyDescent="0.25"/>
    <row r="6" spans="1:25" ht="17" thickBot="1" x14ac:dyDescent="0.25">
      <c r="A6" s="4" t="s">
        <v>102</v>
      </c>
      <c r="B6" s="5" t="s">
        <v>70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</row>
    <row r="7" spans="1:25" x14ac:dyDescent="0.2">
      <c r="A7" s="3" t="s">
        <v>63</v>
      </c>
      <c r="B7" s="2">
        <v>214.07900000000001</v>
      </c>
      <c r="C7" s="2">
        <v>256.70699999999999</v>
      </c>
      <c r="D7" s="2">
        <v>294.23399999999998</v>
      </c>
      <c r="E7" s="2">
        <v>389.19900000000001</v>
      </c>
      <c r="F7" s="2">
        <v>265.15600000000001</v>
      </c>
      <c r="G7" s="2">
        <v>274.39100000000002</v>
      </c>
      <c r="H7" s="2">
        <v>336.56599999999997</v>
      </c>
      <c r="I7" s="2">
        <v>447.99200000000002</v>
      </c>
      <c r="J7" s="2">
        <v>418.65199999999999</v>
      </c>
      <c r="K7" s="2">
        <v>441.85199999999998</v>
      </c>
      <c r="L7" s="2">
        <v>479.61700000000002</v>
      </c>
      <c r="M7" s="2">
        <v>396.43</v>
      </c>
      <c r="N7" s="2">
        <v>399.56200000000001</v>
      </c>
      <c r="O7" s="2">
        <v>261.16399999999999</v>
      </c>
      <c r="P7" s="2">
        <v>243.49600000000001</v>
      </c>
      <c r="Q7" s="2">
        <v>382.20299999999997</v>
      </c>
      <c r="R7" s="2">
        <v>339.262</v>
      </c>
      <c r="S7" s="2">
        <v>452.16399999999999</v>
      </c>
      <c r="T7" s="2">
        <v>414.25400000000002</v>
      </c>
      <c r="U7" s="2">
        <v>443.28500000000003</v>
      </c>
      <c r="V7" s="2">
        <v>308.69900000000001</v>
      </c>
      <c r="W7" s="2">
        <v>579.73400000000004</v>
      </c>
      <c r="X7" s="2">
        <v>318.82400000000001</v>
      </c>
      <c r="Y7" s="2">
        <v>245.93199999999999</v>
      </c>
    </row>
    <row r="8" spans="1:25" x14ac:dyDescent="0.2">
      <c r="A8" s="3" t="s">
        <v>62</v>
      </c>
      <c r="C8" s="2">
        <f t="shared" ref="C8:Y8" si="0">C7-$B$7</f>
        <v>42.627999999999986</v>
      </c>
      <c r="D8" s="2">
        <f t="shared" si="0"/>
        <v>80.154999999999973</v>
      </c>
      <c r="E8" s="2">
        <f t="shared" si="0"/>
        <v>175.12</v>
      </c>
      <c r="F8" s="2">
        <f t="shared" si="0"/>
        <v>51.076999999999998</v>
      </c>
      <c r="G8" s="2">
        <f t="shared" si="0"/>
        <v>60.312000000000012</v>
      </c>
      <c r="H8" s="2">
        <f t="shared" si="0"/>
        <v>122.48699999999997</v>
      </c>
      <c r="I8" s="2">
        <f t="shared" si="0"/>
        <v>233.91300000000001</v>
      </c>
      <c r="J8" s="2">
        <f t="shared" si="0"/>
        <v>204.57299999999998</v>
      </c>
      <c r="K8" s="2">
        <f t="shared" si="0"/>
        <v>227.77299999999997</v>
      </c>
      <c r="L8" s="2">
        <f t="shared" si="0"/>
        <v>265.53800000000001</v>
      </c>
      <c r="M8" s="2">
        <f t="shared" si="0"/>
        <v>182.351</v>
      </c>
      <c r="N8" s="2">
        <f t="shared" si="0"/>
        <v>185.483</v>
      </c>
      <c r="O8" s="2">
        <f t="shared" si="0"/>
        <v>47.08499999999998</v>
      </c>
      <c r="P8" s="2">
        <f t="shared" si="0"/>
        <v>29.417000000000002</v>
      </c>
      <c r="Q8" s="2">
        <f t="shared" si="0"/>
        <v>168.12399999999997</v>
      </c>
      <c r="R8" s="2">
        <f t="shared" si="0"/>
        <v>125.18299999999999</v>
      </c>
      <c r="S8" s="2">
        <f t="shared" si="0"/>
        <v>238.08499999999998</v>
      </c>
      <c r="T8" s="2">
        <f t="shared" si="0"/>
        <v>200.17500000000001</v>
      </c>
      <c r="U8" s="2">
        <f t="shared" si="0"/>
        <v>229.20600000000002</v>
      </c>
      <c r="V8" s="2">
        <f t="shared" si="0"/>
        <v>94.62</v>
      </c>
      <c r="W8" s="2">
        <f t="shared" si="0"/>
        <v>365.65500000000003</v>
      </c>
      <c r="X8" s="2">
        <f t="shared" si="0"/>
        <v>104.745</v>
      </c>
      <c r="Y8" s="2">
        <f t="shared" si="0"/>
        <v>31.85299999999998</v>
      </c>
    </row>
    <row r="9" spans="1:25" x14ac:dyDescent="0.2">
      <c r="A9" s="3" t="s">
        <v>61</v>
      </c>
      <c r="C9" s="2">
        <v>17.73</v>
      </c>
      <c r="D9" s="2">
        <v>1.8149999999999999</v>
      </c>
      <c r="E9" s="2">
        <v>1.143</v>
      </c>
      <c r="F9" s="2">
        <v>3.8940000000000001</v>
      </c>
      <c r="G9" s="2">
        <v>3.0419999999999998</v>
      </c>
      <c r="H9" s="2">
        <v>2.7320000000000002</v>
      </c>
      <c r="I9" s="2">
        <v>3.2280000000000002</v>
      </c>
      <c r="J9" s="2">
        <v>3.3290000000000002</v>
      </c>
      <c r="K9" s="2">
        <v>4.0890000000000004</v>
      </c>
      <c r="L9" s="2">
        <v>4.4630000000000001</v>
      </c>
      <c r="M9" s="2">
        <v>4.8860000000000001</v>
      </c>
      <c r="N9" s="2">
        <v>16.334</v>
      </c>
      <c r="O9" s="2">
        <v>16.888999999999999</v>
      </c>
      <c r="P9" s="2">
        <v>20.079000000000001</v>
      </c>
      <c r="Q9" s="2">
        <v>5.5190000000000001</v>
      </c>
      <c r="R9" s="2">
        <v>5.69</v>
      </c>
      <c r="S9" s="2">
        <v>4.57</v>
      </c>
      <c r="T9" s="2">
        <v>4.71</v>
      </c>
      <c r="U9" s="2">
        <v>4.2279999999999998</v>
      </c>
      <c r="V9" s="2">
        <v>2.5449999999999999</v>
      </c>
      <c r="W9" s="2">
        <v>3.8319999999999999</v>
      </c>
      <c r="X9" s="2">
        <v>4.9459999999999997</v>
      </c>
      <c r="Y9" s="2">
        <v>12.487</v>
      </c>
    </row>
    <row r="10" spans="1:25" x14ac:dyDescent="0.2">
      <c r="A10" s="3" t="s">
        <v>59</v>
      </c>
      <c r="Q10" s="2">
        <f t="shared" ref="Q10:Y10" si="1">Q8/$E$4</f>
        <v>1.4210692823821571</v>
      </c>
      <c r="R10" s="2">
        <f t="shared" si="1"/>
        <v>1.0581101804408986</v>
      </c>
      <c r="S10" s="2">
        <f t="shared" si="1"/>
        <v>2.0124151227424756</v>
      </c>
      <c r="T10" s="2">
        <f t="shared" si="1"/>
        <v>1.6919805833839809</v>
      </c>
      <c r="U10" s="2">
        <f t="shared" si="1"/>
        <v>1.9373653133263831</v>
      </c>
      <c r="V10" s="2">
        <f t="shared" si="1"/>
        <v>0.7997762098153729</v>
      </c>
      <c r="W10" s="2">
        <f t="shared" si="1"/>
        <v>3.090701437328685</v>
      </c>
      <c r="X10" s="2">
        <f t="shared" si="1"/>
        <v>0.88535784292022013</v>
      </c>
      <c r="Y10" s="2">
        <f t="shared" si="1"/>
        <v>0.26923770462110608</v>
      </c>
    </row>
    <row r="12" spans="1:25" x14ac:dyDescent="0.2">
      <c r="A12" s="4" t="s">
        <v>101</v>
      </c>
      <c r="C12" s="2">
        <v>1</v>
      </c>
      <c r="D12" s="2">
        <v>1</v>
      </c>
    </row>
    <row r="13" spans="1:25" x14ac:dyDescent="0.2">
      <c r="A13" s="3" t="s">
        <v>63</v>
      </c>
      <c r="C13" s="2">
        <v>296.66000000000003</v>
      </c>
      <c r="D13" s="2">
        <v>304.488</v>
      </c>
      <c r="E13" s="2">
        <v>247.44900000000001</v>
      </c>
      <c r="F13" s="2">
        <v>248.00800000000001</v>
      </c>
      <c r="G13" s="2">
        <v>303.29300000000001</v>
      </c>
      <c r="H13" s="2">
        <v>320.125</v>
      </c>
      <c r="I13" s="2">
        <v>245.84</v>
      </c>
    </row>
    <row r="14" spans="1:25" x14ac:dyDescent="0.2">
      <c r="A14" s="3" t="s">
        <v>62</v>
      </c>
      <c r="C14" s="2">
        <f t="shared" ref="C14:I14" si="2">C13-$B$7</f>
        <v>82.581000000000017</v>
      </c>
      <c r="D14" s="2">
        <f t="shared" si="2"/>
        <v>90.408999999999992</v>
      </c>
      <c r="E14" s="2">
        <f t="shared" si="2"/>
        <v>33.370000000000005</v>
      </c>
      <c r="F14" s="2">
        <f t="shared" si="2"/>
        <v>33.929000000000002</v>
      </c>
      <c r="G14" s="2">
        <f t="shared" si="2"/>
        <v>89.213999999999999</v>
      </c>
      <c r="H14" s="2">
        <f t="shared" si="2"/>
        <v>106.04599999999999</v>
      </c>
      <c r="I14" s="2">
        <f t="shared" si="2"/>
        <v>31.760999999999996</v>
      </c>
    </row>
    <row r="15" spans="1:25" x14ac:dyDescent="0.2">
      <c r="A15" s="3" t="s">
        <v>61</v>
      </c>
      <c r="C15" s="2">
        <v>1.9970000000000001</v>
      </c>
      <c r="D15" s="2">
        <v>3.5350000000000001</v>
      </c>
      <c r="E15" s="2">
        <v>17.687999999999999</v>
      </c>
      <c r="F15" s="2">
        <v>3.0110000000000001</v>
      </c>
      <c r="G15" s="2">
        <v>3.8380000000000001</v>
      </c>
      <c r="H15" s="2">
        <v>3.871</v>
      </c>
      <c r="I15" s="2">
        <v>16.210999999999999</v>
      </c>
    </row>
    <row r="16" spans="1:25" x14ac:dyDescent="0.2">
      <c r="A16" s="3" t="s">
        <v>60</v>
      </c>
      <c r="C16" s="2">
        <f t="shared" ref="C16:I16" si="3">SQRT((C15^2)+1)</f>
        <v>2.2333850989025605</v>
      </c>
      <c r="D16" s="2">
        <f t="shared" si="3"/>
        <v>3.673720865825274</v>
      </c>
      <c r="E16" s="2">
        <f t="shared" si="3"/>
        <v>17.716245200380353</v>
      </c>
      <c r="F16" s="2">
        <f t="shared" si="3"/>
        <v>3.1727150833316249</v>
      </c>
      <c r="G16" s="2">
        <f t="shared" si="3"/>
        <v>3.9661371635383467</v>
      </c>
      <c r="H16" s="2">
        <f t="shared" si="3"/>
        <v>3.9980796640387246</v>
      </c>
      <c r="I16" s="2">
        <f t="shared" si="3"/>
        <v>16.241813968889065</v>
      </c>
    </row>
    <row r="17" spans="1:24" x14ac:dyDescent="0.2">
      <c r="A17" s="3" t="s">
        <v>59</v>
      </c>
      <c r="E17" s="2">
        <f>E14/$E$4</f>
        <v>0.28206015769963005</v>
      </c>
      <c r="F17" s="2">
        <f>F14/$E$4</f>
        <v>0.28678510909771493</v>
      </c>
      <c r="G17" s="2">
        <f>G14/$E$4</f>
        <v>0.75408195711761439</v>
      </c>
      <c r="H17" s="2">
        <f>H14/$E$4</f>
        <v>0.89635455449250712</v>
      </c>
      <c r="I17" s="2">
        <f>I14/$E$4</f>
        <v>0.2684600739795609</v>
      </c>
    </row>
    <row r="19" spans="1:24" x14ac:dyDescent="0.2">
      <c r="A19" s="4" t="s">
        <v>100</v>
      </c>
      <c r="C19" s="2">
        <v>1</v>
      </c>
    </row>
    <row r="20" spans="1:24" x14ac:dyDescent="0.2">
      <c r="A20" s="3" t="s">
        <v>63</v>
      </c>
      <c r="C20" s="2">
        <v>277.42599999999999</v>
      </c>
    </row>
    <row r="21" spans="1:24" x14ac:dyDescent="0.2">
      <c r="A21" s="3" t="s">
        <v>62</v>
      </c>
      <c r="C21" s="2">
        <f>C20-B7</f>
        <v>63.34699999999998</v>
      </c>
    </row>
    <row r="22" spans="1:24" x14ac:dyDescent="0.2">
      <c r="A22" s="3" t="s">
        <v>61</v>
      </c>
      <c r="C22" s="2">
        <v>8.2370000000000001</v>
      </c>
    </row>
    <row r="23" spans="1:24" x14ac:dyDescent="0.2">
      <c r="A23" s="3" t="s">
        <v>60</v>
      </c>
      <c r="C23" s="2">
        <f>SQRT((C22^2)+4)</f>
        <v>8.4763299251503881</v>
      </c>
    </row>
    <row r="24" spans="1:24" x14ac:dyDescent="0.2">
      <c r="A24" s="3" t="s">
        <v>59</v>
      </c>
    </row>
    <row r="26" spans="1:24" x14ac:dyDescent="0.2">
      <c r="A26" s="4" t="s">
        <v>99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</row>
    <row r="27" spans="1:24" x14ac:dyDescent="0.2">
      <c r="A27" s="3" t="s">
        <v>63</v>
      </c>
      <c r="C27" s="2">
        <v>307.04700000000003</v>
      </c>
      <c r="D27" s="2">
        <v>242.62899999999999</v>
      </c>
      <c r="E27" s="2">
        <v>323.35899999999998</v>
      </c>
      <c r="F27" s="2">
        <v>327.113</v>
      </c>
      <c r="G27" s="2">
        <v>396.85199999999998</v>
      </c>
      <c r="H27" s="2">
        <v>283.91800000000001</v>
      </c>
      <c r="I27" s="2">
        <v>348.387</v>
      </c>
      <c r="J27" s="2">
        <v>379.35899999999998</v>
      </c>
      <c r="K27" s="2">
        <v>318.29700000000003</v>
      </c>
      <c r="L27" s="2">
        <v>378.93799999999999</v>
      </c>
      <c r="M27" s="2">
        <v>333.07</v>
      </c>
      <c r="N27" s="2">
        <v>385.03899999999999</v>
      </c>
      <c r="O27" s="2">
        <v>332.71899999999999</v>
      </c>
      <c r="P27" s="2">
        <v>337.39100000000002</v>
      </c>
      <c r="Q27" s="2">
        <v>277.43400000000003</v>
      </c>
      <c r="R27" s="2">
        <v>290.39499999999998</v>
      </c>
      <c r="S27" s="2">
        <v>365.35899999999998</v>
      </c>
      <c r="T27" s="2">
        <v>548.40200000000004</v>
      </c>
      <c r="U27" s="2">
        <v>405.738</v>
      </c>
      <c r="V27" s="2">
        <v>326.77</v>
      </c>
      <c r="W27" s="2">
        <v>465.012</v>
      </c>
      <c r="X27" s="2">
        <v>401.75400000000002</v>
      </c>
    </row>
    <row r="28" spans="1:24" x14ac:dyDescent="0.2">
      <c r="A28" s="3" t="s">
        <v>62</v>
      </c>
      <c r="C28" s="2">
        <f t="shared" ref="C28:X28" si="4">C27-$B$7</f>
        <v>92.968000000000018</v>
      </c>
      <c r="D28" s="2">
        <f t="shared" si="4"/>
        <v>28.549999999999983</v>
      </c>
      <c r="E28" s="2">
        <f t="shared" si="4"/>
        <v>109.27999999999997</v>
      </c>
      <c r="F28" s="2">
        <f t="shared" si="4"/>
        <v>113.03399999999999</v>
      </c>
      <c r="G28" s="2">
        <f t="shared" si="4"/>
        <v>182.77299999999997</v>
      </c>
      <c r="H28" s="2">
        <f t="shared" si="4"/>
        <v>69.838999999999999</v>
      </c>
      <c r="I28" s="2">
        <f t="shared" si="4"/>
        <v>134.30799999999999</v>
      </c>
      <c r="J28" s="2">
        <f t="shared" si="4"/>
        <v>165.27999999999997</v>
      </c>
      <c r="K28" s="2">
        <f t="shared" si="4"/>
        <v>104.21800000000002</v>
      </c>
      <c r="L28" s="2">
        <f t="shared" si="4"/>
        <v>164.85899999999998</v>
      </c>
      <c r="M28" s="2">
        <f t="shared" si="4"/>
        <v>118.99099999999999</v>
      </c>
      <c r="N28" s="2">
        <f t="shared" si="4"/>
        <v>170.95999999999998</v>
      </c>
      <c r="O28" s="2">
        <f t="shared" si="4"/>
        <v>118.63999999999999</v>
      </c>
      <c r="P28" s="2">
        <f t="shared" si="4"/>
        <v>123.31200000000001</v>
      </c>
      <c r="Q28" s="2">
        <f t="shared" si="4"/>
        <v>63.355000000000018</v>
      </c>
      <c r="R28" s="2">
        <f t="shared" si="4"/>
        <v>76.315999999999974</v>
      </c>
      <c r="S28" s="2">
        <f t="shared" si="4"/>
        <v>151.27999999999997</v>
      </c>
      <c r="T28" s="2">
        <f t="shared" si="4"/>
        <v>334.32300000000004</v>
      </c>
      <c r="U28" s="2">
        <f t="shared" si="4"/>
        <v>191.65899999999999</v>
      </c>
      <c r="V28" s="2">
        <f t="shared" si="4"/>
        <v>112.69099999999997</v>
      </c>
      <c r="W28" s="2">
        <f t="shared" si="4"/>
        <v>250.93299999999999</v>
      </c>
      <c r="X28" s="2">
        <f t="shared" si="4"/>
        <v>187.67500000000001</v>
      </c>
    </row>
    <row r="29" spans="1:24" x14ac:dyDescent="0.2">
      <c r="A29" s="3" t="s">
        <v>61</v>
      </c>
      <c r="C29" s="2">
        <v>19.064</v>
      </c>
      <c r="D29" s="2">
        <v>9.1999999999999993</v>
      </c>
      <c r="E29" s="2">
        <v>6.125</v>
      </c>
      <c r="F29" s="2">
        <v>5.476</v>
      </c>
      <c r="G29" s="2">
        <v>4.9870000000000001</v>
      </c>
      <c r="H29" s="2">
        <v>3.927</v>
      </c>
      <c r="I29" s="2">
        <v>2.6419999999999999</v>
      </c>
      <c r="J29" s="2">
        <v>3.2480000000000002</v>
      </c>
      <c r="K29" s="2">
        <v>3.0110000000000001</v>
      </c>
      <c r="L29" s="2">
        <v>3.8</v>
      </c>
      <c r="M29" s="2">
        <v>4.7300000000000004</v>
      </c>
      <c r="N29" s="2">
        <v>4.2679999999999998</v>
      </c>
      <c r="O29" s="2">
        <v>4.0830000000000002</v>
      </c>
      <c r="P29" s="2">
        <v>4.8259999999999996</v>
      </c>
      <c r="Q29" s="2">
        <v>6.9039999999999999</v>
      </c>
      <c r="R29" s="2">
        <v>7.681</v>
      </c>
      <c r="S29" s="2">
        <v>16.533999999999999</v>
      </c>
      <c r="T29" s="2">
        <v>5.58</v>
      </c>
      <c r="U29" s="2">
        <v>6.282</v>
      </c>
      <c r="V29" s="2">
        <v>3.0870000000000002</v>
      </c>
      <c r="W29" s="2">
        <v>3.8639999999999999</v>
      </c>
      <c r="X29" s="2">
        <v>4.7</v>
      </c>
    </row>
    <row r="30" spans="1:24" x14ac:dyDescent="0.2">
      <c r="A30" s="3" t="s">
        <v>60</v>
      </c>
      <c r="C30" s="2">
        <f t="shared" ref="C30:X30" si="5">SQRT((C29^2)+1)</f>
        <v>19.09020942787166</v>
      </c>
      <c r="D30" s="2">
        <f t="shared" si="5"/>
        <v>9.2541882410074194</v>
      </c>
      <c r="E30" s="2">
        <f t="shared" si="5"/>
        <v>6.2060957936532049</v>
      </c>
      <c r="F30" s="2">
        <f t="shared" si="5"/>
        <v>5.5665587215082892</v>
      </c>
      <c r="G30" s="2">
        <f t="shared" si="5"/>
        <v>5.0862726037836392</v>
      </c>
      <c r="H30" s="2">
        <f t="shared" si="5"/>
        <v>4.0523239011707837</v>
      </c>
      <c r="I30" s="2">
        <f t="shared" si="5"/>
        <v>2.8249184059013102</v>
      </c>
      <c r="J30" s="2">
        <f t="shared" si="5"/>
        <v>3.3984561200639329</v>
      </c>
      <c r="K30" s="2">
        <f t="shared" si="5"/>
        <v>3.1727150833316249</v>
      </c>
      <c r="L30" s="2">
        <f t="shared" si="5"/>
        <v>3.9293765408776999</v>
      </c>
      <c r="M30" s="2">
        <f t="shared" si="5"/>
        <v>4.8345527197456439</v>
      </c>
      <c r="N30" s="2">
        <f t="shared" si="5"/>
        <v>4.3835857468515425</v>
      </c>
      <c r="O30" s="2">
        <f t="shared" si="5"/>
        <v>4.2036756535203814</v>
      </c>
      <c r="P30" s="2">
        <f t="shared" si="5"/>
        <v>4.9285166125316042</v>
      </c>
      <c r="Q30" s="2">
        <f t="shared" si="5"/>
        <v>6.9760458714088172</v>
      </c>
      <c r="R30" s="2">
        <f t="shared" si="5"/>
        <v>7.7458221642379579</v>
      </c>
      <c r="S30" s="2">
        <f t="shared" si="5"/>
        <v>16.564213111403753</v>
      </c>
      <c r="T30" s="2">
        <f t="shared" si="5"/>
        <v>5.6688976000629969</v>
      </c>
      <c r="U30" s="2">
        <f t="shared" si="5"/>
        <v>6.3610945599008355</v>
      </c>
      <c r="V30" s="2">
        <f t="shared" si="5"/>
        <v>3.2449297372978663</v>
      </c>
      <c r="W30" s="2">
        <f t="shared" si="5"/>
        <v>3.9913025442830063</v>
      </c>
      <c r="X30" s="2">
        <f t="shared" si="5"/>
        <v>4.805205510693586</v>
      </c>
    </row>
    <row r="31" spans="1:24" x14ac:dyDescent="0.2">
      <c r="A31" s="3" t="s">
        <v>59</v>
      </c>
      <c r="T31" s="2">
        <f>T28/$E$4</f>
        <v>2.8258674888406778</v>
      </c>
      <c r="U31" s="2">
        <f>U28/$E$4</f>
        <v>1.6199990339992025</v>
      </c>
      <c r="V31" s="2">
        <f>V28/$E$4</f>
        <v>0.95252146333020671</v>
      </c>
      <c r="W31" s="2">
        <f>W28/$E$4</f>
        <v>2.1210129323356686</v>
      </c>
      <c r="X31" s="2">
        <f>X28/$E$4</f>
        <v>1.5863242462175027</v>
      </c>
    </row>
    <row r="33" spans="1:12" x14ac:dyDescent="0.2">
      <c r="A33" s="4" t="s">
        <v>98</v>
      </c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</row>
    <row r="34" spans="1:12" x14ac:dyDescent="0.2">
      <c r="A34" s="3" t="s">
        <v>63</v>
      </c>
      <c r="C34" s="2">
        <v>315.02699999999999</v>
      </c>
      <c r="D34" s="2">
        <v>267.24599999999998</v>
      </c>
      <c r="E34" s="2">
        <v>287.90199999999999</v>
      </c>
      <c r="F34" s="2">
        <v>346.30900000000003</v>
      </c>
      <c r="G34" s="2">
        <v>280.17599999999999</v>
      </c>
      <c r="H34" s="2">
        <v>362.59399999999999</v>
      </c>
      <c r="I34" s="2">
        <v>269.43400000000003</v>
      </c>
      <c r="J34" s="2">
        <v>272.00400000000002</v>
      </c>
      <c r="K34" s="2">
        <v>420.24200000000002</v>
      </c>
      <c r="L34" s="2">
        <v>362.62099999999998</v>
      </c>
    </row>
    <row r="35" spans="1:12" x14ac:dyDescent="0.2">
      <c r="A35" s="3" t="s">
        <v>62</v>
      </c>
      <c r="C35" s="2">
        <f t="shared" ref="C35:L35" si="6">C34-$B$7</f>
        <v>100.94799999999998</v>
      </c>
      <c r="D35" s="2">
        <f t="shared" si="6"/>
        <v>53.166999999999973</v>
      </c>
      <c r="E35" s="2">
        <f t="shared" si="6"/>
        <v>73.822999999999979</v>
      </c>
      <c r="F35" s="2">
        <f t="shared" si="6"/>
        <v>132.23000000000002</v>
      </c>
      <c r="G35" s="2">
        <f t="shared" si="6"/>
        <v>66.09699999999998</v>
      </c>
      <c r="H35" s="2">
        <f t="shared" si="6"/>
        <v>148.51499999999999</v>
      </c>
      <c r="I35" s="2">
        <f t="shared" si="6"/>
        <v>55.355000000000018</v>
      </c>
      <c r="J35" s="2">
        <f t="shared" si="6"/>
        <v>57.925000000000011</v>
      </c>
      <c r="K35" s="2">
        <f t="shared" si="6"/>
        <v>206.16300000000001</v>
      </c>
      <c r="L35" s="2">
        <f t="shared" si="6"/>
        <v>148.54199999999997</v>
      </c>
    </row>
    <row r="36" spans="1:12" x14ac:dyDescent="0.2">
      <c r="A36" s="3" t="s">
        <v>61</v>
      </c>
      <c r="C36" s="2">
        <v>19.922000000000001</v>
      </c>
      <c r="D36" s="2">
        <v>19.277000000000001</v>
      </c>
      <c r="E36" s="2">
        <v>11.914999999999999</v>
      </c>
      <c r="F36" s="2">
        <v>8.0609999999999999</v>
      </c>
      <c r="G36" s="2">
        <v>2.9239999999999999</v>
      </c>
      <c r="H36" s="2">
        <v>3.3380000000000001</v>
      </c>
      <c r="I36" s="2">
        <v>6.1369999999999996</v>
      </c>
      <c r="J36" s="2">
        <v>5.5350000000000001</v>
      </c>
      <c r="K36" s="2">
        <v>1.8149999999999999</v>
      </c>
      <c r="L36" s="2">
        <v>2.226</v>
      </c>
    </row>
    <row r="37" spans="1:12" x14ac:dyDescent="0.2">
      <c r="A37" s="3" t="s">
        <v>60</v>
      </c>
      <c r="C37" s="2">
        <f t="shared" ref="C37:L37" si="7">SQRT((C36^2)+4)</f>
        <v>20.022139845680833</v>
      </c>
      <c r="D37" s="2">
        <f t="shared" si="7"/>
        <v>19.380472878647726</v>
      </c>
      <c r="E37" s="2">
        <f t="shared" si="7"/>
        <v>12.081689658321801</v>
      </c>
      <c r="F37" s="2">
        <f t="shared" si="7"/>
        <v>8.3054031208605394</v>
      </c>
      <c r="G37" s="2">
        <f t="shared" si="7"/>
        <v>3.5425663014261284</v>
      </c>
      <c r="H37" s="2">
        <f t="shared" si="7"/>
        <v>3.8913036376001293</v>
      </c>
      <c r="I37" s="2">
        <f t="shared" si="7"/>
        <v>6.4546703246564032</v>
      </c>
      <c r="J37" s="2">
        <f t="shared" si="7"/>
        <v>5.8852548797821838</v>
      </c>
      <c r="K37" s="2">
        <f t="shared" si="7"/>
        <v>2.7007822940770327</v>
      </c>
      <c r="L37" s="2">
        <f t="shared" si="7"/>
        <v>2.9925032999146381</v>
      </c>
    </row>
    <row r="38" spans="1:12" x14ac:dyDescent="0.2">
      <c r="A38" s="3" t="s">
        <v>59</v>
      </c>
      <c r="I38" s="2">
        <f>I35/$E$4</f>
        <v>0.46788852350803189</v>
      </c>
      <c r="J38" s="2">
        <f>J35/$E$4</f>
        <v>0.48961146642945974</v>
      </c>
      <c r="K38" s="2">
        <f>K35/$E$4</f>
        <v>1.7425941951402104</v>
      </c>
      <c r="L38" s="2">
        <f>L35/$E$4</f>
        <v>1.2555522908306394</v>
      </c>
    </row>
    <row r="40" spans="1:12" x14ac:dyDescent="0.2">
      <c r="A40" s="4" t="s">
        <v>97</v>
      </c>
      <c r="C40" s="2">
        <v>1</v>
      </c>
      <c r="D40" s="2">
        <v>1</v>
      </c>
    </row>
    <row r="41" spans="1:12" x14ac:dyDescent="0.2">
      <c r="A41" s="3" t="s">
        <v>63</v>
      </c>
      <c r="C41" s="2">
        <v>274.25400000000002</v>
      </c>
      <c r="D41" s="2">
        <v>415.85199999999998</v>
      </c>
      <c r="E41" s="2">
        <v>657.18399999999997</v>
      </c>
    </row>
    <row r="42" spans="1:12" x14ac:dyDescent="0.2">
      <c r="A42" s="3" t="s">
        <v>62</v>
      </c>
      <c r="C42" s="2">
        <f>C41-$B$7</f>
        <v>60.175000000000011</v>
      </c>
      <c r="D42" s="2">
        <f>D41-$B$7</f>
        <v>201.77299999999997</v>
      </c>
      <c r="E42" s="2">
        <f>E41-$B$7</f>
        <v>443.10499999999996</v>
      </c>
    </row>
    <row r="43" spans="1:12" x14ac:dyDescent="0.2">
      <c r="A43" s="3" t="s">
        <v>61</v>
      </c>
      <c r="C43" s="2">
        <v>6.4459999999999997</v>
      </c>
      <c r="D43" s="2">
        <v>1.5860000000000001</v>
      </c>
      <c r="E43" s="2">
        <v>2.5099999999999998</v>
      </c>
    </row>
    <row r="44" spans="1:12" x14ac:dyDescent="0.2">
      <c r="A44" s="3" t="s">
        <v>60</v>
      </c>
      <c r="C44" s="2">
        <f>SQRT((C43^2)+9)</f>
        <v>7.1099167365026146</v>
      </c>
      <c r="D44" s="2">
        <f>SQRT((D43^2)+9)</f>
        <v>3.3934342486631448</v>
      </c>
      <c r="E44" s="2">
        <f>SQRT((E43^2)+9)</f>
        <v>3.9115342258505166</v>
      </c>
    </row>
    <row r="45" spans="1:12" x14ac:dyDescent="0.2">
      <c r="A45" s="3" t="s">
        <v>59</v>
      </c>
      <c r="E45" s="2">
        <f>E42/$E$4</f>
        <v>3.7453481024121831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8388-9190-424A-8C5B-A2DCC14B6D6A}">
  <dimension ref="A1:N43"/>
  <sheetViews>
    <sheetView workbookViewId="0">
      <selection activeCell="M27" sqref="M27"/>
    </sheetView>
  </sheetViews>
  <sheetFormatPr baseColWidth="10" defaultRowHeight="16" x14ac:dyDescent="0.2"/>
  <cols>
    <col min="1" max="1" width="20.83203125" style="30" bestFit="1" customWidth="1"/>
    <col min="2" max="2" width="17.5" style="30" bestFit="1" customWidth="1"/>
    <col min="3" max="3" width="10.83203125" style="30"/>
    <col min="4" max="4" width="12.1640625" style="30" bestFit="1" customWidth="1"/>
    <col min="5" max="16384" width="10.83203125" style="30"/>
  </cols>
  <sheetData>
    <row r="1" spans="1:13" x14ac:dyDescent="0.2">
      <c r="A1" s="30" t="s">
        <v>518</v>
      </c>
      <c r="B1" s="42">
        <v>45236</v>
      </c>
      <c r="C1" s="30" t="s">
        <v>539</v>
      </c>
    </row>
    <row r="2" spans="1:13" x14ac:dyDescent="0.2">
      <c r="A2" s="30" t="s">
        <v>27</v>
      </c>
      <c r="B2" s="30">
        <v>38.593000000000004</v>
      </c>
      <c r="D2" s="30" t="s">
        <v>73</v>
      </c>
      <c r="E2" s="30">
        <f>AVERAGE(C6:E6,C12:G12,C19:E19,C33:E33,C40)</f>
        <v>1492.9537333333333</v>
      </c>
      <c r="I2" s="30" t="s">
        <v>496</v>
      </c>
      <c r="J2" s="30" t="s">
        <v>495</v>
      </c>
    </row>
    <row r="3" spans="1:13" ht="17" thickBot="1" x14ac:dyDescent="0.25"/>
    <row r="4" spans="1:13" ht="17" thickBot="1" x14ac:dyDescent="0.25">
      <c r="A4" s="41" t="s">
        <v>538</v>
      </c>
      <c r="B4" s="40" t="s">
        <v>70</v>
      </c>
      <c r="C4" s="30">
        <v>1</v>
      </c>
      <c r="D4" s="30">
        <v>1</v>
      </c>
      <c r="E4" s="30">
        <v>1</v>
      </c>
    </row>
    <row r="5" spans="1:13" x14ac:dyDescent="0.2">
      <c r="A5" s="39" t="s">
        <v>63</v>
      </c>
      <c r="B5" s="30">
        <v>439.1</v>
      </c>
      <c r="C5" s="30">
        <v>2448.692</v>
      </c>
      <c r="D5" s="30">
        <v>2549.5189999999998</v>
      </c>
      <c r="E5" s="30">
        <v>3050.2689999999998</v>
      </c>
      <c r="F5" s="30">
        <v>6270.4809999999998</v>
      </c>
      <c r="G5" s="30">
        <v>7395.692</v>
      </c>
      <c r="H5" s="30">
        <v>6769.6540000000005</v>
      </c>
      <c r="I5" s="30">
        <v>6655.0959999999995</v>
      </c>
      <c r="J5" s="30">
        <v>7906.3649999999998</v>
      </c>
    </row>
    <row r="6" spans="1:13" x14ac:dyDescent="0.2">
      <c r="A6" s="39" t="s">
        <v>62</v>
      </c>
      <c r="C6" s="30">
        <f t="shared" ref="C6:J6" si="0">C5-$B$5</f>
        <v>2009.5920000000001</v>
      </c>
      <c r="D6" s="30">
        <f t="shared" si="0"/>
        <v>2110.4189999999999</v>
      </c>
      <c r="E6" s="30">
        <f t="shared" si="0"/>
        <v>2611.1689999999999</v>
      </c>
      <c r="F6" s="30">
        <f t="shared" si="0"/>
        <v>5831.3809999999994</v>
      </c>
      <c r="G6" s="30">
        <f t="shared" si="0"/>
        <v>6956.5919999999996</v>
      </c>
      <c r="H6" s="30">
        <f t="shared" si="0"/>
        <v>6330.5540000000001</v>
      </c>
      <c r="I6" s="30">
        <f t="shared" si="0"/>
        <v>6215.9959999999992</v>
      </c>
      <c r="J6" s="30">
        <f t="shared" si="0"/>
        <v>7467.2649999999994</v>
      </c>
    </row>
    <row r="7" spans="1:13" x14ac:dyDescent="0.2">
      <c r="A7" s="39" t="s">
        <v>61</v>
      </c>
      <c r="C7" s="30">
        <v>1.61</v>
      </c>
      <c r="D7" s="30">
        <v>1.042</v>
      </c>
      <c r="E7" s="30">
        <v>2.57</v>
      </c>
      <c r="F7" s="30">
        <v>2.2330000000000001</v>
      </c>
      <c r="G7" s="30">
        <v>2.1739999999999999</v>
      </c>
      <c r="H7" s="30">
        <v>2.323</v>
      </c>
      <c r="I7" s="30">
        <v>2.5619999999999998</v>
      </c>
      <c r="J7" s="30">
        <v>2.3809999999999998</v>
      </c>
    </row>
    <row r="8" spans="1:13" x14ac:dyDescent="0.2">
      <c r="A8" s="39" t="s">
        <v>59</v>
      </c>
      <c r="F8" s="30">
        <f>F6/$E$2</f>
        <v>3.9059355087851348</v>
      </c>
      <c r="G8" s="30">
        <f>G6/$E$2</f>
        <v>4.6596166007555668</v>
      </c>
      <c r="H8" s="30">
        <f>H6/$E$2</f>
        <v>4.2402881339569092</v>
      </c>
      <c r="I8" s="30">
        <f>I6/$E$2</f>
        <v>4.1635556824131985</v>
      </c>
      <c r="J8" s="30">
        <f>J6/$E$2</f>
        <v>5.00167207682167</v>
      </c>
    </row>
    <row r="10" spans="1:13" x14ac:dyDescent="0.2">
      <c r="A10" s="39" t="s">
        <v>537</v>
      </c>
      <c r="C10" s="30">
        <v>1</v>
      </c>
      <c r="D10" s="30">
        <v>1</v>
      </c>
      <c r="E10" s="30">
        <v>1</v>
      </c>
      <c r="F10" s="30">
        <v>1</v>
      </c>
      <c r="G10" s="30">
        <v>1</v>
      </c>
    </row>
    <row r="11" spans="1:13" x14ac:dyDescent="0.2">
      <c r="A11" s="39" t="s">
        <v>63</v>
      </c>
      <c r="C11" s="30">
        <v>1315.75</v>
      </c>
      <c r="D11" s="30">
        <v>2215.346</v>
      </c>
      <c r="E11" s="30">
        <v>1785.692</v>
      </c>
      <c r="F11" s="30">
        <v>1809.846</v>
      </c>
      <c r="G11" s="30">
        <v>1154.981</v>
      </c>
      <c r="H11" s="30">
        <v>5506.3459999999995</v>
      </c>
      <c r="I11" s="30">
        <v>2885.8649999999998</v>
      </c>
      <c r="J11" s="30">
        <v>5343.0770000000002</v>
      </c>
      <c r="K11" s="30">
        <v>6854.1729999999998</v>
      </c>
      <c r="L11" s="30">
        <v>6290.058</v>
      </c>
      <c r="M11" s="30">
        <v>5597.7690000000002</v>
      </c>
    </row>
    <row r="12" spans="1:13" x14ac:dyDescent="0.2">
      <c r="A12" s="39" t="s">
        <v>62</v>
      </c>
      <c r="C12" s="30">
        <f t="shared" ref="C12:M12" si="1">C11-$B$5</f>
        <v>876.65</v>
      </c>
      <c r="D12" s="30">
        <f t="shared" si="1"/>
        <v>1776.2460000000001</v>
      </c>
      <c r="E12" s="30">
        <f t="shared" si="1"/>
        <v>1346.5920000000001</v>
      </c>
      <c r="F12" s="30">
        <f t="shared" si="1"/>
        <v>1370.7460000000001</v>
      </c>
      <c r="G12" s="30">
        <f t="shared" si="1"/>
        <v>715.88099999999997</v>
      </c>
      <c r="H12" s="30">
        <f t="shared" si="1"/>
        <v>5067.2459999999992</v>
      </c>
      <c r="I12" s="30">
        <f t="shared" si="1"/>
        <v>2446.7649999999999</v>
      </c>
      <c r="J12" s="30">
        <f t="shared" si="1"/>
        <v>4903.9769999999999</v>
      </c>
      <c r="K12" s="30">
        <f t="shared" si="1"/>
        <v>6415.0729999999994</v>
      </c>
      <c r="L12" s="30">
        <f t="shared" si="1"/>
        <v>5850.9579999999996</v>
      </c>
      <c r="M12" s="30">
        <f t="shared" si="1"/>
        <v>5158.6689999999999</v>
      </c>
    </row>
    <row r="13" spans="1:13" x14ac:dyDescent="0.2">
      <c r="A13" s="39" t="s">
        <v>61</v>
      </c>
      <c r="C13" s="30">
        <v>5.7370000000000001</v>
      </c>
      <c r="D13" s="30">
        <v>2.7349999999999999</v>
      </c>
      <c r="E13" s="30">
        <v>2.1139999999999999</v>
      </c>
      <c r="F13" s="30">
        <v>1.526</v>
      </c>
      <c r="G13" s="30">
        <v>3.907</v>
      </c>
      <c r="H13" s="30">
        <v>2.2469999999999999</v>
      </c>
      <c r="I13" s="30">
        <v>2.456</v>
      </c>
      <c r="J13" s="30">
        <v>2.1930000000000001</v>
      </c>
      <c r="K13" s="30">
        <v>1.82</v>
      </c>
      <c r="L13" s="30">
        <v>2.4990000000000001</v>
      </c>
      <c r="M13" s="30">
        <v>2.286</v>
      </c>
    </row>
    <row r="14" spans="1:13" x14ac:dyDescent="0.2">
      <c r="A14" s="39" t="s">
        <v>60</v>
      </c>
      <c r="C14" s="30">
        <f t="shared" ref="C14:M14" si="2">SQRT((1+(C13^2)))</f>
        <v>5.8235014381383996</v>
      </c>
      <c r="D14" s="30">
        <f t="shared" si="2"/>
        <v>2.9120825881145609</v>
      </c>
      <c r="E14" s="30">
        <f t="shared" si="2"/>
        <v>2.3385884631546441</v>
      </c>
      <c r="F14" s="30">
        <f t="shared" si="2"/>
        <v>1.8244659492574806</v>
      </c>
      <c r="G14" s="30">
        <f t="shared" si="2"/>
        <v>4.0329454496682695</v>
      </c>
      <c r="H14" s="30">
        <f t="shared" si="2"/>
        <v>2.4594733176027748</v>
      </c>
      <c r="I14" s="30">
        <f t="shared" si="2"/>
        <v>2.651779779695139</v>
      </c>
      <c r="J14" s="30">
        <f t="shared" si="2"/>
        <v>2.4102383699543082</v>
      </c>
      <c r="K14" s="30">
        <f t="shared" si="2"/>
        <v>2.076631888419322</v>
      </c>
      <c r="L14" s="30">
        <f t="shared" si="2"/>
        <v>2.6916539524983518</v>
      </c>
      <c r="M14" s="30">
        <f t="shared" si="2"/>
        <v>2.4951545042341565</v>
      </c>
    </row>
    <row r="15" spans="1:13" x14ac:dyDescent="0.2">
      <c r="A15" s="39" t="s">
        <v>59</v>
      </c>
      <c r="H15" s="30">
        <f t="shared" ref="H15:M15" si="3">H12/$E$2</f>
        <v>3.3941078593817551</v>
      </c>
      <c r="I15" s="30">
        <f t="shared" si="3"/>
        <v>1.638875301605685</v>
      </c>
      <c r="J15" s="30">
        <f t="shared" si="3"/>
        <v>3.284748140889028</v>
      </c>
      <c r="K15" s="30">
        <f t="shared" si="3"/>
        <v>4.2969000691515067</v>
      </c>
      <c r="L15" s="30">
        <f t="shared" si="3"/>
        <v>3.9190484402597696</v>
      </c>
      <c r="M15" s="30">
        <f t="shared" si="3"/>
        <v>3.4553441843654364</v>
      </c>
    </row>
    <row r="17" spans="1:14" x14ac:dyDescent="0.2">
      <c r="A17" s="39" t="s">
        <v>536</v>
      </c>
      <c r="C17" s="30">
        <v>1</v>
      </c>
      <c r="D17" s="30">
        <v>1</v>
      </c>
      <c r="E17" s="30">
        <v>1</v>
      </c>
    </row>
    <row r="18" spans="1:14" x14ac:dyDescent="0.2">
      <c r="A18" s="39" t="s">
        <v>63</v>
      </c>
      <c r="C18" s="30">
        <v>1121.288</v>
      </c>
      <c r="D18" s="30">
        <v>1013.981</v>
      </c>
      <c r="E18" s="30">
        <v>988.28800000000001</v>
      </c>
      <c r="F18" s="30">
        <v>3882.692</v>
      </c>
      <c r="G18" s="30">
        <v>4398.0770000000002</v>
      </c>
      <c r="H18" s="30">
        <v>3551.212</v>
      </c>
      <c r="I18" s="30">
        <v>4888.5879999999997</v>
      </c>
      <c r="J18" s="30">
        <v>3993.8649999999998</v>
      </c>
      <c r="K18" s="30">
        <v>4131.2309999999998</v>
      </c>
      <c r="L18" s="30">
        <v>3799.9229999999998</v>
      </c>
      <c r="M18" s="30">
        <v>2729.4229999999998</v>
      </c>
    </row>
    <row r="19" spans="1:14" x14ac:dyDescent="0.2">
      <c r="A19" s="39" t="s">
        <v>62</v>
      </c>
      <c r="C19" s="30">
        <f t="shared" ref="C19:M19" si="4">C18-$B$5</f>
        <v>682.18799999999999</v>
      </c>
      <c r="D19" s="30">
        <f t="shared" si="4"/>
        <v>574.88099999999997</v>
      </c>
      <c r="E19" s="30">
        <f t="shared" si="4"/>
        <v>549.18799999999999</v>
      </c>
      <c r="F19" s="30">
        <f t="shared" si="4"/>
        <v>3443.5920000000001</v>
      </c>
      <c r="G19" s="30">
        <f t="shared" si="4"/>
        <v>3958.9770000000003</v>
      </c>
      <c r="H19" s="30">
        <f t="shared" si="4"/>
        <v>3112.1120000000001</v>
      </c>
      <c r="I19" s="30">
        <f t="shared" si="4"/>
        <v>4449.4879999999994</v>
      </c>
      <c r="J19" s="30">
        <f t="shared" si="4"/>
        <v>3554.7649999999999</v>
      </c>
      <c r="K19" s="30">
        <f t="shared" si="4"/>
        <v>3692.1309999999999</v>
      </c>
      <c r="L19" s="30">
        <f t="shared" si="4"/>
        <v>3360.8229999999999</v>
      </c>
      <c r="M19" s="30">
        <f t="shared" si="4"/>
        <v>2290.3229999999999</v>
      </c>
    </row>
    <row r="20" spans="1:14" x14ac:dyDescent="0.2">
      <c r="A20" s="39" t="s">
        <v>61</v>
      </c>
      <c r="C20" s="30">
        <v>7.4569999999999999</v>
      </c>
      <c r="D20" s="30">
        <v>5.8940000000000001</v>
      </c>
      <c r="E20" s="30">
        <v>6.9539999999999997</v>
      </c>
      <c r="F20" s="30">
        <v>1.7170000000000001</v>
      </c>
      <c r="G20" s="30">
        <v>2.0350000000000001</v>
      </c>
      <c r="H20" s="30">
        <v>1.246</v>
      </c>
      <c r="I20" s="30">
        <v>1.552</v>
      </c>
      <c r="J20" s="30">
        <v>1.9790000000000001</v>
      </c>
      <c r="K20" s="30">
        <v>2.2330000000000001</v>
      </c>
      <c r="L20" s="30">
        <v>2.052</v>
      </c>
      <c r="M20" s="30">
        <v>1.9910000000000001</v>
      </c>
    </row>
    <row r="21" spans="1:14" x14ac:dyDescent="0.2">
      <c r="A21" s="39" t="s">
        <v>60</v>
      </c>
      <c r="C21" s="30">
        <f t="shared" ref="C21:M21" si="5">SQRT((4+(C20^2)))</f>
        <v>7.7205471956332214</v>
      </c>
      <c r="D21" s="30">
        <f t="shared" si="5"/>
        <v>6.2240851536591304</v>
      </c>
      <c r="E21" s="30">
        <f t="shared" si="5"/>
        <v>7.2358908228358443</v>
      </c>
      <c r="F21" s="30">
        <f t="shared" si="5"/>
        <v>2.6359227985659976</v>
      </c>
      <c r="G21" s="30">
        <f t="shared" si="5"/>
        <v>2.8532831966000152</v>
      </c>
      <c r="H21" s="30">
        <f t="shared" si="5"/>
        <v>2.3563777286335057</v>
      </c>
      <c r="I21" s="30">
        <f t="shared" si="5"/>
        <v>2.5315418226843498</v>
      </c>
      <c r="J21" s="30">
        <f t="shared" si="5"/>
        <v>2.8136170670508807</v>
      </c>
      <c r="K21" s="30">
        <f t="shared" si="5"/>
        <v>2.9977139623386351</v>
      </c>
      <c r="L21" s="30">
        <f t="shared" si="5"/>
        <v>2.8654326025924952</v>
      </c>
      <c r="M21" s="30">
        <f t="shared" si="5"/>
        <v>2.8220703393076509</v>
      </c>
    </row>
    <row r="22" spans="1:14" x14ac:dyDescent="0.2">
      <c r="A22" s="39" t="s">
        <v>59</v>
      </c>
      <c r="F22" s="30">
        <f t="shared" ref="F22:M22" si="6">F19/$E$2</f>
        <v>2.3065631058180593</v>
      </c>
      <c r="G22" s="30">
        <f t="shared" si="6"/>
        <v>2.6517747413114749</v>
      </c>
      <c r="H22" s="30">
        <f t="shared" si="6"/>
        <v>2.0845334523874062</v>
      </c>
      <c r="I22" s="30">
        <f t="shared" si="6"/>
        <v>2.980325445227014</v>
      </c>
      <c r="J22" s="30">
        <f t="shared" si="6"/>
        <v>2.3810282399463505</v>
      </c>
      <c r="K22" s="30">
        <f t="shared" si="6"/>
        <v>2.4730377891594406</v>
      </c>
      <c r="L22" s="30">
        <f t="shared" si="6"/>
        <v>2.2511233435856419</v>
      </c>
      <c r="M22" s="30">
        <f t="shared" si="6"/>
        <v>1.5340883972917043</v>
      </c>
    </row>
    <row r="24" spans="1:14" x14ac:dyDescent="0.2">
      <c r="A24" s="39" t="s">
        <v>535</v>
      </c>
    </row>
    <row r="25" spans="1:14" x14ac:dyDescent="0.2">
      <c r="A25" s="39" t="s">
        <v>63</v>
      </c>
      <c r="C25" s="30">
        <v>2313.2310000000002</v>
      </c>
      <c r="D25" s="30">
        <v>3610.6729999999998</v>
      </c>
      <c r="E25" s="30">
        <v>3022.6149999999998</v>
      </c>
      <c r="F25" s="30">
        <v>2847.8850000000002</v>
      </c>
    </row>
    <row r="26" spans="1:14" x14ac:dyDescent="0.2">
      <c r="A26" s="39" t="s">
        <v>62</v>
      </c>
      <c r="C26" s="30">
        <f>C25-$B$5</f>
        <v>1874.1310000000003</v>
      </c>
      <c r="D26" s="30">
        <f>D25-$B$5</f>
        <v>3171.5729999999999</v>
      </c>
      <c r="E26" s="30">
        <f>E25-$B$5</f>
        <v>2583.5149999999999</v>
      </c>
      <c r="F26" s="30">
        <f>F25-$B$5</f>
        <v>2408.7850000000003</v>
      </c>
    </row>
    <row r="27" spans="1:14" x14ac:dyDescent="0.2">
      <c r="A27" s="39" t="s">
        <v>61</v>
      </c>
      <c r="C27" s="30">
        <v>2.3969999999999998</v>
      </c>
      <c r="D27" s="30">
        <v>1.6659999999999999</v>
      </c>
      <c r="E27" s="30">
        <v>1.8779999999999999</v>
      </c>
      <c r="F27" s="30">
        <v>1.6619999999999999</v>
      </c>
    </row>
    <row r="28" spans="1:14" x14ac:dyDescent="0.2">
      <c r="A28" s="39" t="s">
        <v>60</v>
      </c>
      <c r="C28" s="30">
        <f>SQRT((9+(C27^2)))</f>
        <v>3.840001171874821</v>
      </c>
      <c r="D28" s="30">
        <f>SQRT((9+(D27^2)))</f>
        <v>3.4315530011934827</v>
      </c>
      <c r="E28" s="30">
        <f>SQRT((9+(E27^2)))</f>
        <v>3.5393338356250035</v>
      </c>
      <c r="F28" s="30">
        <f>SQRT((9+(F27^2)))</f>
        <v>3.4296128061342435</v>
      </c>
    </row>
    <row r="29" spans="1:14" x14ac:dyDescent="0.2">
      <c r="A29" s="39" t="s">
        <v>59</v>
      </c>
      <c r="C29" s="30">
        <f>C26/$E$2</f>
        <v>1.2553175347340528</v>
      </c>
      <c r="D29" s="30">
        <f>D26/$E$2</f>
        <v>2.1243612103898197</v>
      </c>
      <c r="E29" s="30">
        <f>E26/$E$2</f>
        <v>1.7304722459360875</v>
      </c>
      <c r="F29" s="30">
        <f>F26/$E$2</f>
        <v>1.6134357992607589</v>
      </c>
    </row>
    <row r="31" spans="1:14" x14ac:dyDescent="0.2">
      <c r="A31" s="39" t="s">
        <v>534</v>
      </c>
      <c r="C31" s="30">
        <v>1</v>
      </c>
      <c r="D31" s="30">
        <v>1</v>
      </c>
      <c r="E31" s="30">
        <v>1</v>
      </c>
    </row>
    <row r="32" spans="1:14" x14ac:dyDescent="0.2">
      <c r="A32" s="39" t="s">
        <v>63</v>
      </c>
      <c r="C32" s="30">
        <v>2731.5189999999998</v>
      </c>
      <c r="D32" s="30">
        <v>2136.288</v>
      </c>
      <c r="E32" s="30">
        <v>2172.712</v>
      </c>
      <c r="F32" s="30">
        <v>7459.3649999999998</v>
      </c>
      <c r="G32" s="30">
        <v>3804.5</v>
      </c>
      <c r="H32" s="30">
        <v>4082.788</v>
      </c>
      <c r="I32" s="30">
        <v>4203.6540000000005</v>
      </c>
      <c r="J32" s="30">
        <v>6776.5379999999996</v>
      </c>
      <c r="K32" s="30">
        <v>5253.6350000000002</v>
      </c>
      <c r="L32" s="30">
        <v>7493.0959999999995</v>
      </c>
      <c r="M32" s="30">
        <v>7202.7879999999996</v>
      </c>
      <c r="N32" s="30">
        <v>10332.519</v>
      </c>
    </row>
    <row r="33" spans="1:14" x14ac:dyDescent="0.2">
      <c r="A33" s="39" t="s">
        <v>62</v>
      </c>
      <c r="C33" s="30">
        <f t="shared" ref="C33:N33" si="7">C32-$B$5</f>
        <v>2292.4189999999999</v>
      </c>
      <c r="D33" s="30">
        <f t="shared" si="7"/>
        <v>1697.1880000000001</v>
      </c>
      <c r="E33" s="30">
        <f t="shared" si="7"/>
        <v>1733.6120000000001</v>
      </c>
      <c r="F33" s="30">
        <f t="shared" si="7"/>
        <v>7020.2649999999994</v>
      </c>
      <c r="G33" s="30">
        <f t="shared" si="7"/>
        <v>3365.4</v>
      </c>
      <c r="H33" s="30">
        <f t="shared" si="7"/>
        <v>3643.6880000000001</v>
      </c>
      <c r="I33" s="30">
        <f t="shared" si="7"/>
        <v>3764.5540000000005</v>
      </c>
      <c r="J33" s="30">
        <f t="shared" si="7"/>
        <v>6337.4379999999992</v>
      </c>
      <c r="K33" s="30">
        <f t="shared" si="7"/>
        <v>4814.5349999999999</v>
      </c>
      <c r="L33" s="30">
        <f t="shared" si="7"/>
        <v>7053.9959999999992</v>
      </c>
      <c r="M33" s="30">
        <f t="shared" si="7"/>
        <v>6763.6879999999992</v>
      </c>
      <c r="N33" s="30">
        <f t="shared" si="7"/>
        <v>9893.4189999999999</v>
      </c>
    </row>
    <row r="34" spans="1:14" x14ac:dyDescent="0.2">
      <c r="A34" s="39" t="s">
        <v>61</v>
      </c>
      <c r="C34" s="30">
        <v>0.86</v>
      </c>
      <c r="D34" s="30">
        <v>1.2729999999999999</v>
      </c>
      <c r="E34" s="30">
        <v>1.5149999999999999</v>
      </c>
      <c r="F34" s="30">
        <v>1.8240000000000001</v>
      </c>
      <c r="G34" s="30">
        <v>2.5920000000000001</v>
      </c>
      <c r="H34" s="30">
        <v>0.78700000000000003</v>
      </c>
      <c r="I34" s="30">
        <v>2.4580000000000002</v>
      </c>
      <c r="J34" s="30">
        <v>2.3039999999999998</v>
      </c>
      <c r="K34" s="30">
        <v>1.6919999999999999</v>
      </c>
      <c r="L34" s="30">
        <v>2.7</v>
      </c>
      <c r="M34" s="30">
        <v>2.4180000000000001</v>
      </c>
      <c r="N34" s="30">
        <v>2.734</v>
      </c>
    </row>
    <row r="35" spans="1:14" x14ac:dyDescent="0.2">
      <c r="A35" s="39" t="s">
        <v>60</v>
      </c>
      <c r="C35" s="30">
        <f t="shared" ref="C35:N35" si="8">SQRT((1+(C34^2)))</f>
        <v>1.3189389675038037</v>
      </c>
      <c r="D35" s="30">
        <f t="shared" si="8"/>
        <v>1.618804806022023</v>
      </c>
      <c r="E35" s="30">
        <f t="shared" si="8"/>
        <v>1.8152754611903945</v>
      </c>
      <c r="F35" s="30">
        <f t="shared" si="8"/>
        <v>2.0801384569302113</v>
      </c>
      <c r="G35" s="30">
        <f t="shared" si="8"/>
        <v>2.7782123748914516</v>
      </c>
      <c r="H35" s="30">
        <f t="shared" si="8"/>
        <v>1.2725443017828495</v>
      </c>
      <c r="I35" s="30">
        <f t="shared" si="8"/>
        <v>2.6536322277210909</v>
      </c>
      <c r="J35" s="30">
        <f t="shared" si="8"/>
        <v>2.5116560274050266</v>
      </c>
      <c r="K35" s="30">
        <f t="shared" si="8"/>
        <v>1.9654170040986212</v>
      </c>
      <c r="L35" s="30">
        <f t="shared" si="8"/>
        <v>2.879236009777594</v>
      </c>
      <c r="M35" s="30">
        <f t="shared" si="8"/>
        <v>2.6166245431853614</v>
      </c>
      <c r="N35" s="30">
        <f t="shared" si="8"/>
        <v>2.9111434179717079</v>
      </c>
    </row>
    <row r="36" spans="1:14" x14ac:dyDescent="0.2">
      <c r="A36" s="39" t="s">
        <v>59</v>
      </c>
      <c r="F36" s="30">
        <f t="shared" ref="F36:N36" si="9">F33/$E$2</f>
        <v>4.7022656116246688</v>
      </c>
      <c r="G36" s="30">
        <f t="shared" si="9"/>
        <v>2.2541890782415854</v>
      </c>
      <c r="H36" s="30">
        <f t="shared" si="9"/>
        <v>2.4405900321269165</v>
      </c>
      <c r="I36" s="30">
        <f t="shared" si="9"/>
        <v>2.5215476648394466</v>
      </c>
      <c r="J36" s="30">
        <f t="shared" si="9"/>
        <v>4.2448991274835661</v>
      </c>
      <c r="K36" s="30">
        <f t="shared" si="9"/>
        <v>3.2248387156985352</v>
      </c>
      <c r="L36" s="30">
        <f t="shared" si="9"/>
        <v>4.7248590780174204</v>
      </c>
      <c r="M36" s="30">
        <f t="shared" si="9"/>
        <v>4.5304069704147114</v>
      </c>
      <c r="N36" s="30">
        <f t="shared" si="9"/>
        <v>6.6267418601853523</v>
      </c>
    </row>
    <row r="38" spans="1:14" x14ac:dyDescent="0.2">
      <c r="A38" s="39" t="s">
        <v>533</v>
      </c>
      <c r="C38" s="30">
        <v>1</v>
      </c>
    </row>
    <row r="39" spans="1:14" x14ac:dyDescent="0.2">
      <c r="A39" s="39" t="s">
        <v>63</v>
      </c>
      <c r="C39" s="30">
        <v>2486.6350000000002</v>
      </c>
      <c r="D39" s="30">
        <v>3770.654</v>
      </c>
      <c r="E39" s="30">
        <v>3249.3649999999998</v>
      </c>
      <c r="F39" s="30">
        <v>5596.9809999999998</v>
      </c>
      <c r="G39" s="30">
        <v>4865.942</v>
      </c>
      <c r="H39" s="30">
        <v>3573.0770000000002</v>
      </c>
      <c r="I39" s="30">
        <v>2821.3649999999998</v>
      </c>
      <c r="J39" s="30">
        <v>5644.3649999999998</v>
      </c>
      <c r="K39" s="30">
        <v>4919.1540000000005</v>
      </c>
    </row>
    <row r="40" spans="1:14" x14ac:dyDescent="0.2">
      <c r="A40" s="39" t="s">
        <v>62</v>
      </c>
      <c r="C40" s="30">
        <f t="shared" ref="C40:K40" si="10">C39-$B$5</f>
        <v>2047.5350000000003</v>
      </c>
      <c r="D40" s="30">
        <f t="shared" si="10"/>
        <v>3331.5540000000001</v>
      </c>
      <c r="E40" s="30">
        <f t="shared" si="10"/>
        <v>2810.2649999999999</v>
      </c>
      <c r="F40" s="30">
        <f t="shared" si="10"/>
        <v>5157.8809999999994</v>
      </c>
      <c r="G40" s="30">
        <f t="shared" si="10"/>
        <v>4426.8419999999996</v>
      </c>
      <c r="H40" s="30">
        <f t="shared" si="10"/>
        <v>3133.9770000000003</v>
      </c>
      <c r="I40" s="30">
        <f t="shared" si="10"/>
        <v>2382.2649999999999</v>
      </c>
      <c r="J40" s="30">
        <f t="shared" si="10"/>
        <v>5205.2649999999994</v>
      </c>
      <c r="K40" s="30">
        <f t="shared" si="10"/>
        <v>4480.0540000000001</v>
      </c>
    </row>
    <row r="41" spans="1:14" x14ac:dyDescent="0.2">
      <c r="A41" s="39" t="s">
        <v>61</v>
      </c>
      <c r="C41" s="30">
        <v>0.94499999999999995</v>
      </c>
      <c r="D41" s="30">
        <v>1.46</v>
      </c>
      <c r="E41" s="30">
        <v>1.8440000000000001</v>
      </c>
      <c r="F41" s="30">
        <v>2.2930000000000001</v>
      </c>
      <c r="G41" s="30">
        <v>1.8169999999999999</v>
      </c>
      <c r="H41" s="30">
        <v>2.4580000000000002</v>
      </c>
      <c r="I41" s="30">
        <v>2.9420000000000002</v>
      </c>
      <c r="J41" s="30">
        <v>1.502</v>
      </c>
      <c r="K41" s="30">
        <v>2.5329999999999999</v>
      </c>
    </row>
    <row r="42" spans="1:14" x14ac:dyDescent="0.2">
      <c r="A42" s="39" t="s">
        <v>60</v>
      </c>
      <c r="C42" s="30">
        <f t="shared" ref="C42:K42" si="11">SQRT((4+(C41^2)))</f>
        <v>2.2120183091466488</v>
      </c>
      <c r="D42" s="30">
        <f t="shared" si="11"/>
        <v>2.4762067765031257</v>
      </c>
      <c r="E42" s="30">
        <f t="shared" si="11"/>
        <v>2.7203558590743233</v>
      </c>
      <c r="F42" s="30">
        <f t="shared" si="11"/>
        <v>3.0426713591842285</v>
      </c>
      <c r="G42" s="30">
        <f t="shared" si="11"/>
        <v>2.702126754983933</v>
      </c>
      <c r="H42" s="30">
        <f t="shared" si="11"/>
        <v>3.1688742480571865</v>
      </c>
      <c r="I42" s="30">
        <f t="shared" si="11"/>
        <v>3.5574378420430626</v>
      </c>
      <c r="J42" s="30">
        <f t="shared" si="11"/>
        <v>2.5012005117543055</v>
      </c>
      <c r="K42" s="30">
        <f t="shared" si="11"/>
        <v>3.2273966288635796</v>
      </c>
    </row>
    <row r="43" spans="1:14" x14ac:dyDescent="0.2">
      <c r="A43" s="39" t="s">
        <v>59</v>
      </c>
      <c r="D43" s="30">
        <f t="shared" ref="D43:K43" si="12">D40/$E$2</f>
        <v>2.2315185833398901</v>
      </c>
      <c r="E43" s="30">
        <f t="shared" si="12"/>
        <v>1.8823523711786381</v>
      </c>
      <c r="F43" s="30">
        <f t="shared" si="12"/>
        <v>3.4548163716258942</v>
      </c>
      <c r="G43" s="30">
        <f t="shared" si="12"/>
        <v>2.9651568572832754</v>
      </c>
      <c r="H43" s="30">
        <f t="shared" si="12"/>
        <v>2.099178916283452</v>
      </c>
      <c r="I43" s="30">
        <f t="shared" si="12"/>
        <v>1.5956723552853123</v>
      </c>
      <c r="J43" s="30">
        <f t="shared" si="12"/>
        <v>3.486554796563019</v>
      </c>
      <c r="K43" s="30">
        <f t="shared" si="12"/>
        <v>3.0007989530910226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V99"/>
  <sheetViews>
    <sheetView topLeftCell="A79" workbookViewId="0">
      <selection activeCell="I19" sqref="I19"/>
    </sheetView>
  </sheetViews>
  <sheetFormatPr baseColWidth="10" defaultColWidth="8.83203125" defaultRowHeight="15" x14ac:dyDescent="0.2"/>
  <cols>
    <col min="1" max="1" width="17.83203125" customWidth="1"/>
    <col min="2" max="2" width="14.33203125" customWidth="1"/>
  </cols>
  <sheetData>
    <row r="14" spans="1:7" x14ac:dyDescent="0.2">
      <c r="A14" t="s">
        <v>0</v>
      </c>
    </row>
    <row r="15" spans="1:7" s="1" customFormat="1" x14ac:dyDescent="0.2">
      <c r="A15" s="1" t="s">
        <v>1</v>
      </c>
      <c r="B15" s="1" t="s">
        <v>2</v>
      </c>
      <c r="C15" s="1" t="s">
        <v>25</v>
      </c>
    </row>
    <row r="16" spans="1:7" x14ac:dyDescent="0.2">
      <c r="A16" t="s">
        <v>3</v>
      </c>
      <c r="B16">
        <v>231.51</v>
      </c>
      <c r="C16">
        <v>985.45699999999999</v>
      </c>
      <c r="D16">
        <v>1434.5740000000001</v>
      </c>
      <c r="E16">
        <v>1150.758</v>
      </c>
      <c r="F16">
        <v>1432.9690000000001</v>
      </c>
      <c r="G16">
        <v>1301.8589999999999</v>
      </c>
    </row>
    <row r="17" spans="1:22" x14ac:dyDescent="0.2">
      <c r="A17" t="s">
        <v>4</v>
      </c>
      <c r="C17">
        <f>C16-B16</f>
        <v>753.947</v>
      </c>
      <c r="D17">
        <f>D16-B16</f>
        <v>1203.0640000000001</v>
      </c>
      <c r="E17">
        <f>E16-B16</f>
        <v>919.24800000000005</v>
      </c>
      <c r="F17">
        <f>F16-B16</f>
        <v>1201.4590000000001</v>
      </c>
      <c r="G17">
        <f>G16-B16</f>
        <v>1070.3489999999999</v>
      </c>
    </row>
    <row r="18" spans="1:22" x14ac:dyDescent="0.2">
      <c r="A18" t="s">
        <v>5</v>
      </c>
      <c r="C18">
        <v>17.332000000000001</v>
      </c>
      <c r="D18">
        <v>16.670000000000002</v>
      </c>
      <c r="E18">
        <v>29.617000000000001</v>
      </c>
      <c r="F18">
        <v>28.524999999999999</v>
      </c>
      <c r="G18">
        <v>28.77</v>
      </c>
    </row>
    <row r="19" spans="1:22" x14ac:dyDescent="0.2">
      <c r="A19" t="s">
        <v>6</v>
      </c>
      <c r="C19">
        <f>SQRT(9+C18^2)</f>
        <v>17.589719270073644</v>
      </c>
      <c r="D19">
        <f t="shared" ref="D19:G19" si="0">SQRT(9+D18^2)</f>
        <v>16.937795015880905</v>
      </c>
      <c r="E19">
        <f t="shared" si="0"/>
        <v>29.768552013828284</v>
      </c>
      <c r="F19">
        <f t="shared" si="0"/>
        <v>28.682322517536825</v>
      </c>
      <c r="G19">
        <f t="shared" si="0"/>
        <v>28.925990043557714</v>
      </c>
    </row>
    <row r="20" spans="1:22" x14ac:dyDescent="0.2">
      <c r="A20" t="s">
        <v>7</v>
      </c>
      <c r="C20">
        <f>C17/229.046</f>
        <v>3.2916837665796392</v>
      </c>
      <c r="D20">
        <f t="shared" ref="D20:G20" si="1">D17/229.046</f>
        <v>5.2524994979174497</v>
      </c>
      <c r="E20">
        <f t="shared" si="1"/>
        <v>4.013377225535482</v>
      </c>
      <c r="F20">
        <f t="shared" si="1"/>
        <v>5.2454921718781389</v>
      </c>
      <c r="G20">
        <f t="shared" si="1"/>
        <v>4.6730744042681378</v>
      </c>
    </row>
    <row r="22" spans="1:22" s="1" customFormat="1" x14ac:dyDescent="0.2">
      <c r="A22" s="1" t="s">
        <v>8</v>
      </c>
      <c r="C22" s="1" t="s">
        <v>23</v>
      </c>
      <c r="F22" s="1" t="s">
        <v>25</v>
      </c>
    </row>
    <row r="23" spans="1:22" x14ac:dyDescent="0.2">
      <c r="A23" t="s">
        <v>9</v>
      </c>
      <c r="B23">
        <v>231.51</v>
      </c>
      <c r="C23">
        <v>411.71899999999999</v>
      </c>
      <c r="D23">
        <v>482.625</v>
      </c>
      <c r="E23">
        <v>475.53500000000003</v>
      </c>
      <c r="F23">
        <v>564.82000000000005</v>
      </c>
      <c r="G23">
        <v>602.30899999999997</v>
      </c>
      <c r="H23">
        <v>748.48800000000006</v>
      </c>
      <c r="I23">
        <v>687.59799999999996</v>
      </c>
      <c r="J23">
        <v>620.69100000000003</v>
      </c>
      <c r="K23">
        <v>489.86700000000002</v>
      </c>
      <c r="L23">
        <v>500.625</v>
      </c>
      <c r="M23">
        <v>804.94500000000005</v>
      </c>
      <c r="N23">
        <v>749.60900000000004</v>
      </c>
      <c r="O23">
        <v>398.74200000000002</v>
      </c>
    </row>
    <row r="24" spans="1:22" x14ac:dyDescent="0.2">
      <c r="A24" t="s">
        <v>4</v>
      </c>
      <c r="C24">
        <f>C23-B23</f>
        <v>180.209</v>
      </c>
      <c r="D24">
        <f>D23-B23</f>
        <v>251.11500000000001</v>
      </c>
      <c r="E24">
        <f>E23-B23</f>
        <v>244.02500000000003</v>
      </c>
      <c r="F24">
        <f>F23-B23</f>
        <v>333.31000000000006</v>
      </c>
      <c r="G24">
        <f>G23-B23</f>
        <v>370.79899999999998</v>
      </c>
      <c r="H24">
        <f>H23-B23</f>
        <v>516.97800000000007</v>
      </c>
      <c r="I24">
        <f>I23-B23</f>
        <v>456.08799999999997</v>
      </c>
      <c r="J24">
        <f>J23-B23</f>
        <v>389.18100000000004</v>
      </c>
      <c r="K24">
        <f>K23-B23</f>
        <v>258.35700000000003</v>
      </c>
      <c r="L24">
        <f>L23-B23</f>
        <v>269.11500000000001</v>
      </c>
      <c r="M24">
        <f>M23-B23</f>
        <v>573.43500000000006</v>
      </c>
      <c r="N24">
        <f>N23-B23</f>
        <v>518.09900000000005</v>
      </c>
      <c r="O24">
        <f>O23-B23</f>
        <v>167.23200000000003</v>
      </c>
    </row>
    <row r="25" spans="1:22" x14ac:dyDescent="0.2">
      <c r="A25" t="s">
        <v>5</v>
      </c>
      <c r="C25">
        <v>10.238</v>
      </c>
      <c r="D25">
        <v>5.7030000000000003</v>
      </c>
      <c r="E25">
        <v>4.3849999999999998</v>
      </c>
      <c r="F25">
        <v>12.297000000000001</v>
      </c>
      <c r="G25">
        <v>9.8390000000000004</v>
      </c>
      <c r="H25">
        <v>16.782</v>
      </c>
      <c r="I25">
        <v>2.6579999999999999</v>
      </c>
      <c r="J25">
        <v>2.355</v>
      </c>
      <c r="K25">
        <v>2.375</v>
      </c>
      <c r="L25">
        <v>1.952</v>
      </c>
      <c r="M25">
        <v>0.879</v>
      </c>
      <c r="N25">
        <v>1.0489999999999999</v>
      </c>
      <c r="O25">
        <v>29.222000000000001</v>
      </c>
    </row>
    <row r="26" spans="1:22" x14ac:dyDescent="0.2">
      <c r="A26" t="s">
        <v>6</v>
      </c>
      <c r="C26">
        <f>SQRT(4+C25^2)</f>
        <v>10.431521653143419</v>
      </c>
      <c r="D26">
        <f t="shared" ref="D26:O26" si="2">SQRT(4+D25^2)</f>
        <v>6.0435262057841701</v>
      </c>
      <c r="E26">
        <f t="shared" si="2"/>
        <v>4.8195668892546761</v>
      </c>
      <c r="F26">
        <f t="shared" si="2"/>
        <v>12.458579734464118</v>
      </c>
      <c r="G26">
        <f t="shared" si="2"/>
        <v>10.040215186936981</v>
      </c>
      <c r="H26">
        <f t="shared" si="2"/>
        <v>16.900755131058492</v>
      </c>
      <c r="I26">
        <f t="shared" si="2"/>
        <v>3.3264040644515811</v>
      </c>
      <c r="J26">
        <f t="shared" si="2"/>
        <v>3.0896642212382885</v>
      </c>
      <c r="K26">
        <f t="shared" si="2"/>
        <v>3.1049355870935553</v>
      </c>
      <c r="L26">
        <f t="shared" si="2"/>
        <v>2.7946921118434496</v>
      </c>
      <c r="M26">
        <f t="shared" si="2"/>
        <v>2.1846374985337955</v>
      </c>
      <c r="N26">
        <f t="shared" si="2"/>
        <v>2.2584067392743936</v>
      </c>
      <c r="O26">
        <f t="shared" si="2"/>
        <v>29.290361622895681</v>
      </c>
    </row>
    <row r="27" spans="1:22" x14ac:dyDescent="0.2">
      <c r="A27" t="s">
        <v>10</v>
      </c>
      <c r="F27">
        <f>F24/229.046</f>
        <v>1.4552098705063614</v>
      </c>
      <c r="G27">
        <f t="shared" ref="G27:O27" si="3">G24/229.046</f>
        <v>1.6188844162308007</v>
      </c>
      <c r="H27">
        <f t="shared" si="3"/>
        <v>2.2570924617762373</v>
      </c>
      <c r="I27">
        <f t="shared" si="3"/>
        <v>1.9912506658051221</v>
      </c>
      <c r="J27">
        <f t="shared" si="3"/>
        <v>1.6991390375732387</v>
      </c>
      <c r="K27">
        <f t="shared" si="3"/>
        <v>1.1279699274381567</v>
      </c>
      <c r="L27">
        <f t="shared" si="3"/>
        <v>1.174938658610061</v>
      </c>
      <c r="M27">
        <f t="shared" si="3"/>
        <v>2.5035800668861281</v>
      </c>
      <c r="N27">
        <f t="shared" si="3"/>
        <v>2.2619866751656876</v>
      </c>
      <c r="O27">
        <f t="shared" si="3"/>
        <v>0.73012407987915107</v>
      </c>
    </row>
    <row r="29" spans="1:22" s="1" customFormat="1" x14ac:dyDescent="0.2">
      <c r="A29" s="1" t="s">
        <v>11</v>
      </c>
      <c r="C29" s="1" t="s">
        <v>23</v>
      </c>
      <c r="E29" s="1" t="s">
        <v>25</v>
      </c>
    </row>
    <row r="30" spans="1:22" x14ac:dyDescent="0.2">
      <c r="A30" t="s">
        <v>9</v>
      </c>
      <c r="B30">
        <v>231.51</v>
      </c>
      <c r="C30">
        <v>528.21900000000005</v>
      </c>
      <c r="D30">
        <v>525.64499999999998</v>
      </c>
      <c r="E30">
        <v>602.23400000000004</v>
      </c>
      <c r="F30">
        <v>1197.7460000000001</v>
      </c>
      <c r="G30">
        <v>2034.3630000000001</v>
      </c>
      <c r="H30">
        <v>760.37900000000002</v>
      </c>
      <c r="I30">
        <v>879.47699999999998</v>
      </c>
      <c r="J30">
        <v>858.86699999999996</v>
      </c>
      <c r="K30">
        <v>915.04700000000003</v>
      </c>
      <c r="L30">
        <v>1970.9690000000001</v>
      </c>
      <c r="M30">
        <v>1277.6880000000001</v>
      </c>
      <c r="N30">
        <v>1203.48</v>
      </c>
      <c r="O30">
        <v>1111.992</v>
      </c>
      <c r="P30">
        <v>1623.5740000000001</v>
      </c>
      <c r="Q30">
        <v>1742.711</v>
      </c>
      <c r="R30">
        <v>1530.5229999999999</v>
      </c>
      <c r="S30">
        <v>2426.7379999999998</v>
      </c>
      <c r="T30">
        <v>1921.68</v>
      </c>
      <c r="U30">
        <v>1612.848</v>
      </c>
      <c r="V30">
        <v>2150.3240000000001</v>
      </c>
    </row>
    <row r="31" spans="1:22" x14ac:dyDescent="0.2">
      <c r="A31" t="s">
        <v>4</v>
      </c>
      <c r="C31">
        <f>C30-B30</f>
        <v>296.70900000000006</v>
      </c>
      <c r="D31">
        <f>D30-B30</f>
        <v>294.13499999999999</v>
      </c>
      <c r="E31">
        <f>E30-B30</f>
        <v>370.72400000000005</v>
      </c>
      <c r="F31">
        <f>F30-B30</f>
        <v>966.2360000000001</v>
      </c>
      <c r="G31">
        <f>G30-B30</f>
        <v>1802.8530000000001</v>
      </c>
      <c r="H31">
        <f>H30-B30</f>
        <v>528.86900000000003</v>
      </c>
      <c r="I31">
        <f>I30-B30</f>
        <v>647.96699999999998</v>
      </c>
      <c r="J31">
        <f>J30-B30</f>
        <v>627.35699999999997</v>
      </c>
      <c r="K31">
        <f>K30-B30</f>
        <v>683.53700000000003</v>
      </c>
      <c r="L31">
        <f>L30-B30</f>
        <v>1739.4590000000001</v>
      </c>
      <c r="M31">
        <f>M30-B30</f>
        <v>1046.1780000000001</v>
      </c>
      <c r="N31">
        <f>N30-B30</f>
        <v>971.97</v>
      </c>
      <c r="O31">
        <f>O30-B30</f>
        <v>880.48199999999997</v>
      </c>
      <c r="P31">
        <f>P30-B30</f>
        <v>1392.0640000000001</v>
      </c>
      <c r="Q31">
        <f>Q30-B30</f>
        <v>1511.201</v>
      </c>
      <c r="R31">
        <f>R30-B30</f>
        <v>1299.0129999999999</v>
      </c>
      <c r="S31">
        <f>S30-B30</f>
        <v>2195.2280000000001</v>
      </c>
      <c r="T31">
        <f>T30-B30</f>
        <v>1690.17</v>
      </c>
      <c r="U31">
        <f>U30-B30</f>
        <v>1381.338</v>
      </c>
      <c r="V31">
        <f>V30-B30</f>
        <v>1918.8140000000001</v>
      </c>
    </row>
    <row r="32" spans="1:22" x14ac:dyDescent="0.2">
      <c r="A32" t="s">
        <v>5</v>
      </c>
      <c r="C32">
        <v>10.095000000000001</v>
      </c>
      <c r="D32">
        <v>9.7910000000000004</v>
      </c>
      <c r="E32">
        <v>20.37</v>
      </c>
      <c r="F32">
        <v>12.337</v>
      </c>
      <c r="G32">
        <v>11.673999999999999</v>
      </c>
      <c r="H32">
        <v>7.9279999999999999</v>
      </c>
      <c r="I32">
        <v>4.577</v>
      </c>
      <c r="J32">
        <v>3.956</v>
      </c>
      <c r="K32">
        <v>3.3119999999999998</v>
      </c>
      <c r="L32">
        <v>2.5859999999999999</v>
      </c>
      <c r="M32">
        <v>2.9049999999999998</v>
      </c>
      <c r="N32">
        <v>2.0670000000000002</v>
      </c>
      <c r="O32">
        <v>2.2130000000000001</v>
      </c>
      <c r="P32">
        <v>2.08</v>
      </c>
      <c r="Q32">
        <v>1.6319999999999999</v>
      </c>
      <c r="R32">
        <v>1.659</v>
      </c>
      <c r="S32">
        <v>0.65900000000000003</v>
      </c>
      <c r="T32">
        <v>0.56899999999999995</v>
      </c>
      <c r="U32">
        <v>1.256</v>
      </c>
      <c r="V32">
        <v>0.6</v>
      </c>
    </row>
    <row r="33" spans="1:22" x14ac:dyDescent="0.2">
      <c r="A33" t="s">
        <v>6</v>
      </c>
      <c r="C33">
        <f>SQRT(1+C32^2)</f>
        <v>10.144408558412858</v>
      </c>
      <c r="D33">
        <f t="shared" ref="D33:V33" si="4">SQRT(1+D32^2)</f>
        <v>9.8419348199426722</v>
      </c>
      <c r="E33">
        <f t="shared" si="4"/>
        <v>20.394531129692588</v>
      </c>
      <c r="F33">
        <f t="shared" si="4"/>
        <v>12.377462138903921</v>
      </c>
      <c r="G33">
        <f t="shared" si="4"/>
        <v>11.716751938997428</v>
      </c>
      <c r="H33">
        <f t="shared" si="4"/>
        <v>7.990818731519318</v>
      </c>
      <c r="I33">
        <f t="shared" si="4"/>
        <v>4.6849684097120656</v>
      </c>
      <c r="J33">
        <f t="shared" si="4"/>
        <v>4.0804333103237944</v>
      </c>
      <c r="K33">
        <f t="shared" si="4"/>
        <v>3.4596739730789663</v>
      </c>
      <c r="L33">
        <f t="shared" si="4"/>
        <v>2.772615371810522</v>
      </c>
      <c r="M33">
        <f t="shared" si="4"/>
        <v>3.0722996273150183</v>
      </c>
      <c r="N33">
        <f t="shared" si="4"/>
        <v>2.2961901053701981</v>
      </c>
      <c r="O33">
        <f t="shared" si="4"/>
        <v>2.4284499171282081</v>
      </c>
      <c r="P33">
        <f t="shared" si="4"/>
        <v>2.3078994778802651</v>
      </c>
      <c r="Q33">
        <f t="shared" si="4"/>
        <v>1.9140073145105794</v>
      </c>
      <c r="R33">
        <f t="shared" si="4"/>
        <v>1.9370805352385325</v>
      </c>
      <c r="S33">
        <f t="shared" si="4"/>
        <v>1.1976147126684775</v>
      </c>
      <c r="T33">
        <f t="shared" si="4"/>
        <v>1.1505481302405389</v>
      </c>
      <c r="U33">
        <f t="shared" si="4"/>
        <v>1.6054706475049614</v>
      </c>
      <c r="V33">
        <f t="shared" si="4"/>
        <v>1.16619037896906</v>
      </c>
    </row>
    <row r="34" spans="1:22" x14ac:dyDescent="0.2">
      <c r="A34" t="s">
        <v>10</v>
      </c>
      <c r="E34">
        <f>E31/229.046</f>
        <v>1.6185569710887773</v>
      </c>
      <c r="F34">
        <f t="shared" ref="F34:V34" si="5">F31/229.046</f>
        <v>4.2185237899810524</v>
      </c>
      <c r="G34">
        <f t="shared" si="5"/>
        <v>7.8711394217755393</v>
      </c>
      <c r="H34">
        <f t="shared" si="5"/>
        <v>2.3090077975603154</v>
      </c>
      <c r="I34">
        <f t="shared" si="5"/>
        <v>2.8289819512237715</v>
      </c>
      <c r="J34">
        <f t="shared" si="5"/>
        <v>2.7390000261956113</v>
      </c>
      <c r="K34">
        <f t="shared" si="5"/>
        <v>2.9842782672476273</v>
      </c>
      <c r="L34">
        <f t="shared" si="5"/>
        <v>7.5943653239960538</v>
      </c>
      <c r="M34">
        <f t="shared" si="5"/>
        <v>4.5675453838966851</v>
      </c>
      <c r="N34">
        <f t="shared" si="5"/>
        <v>4.2435580625725837</v>
      </c>
      <c r="O34">
        <f t="shared" si="5"/>
        <v>3.8441273805261824</v>
      </c>
      <c r="P34">
        <f t="shared" si="5"/>
        <v>6.0776612558176089</v>
      </c>
      <c r="Q34">
        <f t="shared" si="5"/>
        <v>6.5978056809549175</v>
      </c>
      <c r="R34">
        <f t="shared" si="5"/>
        <v>5.6714066170114297</v>
      </c>
      <c r="S34">
        <f t="shared" si="5"/>
        <v>9.5842232564637673</v>
      </c>
      <c r="T34">
        <f t="shared" si="5"/>
        <v>7.3791727425931919</v>
      </c>
      <c r="U34">
        <f t="shared" si="5"/>
        <v>6.0308322345729684</v>
      </c>
      <c r="V34">
        <f t="shared" si="5"/>
        <v>8.3774176366319431</v>
      </c>
    </row>
    <row r="36" spans="1:22" s="1" customFormat="1" x14ac:dyDescent="0.2">
      <c r="A36" s="1" t="s">
        <v>12</v>
      </c>
      <c r="C36" s="1" t="s">
        <v>23</v>
      </c>
      <c r="D36" s="1" t="s">
        <v>24</v>
      </c>
    </row>
    <row r="37" spans="1:22" x14ac:dyDescent="0.2">
      <c r="A37" t="s">
        <v>9</v>
      </c>
      <c r="B37">
        <v>231.51</v>
      </c>
      <c r="C37">
        <v>568.67999999999995</v>
      </c>
      <c r="D37">
        <v>317.72300000000001</v>
      </c>
      <c r="E37">
        <v>816.88300000000004</v>
      </c>
      <c r="F37">
        <v>910.43399999999997</v>
      </c>
      <c r="G37">
        <v>1006.2619999999999</v>
      </c>
      <c r="H37">
        <v>1013.5119999999999</v>
      </c>
      <c r="I37">
        <v>1147.9490000000001</v>
      </c>
      <c r="J37">
        <v>714.94899999999996</v>
      </c>
      <c r="K37">
        <v>759.03899999999999</v>
      </c>
      <c r="L37">
        <v>575.23</v>
      </c>
      <c r="M37">
        <v>672.95299999999997</v>
      </c>
      <c r="N37">
        <v>1502.902</v>
      </c>
      <c r="O37">
        <v>566.90200000000004</v>
      </c>
      <c r="P37">
        <v>1021.574</v>
      </c>
      <c r="Q37">
        <v>839.11699999999996</v>
      </c>
      <c r="R37">
        <v>1823.0550000000001</v>
      </c>
      <c r="S37">
        <v>617.54300000000001</v>
      </c>
      <c r="T37">
        <v>574.52</v>
      </c>
      <c r="U37">
        <v>950.18799999999999</v>
      </c>
    </row>
    <row r="38" spans="1:22" x14ac:dyDescent="0.2">
      <c r="A38" t="s">
        <v>4</v>
      </c>
      <c r="C38">
        <f>C37-B37</f>
        <v>337.16999999999996</v>
      </c>
      <c r="D38">
        <f>D37-B37</f>
        <v>86.213000000000022</v>
      </c>
      <c r="E38">
        <f>E37-B37</f>
        <v>585.37300000000005</v>
      </c>
      <c r="F38">
        <f>F37-B37</f>
        <v>678.92399999999998</v>
      </c>
      <c r="G38">
        <f>G37-B37</f>
        <v>774.75199999999995</v>
      </c>
      <c r="H38">
        <f>H37-B37</f>
        <v>782.00199999999995</v>
      </c>
      <c r="I38">
        <f>I37-B37</f>
        <v>916.43900000000008</v>
      </c>
      <c r="J38">
        <f>J37-B37</f>
        <v>483.43899999999996</v>
      </c>
      <c r="K38">
        <f>K37-B37</f>
        <v>527.529</v>
      </c>
      <c r="L38">
        <f>L37-B37</f>
        <v>343.72</v>
      </c>
      <c r="M38">
        <f>M37-B37</f>
        <v>441.44299999999998</v>
      </c>
      <c r="N38">
        <f>N37-B37</f>
        <v>1271.3920000000001</v>
      </c>
      <c r="O38">
        <f>O37-B37</f>
        <v>335.39200000000005</v>
      </c>
      <c r="P38">
        <f>P37-B37</f>
        <v>790.06399999999996</v>
      </c>
      <c r="Q38">
        <f>Q37-B37</f>
        <v>607.60699999999997</v>
      </c>
      <c r="R38">
        <f>R37-B37</f>
        <v>1591.5450000000001</v>
      </c>
      <c r="S38">
        <f>S37-B37</f>
        <v>386.03300000000002</v>
      </c>
      <c r="T38">
        <f>T37-B37</f>
        <v>343.01</v>
      </c>
      <c r="U38">
        <f>U37-B37</f>
        <v>718.678</v>
      </c>
    </row>
    <row r="39" spans="1:22" x14ac:dyDescent="0.2">
      <c r="A39" t="s">
        <v>5</v>
      </c>
      <c r="C39">
        <v>25.597000000000001</v>
      </c>
      <c r="D39">
        <v>27.364000000000001</v>
      </c>
      <c r="E39">
        <v>20.603000000000002</v>
      </c>
      <c r="F39">
        <v>20.408999999999999</v>
      </c>
      <c r="G39">
        <v>20.074000000000002</v>
      </c>
      <c r="H39">
        <v>13.22</v>
      </c>
      <c r="I39">
        <v>11.816000000000001</v>
      </c>
      <c r="J39">
        <v>8.1180000000000003</v>
      </c>
      <c r="K39">
        <v>3.645</v>
      </c>
      <c r="L39">
        <v>2.9239999999999999</v>
      </c>
      <c r="M39">
        <v>2.5329999999999999</v>
      </c>
      <c r="N39">
        <v>1.84</v>
      </c>
      <c r="O39">
        <v>1.7769999999999999</v>
      </c>
      <c r="P39">
        <v>1.238</v>
      </c>
      <c r="Q39">
        <v>2.0979999999999999</v>
      </c>
      <c r="R39">
        <v>2.9140000000000001</v>
      </c>
      <c r="S39">
        <v>2.83</v>
      </c>
      <c r="T39">
        <v>2.4900000000000002</v>
      </c>
      <c r="U39">
        <v>4.4050000000000002</v>
      </c>
    </row>
    <row r="40" spans="1:22" x14ac:dyDescent="0.2">
      <c r="A40" t="s">
        <v>10</v>
      </c>
      <c r="D40">
        <f>D38/229.046</f>
        <v>0.37640037372405555</v>
      </c>
      <c r="E40">
        <f t="shared" ref="E40:U40" si="6">E38/229.046</f>
        <v>2.5557006016258748</v>
      </c>
      <c r="F40">
        <f t="shared" si="6"/>
        <v>2.9641382080455454</v>
      </c>
      <c r="G40">
        <f t="shared" si="6"/>
        <v>3.3825170489770611</v>
      </c>
      <c r="H40">
        <f t="shared" si="6"/>
        <v>3.4141700793727021</v>
      </c>
      <c r="I40">
        <f t="shared" si="6"/>
        <v>4.0011133134828816</v>
      </c>
      <c r="J40">
        <f t="shared" si="6"/>
        <v>2.1106633601983882</v>
      </c>
      <c r="K40">
        <f t="shared" si="6"/>
        <v>2.3031574443561555</v>
      </c>
      <c r="L40">
        <f t="shared" si="6"/>
        <v>1.5006592562192749</v>
      </c>
      <c r="M40">
        <f t="shared" si="6"/>
        <v>1.9273115444059272</v>
      </c>
      <c r="N40">
        <f t="shared" si="6"/>
        <v>5.5508151201068783</v>
      </c>
      <c r="O40">
        <f t="shared" si="6"/>
        <v>1.4642997476489441</v>
      </c>
      <c r="P40">
        <f t="shared" si="6"/>
        <v>3.4493682491726552</v>
      </c>
      <c r="Q40">
        <f t="shared" si="6"/>
        <v>2.652772805462658</v>
      </c>
      <c r="R40">
        <f t="shared" si="6"/>
        <v>6.9485823808317981</v>
      </c>
      <c r="S40">
        <f t="shared" si="6"/>
        <v>1.68539507347869</v>
      </c>
      <c r="T40">
        <f t="shared" si="6"/>
        <v>1.4975594422081153</v>
      </c>
      <c r="U40">
        <f t="shared" si="6"/>
        <v>3.137701597059106</v>
      </c>
    </row>
    <row r="42" spans="1:22" s="1" customFormat="1" x14ac:dyDescent="0.2">
      <c r="A42" s="1" t="s">
        <v>13</v>
      </c>
      <c r="C42" s="1" t="s">
        <v>23</v>
      </c>
      <c r="E42" s="1" t="s">
        <v>25</v>
      </c>
    </row>
    <row r="43" spans="1:22" x14ac:dyDescent="0.2">
      <c r="A43" t="s">
        <v>3</v>
      </c>
      <c r="B43">
        <v>231.51</v>
      </c>
      <c r="C43">
        <v>493.89100000000002</v>
      </c>
      <c r="D43">
        <v>594.29300000000001</v>
      </c>
      <c r="E43">
        <v>772.53099999999995</v>
      </c>
      <c r="F43">
        <v>748.20299999999997</v>
      </c>
      <c r="G43">
        <v>480.375</v>
      </c>
      <c r="H43">
        <v>1126.6559999999999</v>
      </c>
      <c r="I43">
        <v>762.47299999999996</v>
      </c>
      <c r="J43">
        <v>540.91399999999999</v>
      </c>
      <c r="K43">
        <v>706.09</v>
      </c>
      <c r="L43">
        <v>575.51199999999994</v>
      </c>
      <c r="M43">
        <v>626.01599999999996</v>
      </c>
      <c r="N43">
        <v>734.37099999999998</v>
      </c>
    </row>
    <row r="44" spans="1:22" x14ac:dyDescent="0.2">
      <c r="A44" t="s">
        <v>4</v>
      </c>
      <c r="C44">
        <f>C43-B43</f>
        <v>262.38100000000003</v>
      </c>
      <c r="D44">
        <f>D43-B43</f>
        <v>362.78300000000002</v>
      </c>
      <c r="E44">
        <f>E43-B43</f>
        <v>541.02099999999996</v>
      </c>
      <c r="F44">
        <f>F43-B43</f>
        <v>516.69299999999998</v>
      </c>
      <c r="G44">
        <f>G43-B43</f>
        <v>248.86500000000001</v>
      </c>
      <c r="H44">
        <f>H43-B43</f>
        <v>895.14599999999996</v>
      </c>
      <c r="I44">
        <f>I43-B43</f>
        <v>530.96299999999997</v>
      </c>
      <c r="J44">
        <f>J43-B43</f>
        <v>309.404</v>
      </c>
      <c r="K44">
        <f>K43-B43</f>
        <v>474.58000000000004</v>
      </c>
      <c r="L44">
        <f>L43-B43</f>
        <v>344.00199999999995</v>
      </c>
      <c r="M44">
        <f>M43-B43</f>
        <v>394.50599999999997</v>
      </c>
      <c r="N44">
        <f>N43-B43</f>
        <v>502.86099999999999</v>
      </c>
    </row>
    <row r="45" spans="1:22" x14ac:dyDescent="0.2">
      <c r="A45" t="s">
        <v>5</v>
      </c>
      <c r="C45">
        <v>6.1630000000000003</v>
      </c>
      <c r="D45">
        <v>14.976000000000001</v>
      </c>
      <c r="E45">
        <v>15.291</v>
      </c>
      <c r="F45">
        <v>12.058999999999999</v>
      </c>
      <c r="G45">
        <v>14.96</v>
      </c>
      <c r="H45">
        <v>3.9359999999999999</v>
      </c>
      <c r="I45">
        <v>1.429</v>
      </c>
      <c r="J45">
        <v>2.2759999999999998</v>
      </c>
      <c r="K45">
        <v>2.9590000000000001</v>
      </c>
      <c r="L45">
        <v>20.03</v>
      </c>
      <c r="M45">
        <v>27.425999999999998</v>
      </c>
      <c r="N45">
        <v>31.753</v>
      </c>
    </row>
    <row r="46" spans="1:22" x14ac:dyDescent="0.2">
      <c r="A46" t="s">
        <v>6</v>
      </c>
      <c r="C46">
        <f>SQRT(1+C45^2)</f>
        <v>6.2436022454989883</v>
      </c>
      <c r="D46">
        <f t="shared" ref="D46:N46" si="7">SQRT(1+D45^2)</f>
        <v>15.009349619487182</v>
      </c>
      <c r="E46">
        <f t="shared" si="7"/>
        <v>15.323664085328939</v>
      </c>
      <c r="F46">
        <f t="shared" si="7"/>
        <v>12.100391770517184</v>
      </c>
      <c r="G46">
        <f t="shared" si="7"/>
        <v>14.993385208150961</v>
      </c>
      <c r="H46">
        <f t="shared" si="7"/>
        <v>4.0610461706314052</v>
      </c>
      <c r="I46">
        <f t="shared" si="7"/>
        <v>1.7441447761008833</v>
      </c>
      <c r="J46">
        <f t="shared" si="7"/>
        <v>2.4859959774705991</v>
      </c>
      <c r="K46">
        <f t="shared" si="7"/>
        <v>3.1234085547683321</v>
      </c>
      <c r="L46">
        <f t="shared" si="7"/>
        <v>20.054947020623118</v>
      </c>
      <c r="M46">
        <f t="shared" si="7"/>
        <v>27.444224820533734</v>
      </c>
      <c r="N46">
        <f t="shared" si="7"/>
        <v>31.768742641155946</v>
      </c>
    </row>
    <row r="47" spans="1:22" x14ac:dyDescent="0.2">
      <c r="A47" t="s">
        <v>10</v>
      </c>
      <c r="E47">
        <f>E44/229.046</f>
        <v>2.3620626424386368</v>
      </c>
      <c r="F47">
        <f t="shared" ref="F47:N47" si="8">F44/229.046</f>
        <v>2.2558481702365465</v>
      </c>
      <c r="G47">
        <f t="shared" si="8"/>
        <v>1.0865284702636153</v>
      </c>
      <c r="H47">
        <f t="shared" si="8"/>
        <v>3.9081494546946902</v>
      </c>
      <c r="I47">
        <f t="shared" si="8"/>
        <v>2.318150065925622</v>
      </c>
      <c r="J47">
        <f t="shared" si="8"/>
        <v>1.3508378229700584</v>
      </c>
      <c r="K47">
        <f t="shared" si="8"/>
        <v>2.0719855400225287</v>
      </c>
      <c r="L47">
        <f t="shared" si="8"/>
        <v>1.5018904499532844</v>
      </c>
      <c r="M47">
        <f t="shared" si="8"/>
        <v>1.7223876426569336</v>
      </c>
      <c r="N47">
        <f t="shared" si="8"/>
        <v>2.1954585541768901</v>
      </c>
    </row>
    <row r="49" spans="1:8" s="1" customFormat="1" x14ac:dyDescent="0.2">
      <c r="A49" s="1" t="s">
        <v>14</v>
      </c>
      <c r="C49" s="1" t="s">
        <v>25</v>
      </c>
    </row>
    <row r="50" spans="1:8" x14ac:dyDescent="0.2">
      <c r="A50" t="s">
        <v>9</v>
      </c>
      <c r="B50">
        <v>231.51</v>
      </c>
      <c r="C50">
        <v>648.06200000000001</v>
      </c>
      <c r="D50">
        <v>984.32</v>
      </c>
      <c r="E50">
        <v>1332.4570000000001</v>
      </c>
      <c r="F50">
        <v>1241.73</v>
      </c>
      <c r="G50">
        <v>401.35199999999998</v>
      </c>
      <c r="H50">
        <v>448.24200000000002</v>
      </c>
    </row>
    <row r="51" spans="1:8" x14ac:dyDescent="0.2">
      <c r="A51" t="s">
        <v>4</v>
      </c>
      <c r="C51">
        <f>C50-B50</f>
        <v>416.55200000000002</v>
      </c>
      <c r="D51">
        <f>D50-B50</f>
        <v>752.81000000000006</v>
      </c>
      <c r="E51">
        <f>E50-B50</f>
        <v>1100.9470000000001</v>
      </c>
      <c r="F51">
        <f>F50-B50</f>
        <v>1010.22</v>
      </c>
      <c r="G51">
        <f>G50-B50</f>
        <v>169.84199999999998</v>
      </c>
      <c r="H51">
        <f>H50-B50</f>
        <v>216.73200000000003</v>
      </c>
    </row>
    <row r="52" spans="1:8" x14ac:dyDescent="0.2">
      <c r="A52" t="s">
        <v>5</v>
      </c>
      <c r="C52">
        <v>12.115</v>
      </c>
      <c r="D52">
        <v>15.65</v>
      </c>
      <c r="E52">
        <v>14.999000000000001</v>
      </c>
      <c r="F52">
        <v>14.827999999999999</v>
      </c>
      <c r="G52">
        <v>32.139000000000003</v>
      </c>
      <c r="H52">
        <v>31.832999999999998</v>
      </c>
    </row>
    <row r="53" spans="1:8" x14ac:dyDescent="0.2">
      <c r="A53" t="s">
        <v>6</v>
      </c>
      <c r="C53">
        <f>SQRT(4+C52^2)</f>
        <v>12.278974916498527</v>
      </c>
      <c r="D53">
        <f t="shared" ref="D53:H53" si="9">SQRT(4+D52^2)</f>
        <v>15.777277965479344</v>
      </c>
      <c r="E53">
        <f t="shared" si="9"/>
        <v>15.131754723098046</v>
      </c>
      <c r="F53">
        <f t="shared" si="9"/>
        <v>14.96227201998413</v>
      </c>
      <c r="G53">
        <f t="shared" si="9"/>
        <v>32.201169559505139</v>
      </c>
      <c r="H53">
        <f t="shared" si="9"/>
        <v>31.895766004283388</v>
      </c>
    </row>
    <row r="54" spans="1:8" x14ac:dyDescent="0.2">
      <c r="A54" t="s">
        <v>10</v>
      </c>
      <c r="C54">
        <f>C51/229.046</f>
        <v>1.8186390506710444</v>
      </c>
      <c r="D54">
        <f t="shared" ref="D54:H54" si="10">D51/229.046</f>
        <v>3.2867196982265576</v>
      </c>
      <c r="E54">
        <f t="shared" si="10"/>
        <v>4.8066632903434252</v>
      </c>
      <c r="F54">
        <f t="shared" si="10"/>
        <v>4.4105550850047592</v>
      </c>
      <c r="G54">
        <f t="shared" si="10"/>
        <v>0.7415191708215817</v>
      </c>
      <c r="H54">
        <f t="shared" si="10"/>
        <v>0.94623787361490719</v>
      </c>
    </row>
    <row r="56" spans="1:8" s="1" customFormat="1" x14ac:dyDescent="0.2">
      <c r="A56" s="1" t="s">
        <v>15</v>
      </c>
      <c r="C56" s="1" t="s">
        <v>25</v>
      </c>
    </row>
    <row r="57" spans="1:8" x14ac:dyDescent="0.2">
      <c r="A57" t="s">
        <v>9</v>
      </c>
      <c r="B57">
        <v>231.51</v>
      </c>
      <c r="C57">
        <v>383.09</v>
      </c>
      <c r="D57">
        <v>626.34400000000005</v>
      </c>
      <c r="E57">
        <v>677.46500000000003</v>
      </c>
      <c r="F57">
        <v>611.43799999999999</v>
      </c>
    </row>
    <row r="58" spans="1:8" x14ac:dyDescent="0.2">
      <c r="A58" t="s">
        <v>4</v>
      </c>
      <c r="C58">
        <f>C57-B57</f>
        <v>151.57999999999998</v>
      </c>
      <c r="D58">
        <f>D57-B57</f>
        <v>394.83400000000006</v>
      </c>
      <c r="E58">
        <f>E57-B57</f>
        <v>445.95500000000004</v>
      </c>
      <c r="F58">
        <f>F57-B57</f>
        <v>379.928</v>
      </c>
    </row>
    <row r="59" spans="1:8" x14ac:dyDescent="0.2">
      <c r="A59" t="s">
        <v>5</v>
      </c>
      <c r="C59">
        <v>12.054</v>
      </c>
      <c r="D59">
        <v>15.141</v>
      </c>
      <c r="E59">
        <v>15.32</v>
      </c>
      <c r="F59">
        <v>14.54</v>
      </c>
    </row>
    <row r="60" spans="1:8" x14ac:dyDescent="0.2">
      <c r="A60" t="s">
        <v>6</v>
      </c>
      <c r="C60">
        <f>SQRT(9+C59^2)</f>
        <v>12.421711476282164</v>
      </c>
      <c r="D60">
        <f t="shared" ref="D60:F60" si="11">SQRT(9+D59^2)</f>
        <v>15.435345185644538</v>
      </c>
      <c r="E60">
        <f t="shared" si="11"/>
        <v>15.610970501541537</v>
      </c>
      <c r="F60">
        <f t="shared" si="11"/>
        <v>14.846265523693154</v>
      </c>
    </row>
    <row r="61" spans="1:8" x14ac:dyDescent="0.2">
      <c r="A61" t="s">
        <v>10</v>
      </c>
      <c r="C61">
        <f>C58/229.046</f>
        <v>0.66178846170638206</v>
      </c>
      <c r="D61">
        <f t="shared" ref="D61:F61" si="12">D58/229.046</f>
        <v>1.723819669411385</v>
      </c>
      <c r="E61">
        <f t="shared" si="12"/>
        <v>1.9470106441500836</v>
      </c>
      <c r="F61">
        <f t="shared" si="12"/>
        <v>1.6587410389179467</v>
      </c>
    </row>
    <row r="63" spans="1:8" s="1" customFormat="1" x14ac:dyDescent="0.2">
      <c r="A63" s="1" t="s">
        <v>16</v>
      </c>
      <c r="C63" s="1" t="s">
        <v>25</v>
      </c>
    </row>
    <row r="64" spans="1:8" x14ac:dyDescent="0.2">
      <c r="A64" t="s">
        <v>9</v>
      </c>
      <c r="B64">
        <v>231.51</v>
      </c>
      <c r="C64">
        <v>567.55499999999995</v>
      </c>
    </row>
    <row r="65" spans="1:8" x14ac:dyDescent="0.2">
      <c r="A65" t="s">
        <v>4</v>
      </c>
      <c r="C65">
        <f>C64-B64</f>
        <v>336.04499999999996</v>
      </c>
    </row>
    <row r="66" spans="1:8" x14ac:dyDescent="0.2">
      <c r="A66" t="s">
        <v>5</v>
      </c>
      <c r="C66">
        <v>15.005000000000001</v>
      </c>
    </row>
    <row r="67" spans="1:8" x14ac:dyDescent="0.2">
      <c r="A67" t="s">
        <v>17</v>
      </c>
      <c r="C67">
        <f>SQRT(16+C66^2)</f>
        <v>15.529005924398382</v>
      </c>
    </row>
    <row r="68" spans="1:8" x14ac:dyDescent="0.2">
      <c r="A68" t="s">
        <v>10</v>
      </c>
      <c r="C68">
        <f>C65/229.046</f>
        <v>1.4671507033521649</v>
      </c>
    </row>
    <row r="70" spans="1:8" s="1" customFormat="1" x14ac:dyDescent="0.2">
      <c r="A70" s="1" t="s">
        <v>18</v>
      </c>
      <c r="C70" s="1" t="s">
        <v>23</v>
      </c>
    </row>
    <row r="71" spans="1:8" x14ac:dyDescent="0.2">
      <c r="A71" t="s">
        <v>9</v>
      </c>
      <c r="B71">
        <v>231.51</v>
      </c>
      <c r="C71">
        <v>565.65599999999995</v>
      </c>
    </row>
    <row r="72" spans="1:8" x14ac:dyDescent="0.2">
      <c r="A72" t="s">
        <v>4</v>
      </c>
      <c r="C72">
        <f>C71-B71</f>
        <v>334.14599999999996</v>
      </c>
    </row>
    <row r="73" spans="1:8" x14ac:dyDescent="0.2">
      <c r="A73" t="s">
        <v>5</v>
      </c>
      <c r="C73">
        <v>29.079000000000001</v>
      </c>
    </row>
    <row r="74" spans="1:8" x14ac:dyDescent="0.2">
      <c r="A74" t="s">
        <v>6</v>
      </c>
      <c r="C74">
        <f>SQRT(25+C73^2)</f>
        <v>29.505732341360382</v>
      </c>
    </row>
    <row r="75" spans="1:8" x14ac:dyDescent="0.2">
      <c r="A75" t="s">
        <v>10</v>
      </c>
    </row>
    <row r="77" spans="1:8" s="1" customFormat="1" x14ac:dyDescent="0.2">
      <c r="A77" s="1" t="s">
        <v>19</v>
      </c>
      <c r="C77" s="1" t="s">
        <v>23</v>
      </c>
      <c r="E77" s="1" t="s">
        <v>24</v>
      </c>
    </row>
    <row r="78" spans="1:8" x14ac:dyDescent="0.2">
      <c r="A78" t="s">
        <v>9</v>
      </c>
      <c r="B78">
        <v>231.51</v>
      </c>
      <c r="C78">
        <v>357.92599999999999</v>
      </c>
      <c r="D78">
        <v>379.96499999999997</v>
      </c>
      <c r="E78">
        <v>382.10199999999998</v>
      </c>
      <c r="F78">
        <v>459.43799999999999</v>
      </c>
      <c r="G78">
        <v>484.25400000000002</v>
      </c>
      <c r="H78">
        <v>569.51599999999996</v>
      </c>
    </row>
    <row r="79" spans="1:8" x14ac:dyDescent="0.2">
      <c r="A79" t="s">
        <v>4</v>
      </c>
      <c r="C79">
        <f>C78-B78</f>
        <v>126.416</v>
      </c>
      <c r="D79">
        <f>D78-B78</f>
        <v>148.45499999999998</v>
      </c>
      <c r="E79">
        <f>E78-B78</f>
        <v>150.59199999999998</v>
      </c>
      <c r="F79">
        <f>F78-B78</f>
        <v>227.928</v>
      </c>
      <c r="G79">
        <f>G78-B78</f>
        <v>252.74400000000003</v>
      </c>
      <c r="H79">
        <f>H78-B78</f>
        <v>338.00599999999997</v>
      </c>
    </row>
    <row r="80" spans="1:8" x14ac:dyDescent="0.2">
      <c r="A80" t="s">
        <v>5</v>
      </c>
      <c r="C80">
        <v>27.506</v>
      </c>
      <c r="D80">
        <v>30.67</v>
      </c>
      <c r="E80">
        <v>29.460999999999999</v>
      </c>
      <c r="F80">
        <v>29.905000000000001</v>
      </c>
      <c r="G80">
        <v>29.446999999999999</v>
      </c>
      <c r="H80">
        <v>30.812000000000001</v>
      </c>
    </row>
    <row r="81" spans="1:10" x14ac:dyDescent="0.2">
      <c r="A81" t="s">
        <v>6</v>
      </c>
      <c r="C81">
        <f>SQRT(36+C80^2)</f>
        <v>28.152798013696614</v>
      </c>
      <c r="D81">
        <f t="shared" ref="D81:H81" si="13">SQRT(36+D80^2)</f>
        <v>31.251382369424878</v>
      </c>
      <c r="E81">
        <f t="shared" si="13"/>
        <v>30.065769921956097</v>
      </c>
      <c r="F81">
        <f t="shared" si="13"/>
        <v>30.500967607602224</v>
      </c>
      <c r="G81">
        <f t="shared" si="13"/>
        <v>30.052051660410807</v>
      </c>
      <c r="H81">
        <f t="shared" si="13"/>
        <v>31.390752523633456</v>
      </c>
    </row>
    <row r="82" spans="1:10" x14ac:dyDescent="0.2">
      <c r="A82" t="s">
        <v>10</v>
      </c>
      <c r="E82">
        <f>E79/229.046</f>
        <v>0.65747491770212096</v>
      </c>
      <c r="F82">
        <f t="shared" ref="F82:H82" si="14">F79/229.046</f>
        <v>0.99511888441623086</v>
      </c>
      <c r="G82">
        <f t="shared" si="14"/>
        <v>1.1034639330090901</v>
      </c>
      <c r="H82">
        <f t="shared" si="14"/>
        <v>1.4757123023322825</v>
      </c>
    </row>
    <row r="84" spans="1:10" s="1" customFormat="1" x14ac:dyDescent="0.2">
      <c r="A84" s="1" t="s">
        <v>20</v>
      </c>
      <c r="C84" s="1" t="s">
        <v>23</v>
      </c>
      <c r="D84" s="1" t="s">
        <v>24</v>
      </c>
    </row>
    <row r="85" spans="1:10" x14ac:dyDescent="0.2">
      <c r="A85" t="s">
        <v>9</v>
      </c>
      <c r="B85">
        <v>231.51</v>
      </c>
      <c r="C85">
        <v>371.57</v>
      </c>
      <c r="D85">
        <v>383.99599999999998</v>
      </c>
      <c r="E85">
        <v>754.02</v>
      </c>
      <c r="F85">
        <v>519.73</v>
      </c>
      <c r="G85">
        <v>487.31200000000001</v>
      </c>
      <c r="H85">
        <v>592.375</v>
      </c>
      <c r="I85">
        <v>794.63300000000004</v>
      </c>
      <c r="J85">
        <v>721.47299999999996</v>
      </c>
    </row>
    <row r="86" spans="1:10" x14ac:dyDescent="0.2">
      <c r="A86" t="s">
        <v>21</v>
      </c>
      <c r="C86">
        <f>C85-B85</f>
        <v>140.06</v>
      </c>
      <c r="D86">
        <f>D85-B85</f>
        <v>152.48599999999999</v>
      </c>
      <c r="E86">
        <f>E85-B85</f>
        <v>522.51</v>
      </c>
      <c r="F86">
        <f>F85-B85</f>
        <v>288.22000000000003</v>
      </c>
      <c r="G86">
        <f>G85-B85</f>
        <v>255.80200000000002</v>
      </c>
      <c r="H86">
        <f>H85-B85</f>
        <v>360.86500000000001</v>
      </c>
      <c r="I86">
        <f>I85-B85</f>
        <v>563.12300000000005</v>
      </c>
      <c r="J86">
        <f>J85-B85</f>
        <v>489.96299999999997</v>
      </c>
    </row>
    <row r="87" spans="1:10" x14ac:dyDescent="0.2">
      <c r="A87" t="s">
        <v>5</v>
      </c>
      <c r="C87">
        <v>27.670999999999999</v>
      </c>
      <c r="D87">
        <v>30.591999999999999</v>
      </c>
      <c r="E87">
        <v>29.373000000000001</v>
      </c>
      <c r="F87">
        <v>29.981999999999999</v>
      </c>
      <c r="G87">
        <v>29.079000000000001</v>
      </c>
      <c r="H87">
        <v>29.402999999999999</v>
      </c>
      <c r="I87">
        <v>30.765999999999998</v>
      </c>
      <c r="J87">
        <v>30.356999999999999</v>
      </c>
    </row>
    <row r="88" spans="1:10" x14ac:dyDescent="0.2">
      <c r="A88" t="s">
        <v>6</v>
      </c>
      <c r="C88">
        <f>SQRT(49+C87^2)</f>
        <v>28.54267403380419</v>
      </c>
      <c r="D88">
        <f t="shared" ref="D88:J88" si="15">SQRT(49+D87^2)</f>
        <v>31.382645905022095</v>
      </c>
      <c r="E88">
        <f t="shared" si="15"/>
        <v>30.195581282697638</v>
      </c>
      <c r="F88">
        <f t="shared" si="15"/>
        <v>30.788314731404185</v>
      </c>
      <c r="G88">
        <f t="shared" si="15"/>
        <v>29.909668018886467</v>
      </c>
      <c r="H88">
        <f t="shared" si="15"/>
        <v>30.224764829523487</v>
      </c>
      <c r="I88">
        <f t="shared" si="15"/>
        <v>31.552286066147406</v>
      </c>
      <c r="J88">
        <f t="shared" si="15"/>
        <v>31.153610529118449</v>
      </c>
    </row>
    <row r="89" spans="1:10" x14ac:dyDescent="0.2">
      <c r="A89" t="s">
        <v>10</v>
      </c>
      <c r="D89">
        <f>D86/229.046</f>
        <v>0.66574399902203052</v>
      </c>
      <c r="E89">
        <f t="shared" ref="E89:J89" si="16">E86/229.046</f>
        <v>2.281244815451918</v>
      </c>
      <c r="F89">
        <f t="shared" si="16"/>
        <v>1.2583498511216089</v>
      </c>
      <c r="G89">
        <f t="shared" si="16"/>
        <v>1.11681496293321</v>
      </c>
      <c r="H89">
        <f t="shared" si="16"/>
        <v>1.5755132156859322</v>
      </c>
      <c r="I89">
        <f t="shared" si="16"/>
        <v>2.4585585428254588</v>
      </c>
      <c r="J89">
        <f t="shared" si="16"/>
        <v>2.1391467216192379</v>
      </c>
    </row>
    <row r="91" spans="1:10" s="1" customFormat="1" x14ac:dyDescent="0.2">
      <c r="A91" s="1" t="s">
        <v>22</v>
      </c>
      <c r="C91" s="1" t="s">
        <v>24</v>
      </c>
    </row>
    <row r="92" spans="1:10" x14ac:dyDescent="0.2">
      <c r="A92" t="s">
        <v>9</v>
      </c>
      <c r="B92">
        <v>231.51</v>
      </c>
      <c r="C92">
        <v>380.23</v>
      </c>
      <c r="D92">
        <v>360.74200000000002</v>
      </c>
      <c r="E92">
        <v>333.04700000000003</v>
      </c>
    </row>
    <row r="93" spans="1:10" x14ac:dyDescent="0.2">
      <c r="A93" t="s">
        <v>4</v>
      </c>
      <c r="C93">
        <f>C92-B92</f>
        <v>148.72000000000003</v>
      </c>
      <c r="D93">
        <f>D92-B92</f>
        <v>129.23200000000003</v>
      </c>
      <c r="E93">
        <f>E92-B92</f>
        <v>101.53700000000003</v>
      </c>
    </row>
    <row r="94" spans="1:10" x14ac:dyDescent="0.2">
      <c r="A94" t="s">
        <v>5</v>
      </c>
      <c r="C94">
        <v>29.981999999999999</v>
      </c>
      <c r="D94">
        <v>30.582000000000001</v>
      </c>
      <c r="E94">
        <v>29.561</v>
      </c>
    </row>
    <row r="95" spans="1:10" x14ac:dyDescent="0.2">
      <c r="A95" t="s">
        <v>17</v>
      </c>
      <c r="C95">
        <f>SQRT(64+C94^2)</f>
        <v>31.030957510202612</v>
      </c>
      <c r="D95">
        <f t="shared" ref="D95:E95" si="17">SQRT(64+D94^2)</f>
        <v>31.611053826153913</v>
      </c>
      <c r="E95">
        <f t="shared" si="17"/>
        <v>30.624381152931075</v>
      </c>
    </row>
    <row r="96" spans="1:10" x14ac:dyDescent="0.2">
      <c r="A96" t="s">
        <v>10</v>
      </c>
      <c r="C96">
        <f>C93/229.046</f>
        <v>0.64930188695720525</v>
      </c>
      <c r="D96">
        <f t="shared" ref="D96:E96" si="18">D93/229.046</f>
        <v>0.56421854125372206</v>
      </c>
      <c r="E96">
        <f t="shared" si="18"/>
        <v>0.4433039651423733</v>
      </c>
    </row>
    <row r="98" spans="1:2" x14ac:dyDescent="0.2">
      <c r="A98" t="s">
        <v>26</v>
      </c>
      <c r="B98">
        <f>AVERAGE(C86,C79:D79,C72,C44:D44,C38,C31:D31,C24:E24,)</f>
        <v>229.04646153846153</v>
      </c>
    </row>
    <row r="99" spans="1:2" x14ac:dyDescent="0.2">
      <c r="A99" t="s">
        <v>27</v>
      </c>
      <c r="B99">
        <v>44.564999999999998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AE6D-20F7-42A0-BD5E-7B54FE62EB60}">
  <dimension ref="A1:S65"/>
  <sheetViews>
    <sheetView workbookViewId="0">
      <selection activeCell="F6" sqref="F6"/>
    </sheetView>
  </sheetViews>
  <sheetFormatPr baseColWidth="10" defaultColWidth="8.83203125" defaultRowHeight="15" x14ac:dyDescent="0.2"/>
  <cols>
    <col min="1" max="1" width="17.83203125" customWidth="1"/>
    <col min="2" max="2" width="14.6640625" customWidth="1"/>
  </cols>
  <sheetData>
    <row r="1" spans="1:5" x14ac:dyDescent="0.2">
      <c r="A1" t="s">
        <v>40</v>
      </c>
    </row>
    <row r="2" spans="1:5" s="1" customFormat="1" x14ac:dyDescent="0.2">
      <c r="A2" s="1" t="s">
        <v>41</v>
      </c>
      <c r="B2" s="1" t="s">
        <v>2</v>
      </c>
      <c r="C2" s="1" t="s">
        <v>25</v>
      </c>
    </row>
    <row r="3" spans="1:5" x14ac:dyDescent="0.2">
      <c r="A3" t="s">
        <v>9</v>
      </c>
      <c r="B3">
        <v>246.68799999999999</v>
      </c>
      <c r="C3">
        <v>495.82799999999997</v>
      </c>
      <c r="D3">
        <v>2138.1480000000001</v>
      </c>
    </row>
    <row r="4" spans="1:5" x14ac:dyDescent="0.2">
      <c r="A4" t="s">
        <v>4</v>
      </c>
      <c r="C4">
        <f>C3-B3</f>
        <v>249.14</v>
      </c>
      <c r="D4">
        <f>D3-B3</f>
        <v>1891.46</v>
      </c>
    </row>
    <row r="5" spans="1:5" x14ac:dyDescent="0.2">
      <c r="A5" t="s">
        <v>31</v>
      </c>
      <c r="C5">
        <v>16.100000000000001</v>
      </c>
      <c r="D5">
        <v>18.986999999999998</v>
      </c>
    </row>
    <row r="6" spans="1:5" x14ac:dyDescent="0.2">
      <c r="A6" t="s">
        <v>17</v>
      </c>
      <c r="C6">
        <f>SQRT(16+C5^2)</f>
        <v>16.589454481688058</v>
      </c>
      <c r="D6">
        <f>SQRT(16+D5^2)</f>
        <v>19.403766876562909</v>
      </c>
    </row>
    <row r="7" spans="1:5" x14ac:dyDescent="0.2">
      <c r="A7" t="s">
        <v>10</v>
      </c>
      <c r="C7">
        <f>C4/616.546</f>
        <v>0.4040898813713818</v>
      </c>
      <c r="D7">
        <f>D4/616.546</f>
        <v>3.0678327326752584</v>
      </c>
    </row>
    <row r="9" spans="1:5" s="1" customFormat="1" x14ac:dyDescent="0.2">
      <c r="A9" s="1" t="s">
        <v>8</v>
      </c>
      <c r="C9" s="1" t="s">
        <v>25</v>
      </c>
    </row>
    <row r="10" spans="1:5" x14ac:dyDescent="0.2">
      <c r="A10" t="s">
        <v>9</v>
      </c>
      <c r="B10">
        <v>246.68799999999999</v>
      </c>
      <c r="C10">
        <v>2118.6129999999998</v>
      </c>
      <c r="D10">
        <v>913.07399999999996</v>
      </c>
      <c r="E10">
        <v>602.63699999999994</v>
      </c>
    </row>
    <row r="11" spans="1:5" x14ac:dyDescent="0.2">
      <c r="A11" t="s">
        <v>4</v>
      </c>
      <c r="C11">
        <f>C10-B10</f>
        <v>1871.9249999999997</v>
      </c>
      <c r="D11">
        <f>D10-B10</f>
        <v>666.38599999999997</v>
      </c>
      <c r="E11">
        <f>E10-B10</f>
        <v>355.94899999999996</v>
      </c>
    </row>
    <row r="12" spans="1:5" x14ac:dyDescent="0.2">
      <c r="A12" t="s">
        <v>5</v>
      </c>
      <c r="C12">
        <v>3.8690000000000002</v>
      </c>
      <c r="D12">
        <v>19.274999999999999</v>
      </c>
      <c r="E12">
        <v>16.100000000000001</v>
      </c>
    </row>
    <row r="13" spans="1:5" x14ac:dyDescent="0.2">
      <c r="A13" t="s">
        <v>6</v>
      </c>
      <c r="C13">
        <f>SQRT(9+C12^2)</f>
        <v>4.895830981559719</v>
      </c>
      <c r="D13">
        <f t="shared" ref="D13:E13" si="0">SQRT(9+D12^2)</f>
        <v>19.507066027468095</v>
      </c>
      <c r="E13">
        <f t="shared" si="0"/>
        <v>16.377118183612158</v>
      </c>
    </row>
    <row r="14" spans="1:5" x14ac:dyDescent="0.2">
      <c r="A14" t="s">
        <v>10</v>
      </c>
      <c r="C14">
        <f>C11/616.546</f>
        <v>3.0361481543956161</v>
      </c>
      <c r="D14">
        <f t="shared" ref="D14:E14" si="1">D11/616.546</f>
        <v>1.0808374395422238</v>
      </c>
      <c r="E14">
        <f t="shared" si="1"/>
        <v>0.57732756355567938</v>
      </c>
    </row>
    <row r="16" spans="1:5" s="1" customFormat="1" x14ac:dyDescent="0.2">
      <c r="A16" s="1" t="s">
        <v>11</v>
      </c>
      <c r="C16" s="1" t="s">
        <v>23</v>
      </c>
      <c r="D16" s="1" t="s">
        <v>25</v>
      </c>
    </row>
    <row r="17" spans="1:18" x14ac:dyDescent="0.2">
      <c r="A17" t="s">
        <v>9</v>
      </c>
      <c r="B17">
        <v>246.68799999999999</v>
      </c>
      <c r="C17">
        <v>629.70299999999997</v>
      </c>
      <c r="D17">
        <v>1215.8440000000001</v>
      </c>
      <c r="E17">
        <v>3067.9769999999999</v>
      </c>
      <c r="F17">
        <v>1666.422</v>
      </c>
      <c r="G17">
        <v>908.99199999999996</v>
      </c>
      <c r="H17">
        <v>1162.4839999999999</v>
      </c>
      <c r="I17">
        <v>2365.27</v>
      </c>
    </row>
    <row r="18" spans="1:18" x14ac:dyDescent="0.2">
      <c r="A18" t="s">
        <v>4</v>
      </c>
      <c r="C18">
        <f>C17-B17</f>
        <v>383.01499999999999</v>
      </c>
      <c r="D18">
        <f>D17-B17</f>
        <v>969.15600000000006</v>
      </c>
      <c r="E18">
        <f>E17-B17</f>
        <v>2821.2889999999998</v>
      </c>
      <c r="F18">
        <f>F17-B17</f>
        <v>1419.7339999999999</v>
      </c>
      <c r="G18">
        <f>G17-B17</f>
        <v>662.30399999999997</v>
      </c>
      <c r="H18">
        <f>H17-B17</f>
        <v>915.79599999999994</v>
      </c>
      <c r="I18">
        <f>I17-B17</f>
        <v>2118.5819999999999</v>
      </c>
    </row>
    <row r="19" spans="1:18" x14ac:dyDescent="0.2">
      <c r="A19" t="s">
        <v>5</v>
      </c>
      <c r="C19">
        <v>18.024000000000001</v>
      </c>
      <c r="D19">
        <v>0.84799999999999998</v>
      </c>
      <c r="E19">
        <v>3.867</v>
      </c>
      <c r="F19">
        <v>16.47</v>
      </c>
      <c r="G19">
        <v>15.798</v>
      </c>
      <c r="H19">
        <v>1.486</v>
      </c>
      <c r="I19">
        <v>19.231000000000002</v>
      </c>
    </row>
    <row r="20" spans="1:18" x14ac:dyDescent="0.2">
      <c r="A20" t="s">
        <v>6</v>
      </c>
      <c r="C20">
        <f>SQRT(4+C19^2)</f>
        <v>18.134623679580454</v>
      </c>
      <c r="D20">
        <f t="shared" ref="D20:I20" si="2">SQRT(4+D19^2)</f>
        <v>2.1723498797385288</v>
      </c>
      <c r="E20">
        <f t="shared" si="2"/>
        <v>4.353583466525019</v>
      </c>
      <c r="F20">
        <f t="shared" si="2"/>
        <v>16.59098851786716</v>
      </c>
      <c r="G20">
        <f t="shared" si="2"/>
        <v>15.924095076330083</v>
      </c>
      <c r="H20">
        <f t="shared" si="2"/>
        <v>2.4916251724527108</v>
      </c>
      <c r="I20">
        <f t="shared" si="2"/>
        <v>19.334719056660742</v>
      </c>
    </row>
    <row r="21" spans="1:18" x14ac:dyDescent="0.2">
      <c r="A21" t="s">
        <v>10</v>
      </c>
      <c r="D21">
        <f>D18/616.546</f>
        <v>1.5719119092492693</v>
      </c>
      <c r="E21">
        <f t="shared" ref="E21:I21" si="3">E18/616.546</f>
        <v>4.5759586470433664</v>
      </c>
      <c r="F21">
        <f t="shared" si="3"/>
        <v>2.3027219380224668</v>
      </c>
      <c r="G21">
        <f t="shared" si="3"/>
        <v>1.0742166845620602</v>
      </c>
      <c r="H21">
        <f t="shared" si="3"/>
        <v>1.4853652444424259</v>
      </c>
      <c r="I21">
        <f t="shared" si="3"/>
        <v>3.4362107612408477</v>
      </c>
    </row>
    <row r="23" spans="1:18" s="1" customFormat="1" x14ac:dyDescent="0.2">
      <c r="A23" s="1" t="s">
        <v>29</v>
      </c>
      <c r="C23" s="1" t="s">
        <v>23</v>
      </c>
      <c r="D23" s="1" t="s">
        <v>25</v>
      </c>
    </row>
    <row r="24" spans="1:18" x14ac:dyDescent="0.2">
      <c r="A24" t="s">
        <v>9</v>
      </c>
      <c r="B24">
        <v>246.68799999999999</v>
      </c>
      <c r="C24">
        <v>899.76199999999994</v>
      </c>
      <c r="D24">
        <v>940.83199999999999</v>
      </c>
      <c r="E24">
        <v>798.99199999999996</v>
      </c>
      <c r="F24">
        <v>1240.8240000000001</v>
      </c>
      <c r="G24">
        <v>1191.3440000000001</v>
      </c>
      <c r="H24">
        <v>898.94899999999996</v>
      </c>
      <c r="I24">
        <v>2006.375</v>
      </c>
      <c r="J24">
        <v>1444.8119999999999</v>
      </c>
      <c r="K24">
        <v>1586.598</v>
      </c>
      <c r="L24">
        <v>1057.3910000000001</v>
      </c>
    </row>
    <row r="25" spans="1:18" x14ac:dyDescent="0.2">
      <c r="A25" t="s">
        <v>4</v>
      </c>
      <c r="C25">
        <f>C24-B24</f>
        <v>653.07399999999996</v>
      </c>
      <c r="D25">
        <f>D24-B24</f>
        <v>694.14400000000001</v>
      </c>
      <c r="E25">
        <f>E24-B24</f>
        <v>552.30399999999997</v>
      </c>
      <c r="F25">
        <f>F24-B24</f>
        <v>994.13600000000008</v>
      </c>
      <c r="G25">
        <f>G24-B24</f>
        <v>944.65600000000006</v>
      </c>
      <c r="H25">
        <f>H24-B24</f>
        <v>652.26099999999997</v>
      </c>
      <c r="I25">
        <f>I24-B24</f>
        <v>1759.6869999999999</v>
      </c>
      <c r="J25">
        <f>J24-B24</f>
        <v>1198.1239999999998</v>
      </c>
      <c r="K25">
        <f>K24-B24</f>
        <v>1339.9099999999999</v>
      </c>
      <c r="L25">
        <f>L24-B24</f>
        <v>810.70300000000009</v>
      </c>
    </row>
    <row r="26" spans="1:18" x14ac:dyDescent="0.2">
      <c r="A26" t="s">
        <v>31</v>
      </c>
      <c r="C26">
        <v>8.7509999999999994</v>
      </c>
      <c r="D26">
        <v>3.5350000000000001</v>
      </c>
      <c r="E26">
        <v>3.008</v>
      </c>
      <c r="F26">
        <v>1.5649999999999999</v>
      </c>
      <c r="G26">
        <v>1.6180000000000001</v>
      </c>
      <c r="H26">
        <v>2.4710000000000001</v>
      </c>
      <c r="I26">
        <v>2.766</v>
      </c>
      <c r="J26">
        <v>3.9420000000000002</v>
      </c>
      <c r="K26">
        <v>18.154</v>
      </c>
      <c r="L26">
        <v>16.338999999999999</v>
      </c>
    </row>
    <row r="27" spans="1:18" x14ac:dyDescent="0.2">
      <c r="A27" t="s">
        <v>6</v>
      </c>
      <c r="C27">
        <f>SQRT(1+C26^2)</f>
        <v>8.8079510103088108</v>
      </c>
      <c r="D27">
        <f t="shared" ref="D27:L27" si="4">SQRT(1+D26^2)</f>
        <v>3.673720865825274</v>
      </c>
      <c r="E27">
        <f t="shared" si="4"/>
        <v>3.1698681360586596</v>
      </c>
      <c r="F27">
        <f t="shared" si="4"/>
        <v>1.8572089273961612</v>
      </c>
      <c r="G27">
        <f t="shared" si="4"/>
        <v>1.9020841201166683</v>
      </c>
      <c r="H27">
        <f t="shared" si="4"/>
        <v>2.6656783376844251</v>
      </c>
      <c r="I27">
        <f t="shared" si="4"/>
        <v>2.9412167550182358</v>
      </c>
      <c r="J27">
        <f t="shared" si="4"/>
        <v>4.0668616893127805</v>
      </c>
      <c r="K27">
        <f t="shared" si="4"/>
        <v>18.181521278484922</v>
      </c>
      <c r="L27">
        <f t="shared" si="4"/>
        <v>16.369573024364438</v>
      </c>
    </row>
    <row r="28" spans="1:18" x14ac:dyDescent="0.2">
      <c r="A28" t="s">
        <v>10</v>
      </c>
      <c r="D28">
        <f>D25/616.546</f>
        <v>1.1258592221829351</v>
      </c>
      <c r="E28">
        <f t="shared" ref="E28:L28" si="5">E25/616.546</f>
        <v>0.89580339504270556</v>
      </c>
      <c r="F28">
        <f t="shared" si="5"/>
        <v>1.6124279453601191</v>
      </c>
      <c r="G28">
        <f t="shared" si="5"/>
        <v>1.5321744038563221</v>
      </c>
      <c r="H28">
        <f t="shared" si="5"/>
        <v>1.057927551228943</v>
      </c>
      <c r="I28">
        <f t="shared" si="5"/>
        <v>2.8541049654040407</v>
      </c>
      <c r="J28">
        <f t="shared" si="5"/>
        <v>1.9432840372007922</v>
      </c>
      <c r="K28">
        <f t="shared" si="5"/>
        <v>2.1732522796352578</v>
      </c>
      <c r="L28">
        <f t="shared" si="5"/>
        <v>1.3149108095746302</v>
      </c>
    </row>
    <row r="30" spans="1:18" s="1" customFormat="1" x14ac:dyDescent="0.2">
      <c r="A30" s="1" t="s">
        <v>42</v>
      </c>
      <c r="C30" s="1" t="s">
        <v>23</v>
      </c>
      <c r="F30" s="1" t="s">
        <v>25</v>
      </c>
    </row>
    <row r="31" spans="1:18" x14ac:dyDescent="0.2">
      <c r="A31" t="s">
        <v>9</v>
      </c>
      <c r="B31">
        <v>246.68799999999999</v>
      </c>
      <c r="C31">
        <v>810.87599999999998</v>
      </c>
      <c r="D31">
        <v>710.64099999999996</v>
      </c>
      <c r="E31">
        <v>1159.6880000000001</v>
      </c>
      <c r="F31">
        <v>2322.6019999999999</v>
      </c>
      <c r="G31">
        <v>914.56600000000003</v>
      </c>
      <c r="H31">
        <v>1716.0350000000001</v>
      </c>
      <c r="I31">
        <v>1705.0550000000001</v>
      </c>
      <c r="J31">
        <v>506.83699999999999</v>
      </c>
      <c r="K31">
        <v>4548.8549999999996</v>
      </c>
      <c r="L31">
        <v>2306.1680000000001</v>
      </c>
      <c r="M31">
        <v>1867.0350000000001</v>
      </c>
      <c r="N31">
        <v>1915.473</v>
      </c>
      <c r="O31">
        <v>1433.4649999999999</v>
      </c>
      <c r="P31">
        <v>2302.4180000000001</v>
      </c>
      <c r="Q31">
        <v>2714.4140000000002</v>
      </c>
      <c r="R31">
        <v>676.78499999999997</v>
      </c>
    </row>
    <row r="32" spans="1:18" x14ac:dyDescent="0.2">
      <c r="A32" t="s">
        <v>21</v>
      </c>
      <c r="C32">
        <f>C31-B31</f>
        <v>564.18799999999999</v>
      </c>
      <c r="D32">
        <f>D31-B31</f>
        <v>463.95299999999997</v>
      </c>
      <c r="E32">
        <f>E31-B31</f>
        <v>913.00000000000011</v>
      </c>
      <c r="F32">
        <f>F31-B31</f>
        <v>2075.9139999999998</v>
      </c>
      <c r="G32">
        <f>G31-B31</f>
        <v>667.87800000000004</v>
      </c>
      <c r="H32">
        <f>H31-B31</f>
        <v>1469.3470000000002</v>
      </c>
      <c r="I32">
        <f>I31-B31</f>
        <v>1458.3670000000002</v>
      </c>
      <c r="J32">
        <f>J31-B31</f>
        <v>260.149</v>
      </c>
      <c r="K32">
        <f>K31-B31</f>
        <v>4302.1669999999995</v>
      </c>
      <c r="L32">
        <f>L31-B31</f>
        <v>2059.48</v>
      </c>
      <c r="M32">
        <f>M31-B31</f>
        <v>1620.3470000000002</v>
      </c>
      <c r="N32">
        <f>N31-B31</f>
        <v>1668.7849999999999</v>
      </c>
      <c r="O32">
        <f>O31-B31</f>
        <v>1186.777</v>
      </c>
      <c r="P32">
        <f>P31-B31</f>
        <v>2055.73</v>
      </c>
      <c r="Q32">
        <f>Q31-B31</f>
        <v>2467.7260000000001</v>
      </c>
      <c r="R32">
        <f>R31-B31</f>
        <v>430.09699999999998</v>
      </c>
    </row>
    <row r="33" spans="1:19" x14ac:dyDescent="0.2">
      <c r="A33" t="s">
        <v>5</v>
      </c>
      <c r="C33">
        <v>21.745999999999999</v>
      </c>
      <c r="D33">
        <v>7.4749999999999996</v>
      </c>
      <c r="E33">
        <v>1.4079999999999999</v>
      </c>
      <c r="F33">
        <v>8.7070000000000007</v>
      </c>
      <c r="G33">
        <v>7.5609999999999999</v>
      </c>
      <c r="H33">
        <v>8.1039999999999992</v>
      </c>
      <c r="I33">
        <v>7.3460000000000001</v>
      </c>
      <c r="J33">
        <v>5.41</v>
      </c>
      <c r="K33">
        <v>3.5880000000000001</v>
      </c>
      <c r="L33">
        <v>3.1850000000000001</v>
      </c>
      <c r="M33">
        <v>2.927</v>
      </c>
      <c r="N33">
        <v>3.4449999999999998</v>
      </c>
      <c r="O33">
        <v>3.5609999999999999</v>
      </c>
      <c r="P33">
        <v>2.7</v>
      </c>
      <c r="Q33">
        <v>2.2290000000000001</v>
      </c>
      <c r="R33">
        <v>18.212</v>
      </c>
    </row>
    <row r="34" spans="1:19" x14ac:dyDescent="0.2">
      <c r="A34" t="s">
        <v>10</v>
      </c>
      <c r="F34">
        <f>F32/616.546</f>
        <v>3.3670058681752857</v>
      </c>
      <c r="G34">
        <f t="shared" ref="G34:R34" si="6">G32/616.546</f>
        <v>1.0832573725237047</v>
      </c>
      <c r="H34">
        <f t="shared" si="6"/>
        <v>2.3831911974126831</v>
      </c>
      <c r="I34">
        <f t="shared" si="6"/>
        <v>2.3653823072406603</v>
      </c>
      <c r="J34">
        <f t="shared" si="6"/>
        <v>0.42194580777427798</v>
      </c>
      <c r="K34">
        <f t="shared" si="6"/>
        <v>6.9778524230146646</v>
      </c>
      <c r="L34">
        <f t="shared" si="6"/>
        <v>3.3403509227210946</v>
      </c>
      <c r="M34">
        <f t="shared" si="6"/>
        <v>2.6281039857528881</v>
      </c>
      <c r="N34">
        <f t="shared" si="6"/>
        <v>2.7066674668232373</v>
      </c>
      <c r="O34">
        <f t="shared" si="6"/>
        <v>1.9248798954173736</v>
      </c>
      <c r="P34">
        <f t="shared" si="6"/>
        <v>3.3342686514874802</v>
      </c>
      <c r="Q34">
        <f t="shared" si="6"/>
        <v>4.0025010299312624</v>
      </c>
      <c r="R34">
        <f t="shared" si="6"/>
        <v>0.69759109620368953</v>
      </c>
    </row>
    <row r="36" spans="1:19" s="1" customFormat="1" x14ac:dyDescent="0.2">
      <c r="A36" s="1" t="s">
        <v>14</v>
      </c>
      <c r="C36" s="1" t="s">
        <v>23</v>
      </c>
      <c r="D36" s="1" t="s">
        <v>25</v>
      </c>
    </row>
    <row r="37" spans="1:19" x14ac:dyDescent="0.2">
      <c r="A37" t="s">
        <v>9</v>
      </c>
      <c r="B37">
        <v>246.68799999999999</v>
      </c>
      <c r="C37">
        <v>964.21500000000003</v>
      </c>
      <c r="D37">
        <v>1248.0619999999999</v>
      </c>
      <c r="E37">
        <v>1666.34</v>
      </c>
      <c r="F37">
        <v>3480.848</v>
      </c>
      <c r="G37">
        <v>2094.5079999999998</v>
      </c>
      <c r="H37">
        <v>4354.66</v>
      </c>
      <c r="I37">
        <v>2877.6289999999999</v>
      </c>
      <c r="J37">
        <v>1221.1479999999999</v>
      </c>
      <c r="K37">
        <v>2232.3240000000001</v>
      </c>
      <c r="L37">
        <v>990.41399999999999</v>
      </c>
      <c r="M37">
        <v>2219.4340000000002</v>
      </c>
      <c r="N37">
        <v>1884.4059999999999</v>
      </c>
      <c r="O37">
        <v>1166.8630000000001</v>
      </c>
      <c r="P37">
        <v>1167.3009999999999</v>
      </c>
      <c r="Q37">
        <v>1204.934</v>
      </c>
      <c r="R37">
        <v>557.48</v>
      </c>
      <c r="S37">
        <v>618.72699999999998</v>
      </c>
    </row>
    <row r="38" spans="1:19" x14ac:dyDescent="0.2">
      <c r="A38" t="s">
        <v>4</v>
      </c>
      <c r="C38">
        <f>C37-B37</f>
        <v>717.52700000000004</v>
      </c>
      <c r="D38">
        <f>D37-B37</f>
        <v>1001.3739999999999</v>
      </c>
      <c r="E38">
        <f>E37-B37</f>
        <v>1419.652</v>
      </c>
      <c r="F38">
        <f>F37-B37</f>
        <v>3234.16</v>
      </c>
      <c r="G38">
        <f>G37-B37</f>
        <v>1847.8199999999997</v>
      </c>
      <c r="H38">
        <f>H37-B37</f>
        <v>4107.9719999999998</v>
      </c>
      <c r="I38">
        <f>I37-B37</f>
        <v>2630.9409999999998</v>
      </c>
      <c r="J38">
        <f>J37-B37</f>
        <v>974.45999999999992</v>
      </c>
      <c r="K38">
        <f>K37-B37</f>
        <v>1985.636</v>
      </c>
      <c r="L38">
        <f>L37-B37</f>
        <v>743.726</v>
      </c>
      <c r="M38">
        <f>M37-B37</f>
        <v>1972.7460000000001</v>
      </c>
      <c r="N38">
        <f>N37-B37</f>
        <v>1637.7179999999998</v>
      </c>
      <c r="O38">
        <f>O37-B37</f>
        <v>920.17500000000007</v>
      </c>
      <c r="P38">
        <f>P37-B37</f>
        <v>920.61299999999994</v>
      </c>
      <c r="Q38">
        <f>Q37-B37</f>
        <v>958.24599999999998</v>
      </c>
      <c r="R38">
        <f>R37-B37</f>
        <v>310.79200000000003</v>
      </c>
      <c r="S38">
        <f>S37-B37</f>
        <v>372.03899999999999</v>
      </c>
    </row>
    <row r="39" spans="1:19" x14ac:dyDescent="0.2">
      <c r="A39" t="s">
        <v>5</v>
      </c>
      <c r="C39">
        <v>15.311</v>
      </c>
      <c r="D39">
        <v>7.4080000000000004</v>
      </c>
      <c r="E39">
        <v>7.6929999999999996</v>
      </c>
      <c r="F39">
        <v>7.9649999999999999</v>
      </c>
      <c r="G39">
        <v>7.9039999999999999</v>
      </c>
      <c r="H39">
        <v>7.3689999999999998</v>
      </c>
      <c r="I39">
        <v>6.9039999999999999</v>
      </c>
      <c r="J39">
        <v>6.2670000000000003</v>
      </c>
      <c r="K39">
        <v>1165.181</v>
      </c>
      <c r="L39">
        <v>4.0730000000000004</v>
      </c>
      <c r="M39">
        <v>3.21</v>
      </c>
      <c r="N39">
        <v>3.222</v>
      </c>
      <c r="O39">
        <v>2.7789999999999999</v>
      </c>
      <c r="P39">
        <v>1.3009999999999999</v>
      </c>
      <c r="Q39">
        <v>2.8340000000000001</v>
      </c>
      <c r="R39">
        <v>3.6059999999999999</v>
      </c>
      <c r="S39">
        <v>21.555</v>
      </c>
    </row>
    <row r="40" spans="1:19" x14ac:dyDescent="0.2">
      <c r="A40" t="s">
        <v>6</v>
      </c>
      <c r="C40">
        <f>SQRT(1+C39^2)</f>
        <v>15.343621508626963</v>
      </c>
      <c r="D40">
        <f t="shared" ref="D40:S40" si="7">SQRT(1+D39^2)</f>
        <v>7.4751898972534478</v>
      </c>
      <c r="E40">
        <f t="shared" si="7"/>
        <v>7.7577218949895332</v>
      </c>
      <c r="F40">
        <f t="shared" si="7"/>
        <v>8.0275291964588948</v>
      </c>
      <c r="G40">
        <f t="shared" si="7"/>
        <v>7.9670079703738219</v>
      </c>
      <c r="H40">
        <f t="shared" si="7"/>
        <v>7.4365422744713818</v>
      </c>
      <c r="I40">
        <f t="shared" si="7"/>
        <v>6.9760458714088172</v>
      </c>
      <c r="J40">
        <f t="shared" si="7"/>
        <v>6.3462815096716287</v>
      </c>
      <c r="K40">
        <f t="shared" si="7"/>
        <v>1165.1814291178005</v>
      </c>
      <c r="L40">
        <f t="shared" si="7"/>
        <v>4.1939633999356749</v>
      </c>
      <c r="M40">
        <f t="shared" si="7"/>
        <v>3.3621570457074132</v>
      </c>
      <c r="N40">
        <f t="shared" si="7"/>
        <v>3.3736158643212475</v>
      </c>
      <c r="O40">
        <f t="shared" si="7"/>
        <v>2.9534456148708745</v>
      </c>
      <c r="P40">
        <f t="shared" si="7"/>
        <v>1.6409146839491686</v>
      </c>
      <c r="Q40">
        <f t="shared" si="7"/>
        <v>3.0052547312998277</v>
      </c>
      <c r="R40">
        <f t="shared" si="7"/>
        <v>3.7420897904780426</v>
      </c>
      <c r="S40">
        <f t="shared" si="7"/>
        <v>21.578184006074284</v>
      </c>
    </row>
    <row r="41" spans="1:19" x14ac:dyDescent="0.2">
      <c r="A41" t="s">
        <v>10</v>
      </c>
      <c r="D41">
        <f>D38/616.546</f>
        <v>1.6241675398104924</v>
      </c>
      <c r="E41">
        <f t="shared" ref="E41:S41" si="8">E38/616.546</f>
        <v>2.3025889390248251</v>
      </c>
      <c r="F41">
        <f t="shared" si="8"/>
        <v>5.2456102221083256</v>
      </c>
      <c r="G41">
        <f t="shared" si="8"/>
        <v>2.997051314905943</v>
      </c>
      <c r="H41">
        <f t="shared" si="8"/>
        <v>6.6628799797582001</v>
      </c>
      <c r="I41">
        <f t="shared" si="8"/>
        <v>4.2672258031030932</v>
      </c>
      <c r="J41">
        <f t="shared" si="8"/>
        <v>1.5805146736820932</v>
      </c>
      <c r="K41">
        <f t="shared" si="8"/>
        <v>3.2205804595277558</v>
      </c>
      <c r="L41">
        <f t="shared" si="8"/>
        <v>1.2062782014642863</v>
      </c>
      <c r="M41">
        <f t="shared" si="8"/>
        <v>3.1996736658740792</v>
      </c>
      <c r="N41">
        <f t="shared" si="8"/>
        <v>2.6562786880459845</v>
      </c>
      <c r="O41">
        <f t="shared" si="8"/>
        <v>1.492467715304292</v>
      </c>
      <c r="P41">
        <f t="shared" si="8"/>
        <v>1.4931781245843778</v>
      </c>
      <c r="Q41">
        <f t="shared" si="8"/>
        <v>1.5542165548069404</v>
      </c>
      <c r="R41">
        <f t="shared" si="8"/>
        <v>0.50408566432999324</v>
      </c>
      <c r="S41">
        <f t="shared" si="8"/>
        <v>0.6034245619953742</v>
      </c>
    </row>
    <row r="43" spans="1:19" s="1" customFormat="1" x14ac:dyDescent="0.2">
      <c r="A43" s="1" t="s">
        <v>15</v>
      </c>
      <c r="C43" s="1" t="s">
        <v>23</v>
      </c>
      <c r="E43" s="1" t="s">
        <v>25</v>
      </c>
    </row>
    <row r="44" spans="1:19" x14ac:dyDescent="0.2">
      <c r="A44" t="s">
        <v>9</v>
      </c>
      <c r="B44">
        <v>246.68799999999999</v>
      </c>
      <c r="C44">
        <v>827.19500000000005</v>
      </c>
      <c r="D44">
        <v>919.64499999999998</v>
      </c>
      <c r="E44">
        <v>2019.895</v>
      </c>
      <c r="F44">
        <v>995.70699999999999</v>
      </c>
      <c r="G44">
        <v>1329.0740000000001</v>
      </c>
      <c r="H44">
        <v>856.07399999999996</v>
      </c>
      <c r="I44">
        <v>819.40200000000004</v>
      </c>
      <c r="J44">
        <v>748.98800000000006</v>
      </c>
      <c r="K44">
        <v>886.875</v>
      </c>
    </row>
    <row r="45" spans="1:19" x14ac:dyDescent="0.2">
      <c r="A45" t="s">
        <v>4</v>
      </c>
      <c r="C45">
        <f>C44-B44</f>
        <v>580.50700000000006</v>
      </c>
      <c r="D45">
        <f>D44-B44</f>
        <v>672.95699999999999</v>
      </c>
      <c r="E45">
        <f>E44-B44</f>
        <v>1773.2069999999999</v>
      </c>
      <c r="F45">
        <f>F44-B44</f>
        <v>749.01900000000001</v>
      </c>
      <c r="G45">
        <f>G44-B44</f>
        <v>1082.386</v>
      </c>
      <c r="H45">
        <f>H44-B44</f>
        <v>609.38599999999997</v>
      </c>
      <c r="I45">
        <f>I44-B44</f>
        <v>572.71400000000006</v>
      </c>
      <c r="J45">
        <f>J44-B44</f>
        <v>502.30000000000007</v>
      </c>
      <c r="K45">
        <f>K44-B44</f>
        <v>640.18700000000001</v>
      </c>
    </row>
    <row r="46" spans="1:19" x14ac:dyDescent="0.2">
      <c r="A46" t="s">
        <v>5</v>
      </c>
      <c r="C46">
        <v>8.702</v>
      </c>
      <c r="D46">
        <v>9.57</v>
      </c>
      <c r="E46">
        <v>10.965999999999999</v>
      </c>
      <c r="F46">
        <v>14.605</v>
      </c>
      <c r="G46">
        <v>8.2810000000000006</v>
      </c>
      <c r="H46">
        <v>7.84</v>
      </c>
      <c r="I46">
        <v>7.2690000000000001</v>
      </c>
      <c r="J46">
        <v>6.7969999999999997</v>
      </c>
      <c r="K46">
        <v>5.218</v>
      </c>
    </row>
    <row r="47" spans="1:19" x14ac:dyDescent="0.2">
      <c r="A47" t="s">
        <v>17</v>
      </c>
      <c r="C47">
        <f>SQRT(4+C46^2)</f>
        <v>8.9288747331340694</v>
      </c>
      <c r="D47">
        <f t="shared" ref="D47:K47" si="9">SQRT(4+D46^2)</f>
        <v>9.7767530397366595</v>
      </c>
      <c r="E47">
        <f t="shared" si="9"/>
        <v>11.146889969852577</v>
      </c>
      <c r="F47">
        <f t="shared" si="9"/>
        <v>14.741303368427095</v>
      </c>
      <c r="G47">
        <f t="shared" si="9"/>
        <v>8.5190939072180676</v>
      </c>
      <c r="H47">
        <f t="shared" si="9"/>
        <v>8.0910815099095377</v>
      </c>
      <c r="I47">
        <f t="shared" si="9"/>
        <v>7.539122031112111</v>
      </c>
      <c r="J47">
        <f t="shared" si="9"/>
        <v>7.0851400127308706</v>
      </c>
      <c r="K47">
        <f t="shared" si="9"/>
        <v>5.5881592675942944</v>
      </c>
    </row>
    <row r="48" spans="1:19" x14ac:dyDescent="0.2">
      <c r="A48" t="s">
        <v>10</v>
      </c>
      <c r="E48">
        <f>E45/616.546</f>
        <v>2.8760335806249651</v>
      </c>
      <c r="F48">
        <f t="shared" ref="F48:K48" si="10">F45/616.546</f>
        <v>1.2148631245681587</v>
      </c>
      <c r="G48">
        <f t="shared" si="10"/>
        <v>1.7555640617245103</v>
      </c>
      <c r="H48">
        <f t="shared" si="10"/>
        <v>0.98838691679128554</v>
      </c>
      <c r="I48">
        <f t="shared" si="10"/>
        <v>0.92890716994352407</v>
      </c>
      <c r="J48">
        <f t="shared" si="10"/>
        <v>0.81469995750519841</v>
      </c>
      <c r="K48">
        <f t="shared" si="10"/>
        <v>1.0383442597957004</v>
      </c>
    </row>
    <row r="50" spans="1:5" s="1" customFormat="1" x14ac:dyDescent="0.2">
      <c r="A50" s="1" t="s">
        <v>16</v>
      </c>
      <c r="C50" s="1" t="s">
        <v>25</v>
      </c>
    </row>
    <row r="51" spans="1:5" x14ac:dyDescent="0.2">
      <c r="A51" t="s">
        <v>9</v>
      </c>
      <c r="B51">
        <v>246.68799999999999</v>
      </c>
      <c r="C51">
        <v>646.14800000000002</v>
      </c>
      <c r="D51">
        <v>617.14099999999996</v>
      </c>
      <c r="E51">
        <v>565.53099999999995</v>
      </c>
    </row>
    <row r="52" spans="1:5" x14ac:dyDescent="0.2">
      <c r="A52" t="s">
        <v>4</v>
      </c>
      <c r="C52">
        <f>C51-B51</f>
        <v>399.46000000000004</v>
      </c>
      <c r="D52">
        <f>D51-B51</f>
        <v>370.45299999999997</v>
      </c>
      <c r="E52">
        <f>E51-B51</f>
        <v>318.84299999999996</v>
      </c>
    </row>
    <row r="53" spans="1:5" x14ac:dyDescent="0.2">
      <c r="A53" t="s">
        <v>5</v>
      </c>
      <c r="C53">
        <v>9.7720000000000002</v>
      </c>
      <c r="D53">
        <v>10.552</v>
      </c>
      <c r="E53">
        <v>14.445</v>
      </c>
    </row>
    <row r="54" spans="1:5" x14ac:dyDescent="0.2">
      <c r="A54" t="s">
        <v>6</v>
      </c>
      <c r="C54">
        <f>SQRT(9+C53^2)</f>
        <v>10.22213206723529</v>
      </c>
      <c r="D54">
        <f t="shared" ref="D54:E54" si="11">SQRT(9+D53^2)</f>
        <v>10.970173380580636</v>
      </c>
      <c r="E54">
        <f t="shared" si="11"/>
        <v>14.753237780229803</v>
      </c>
    </row>
    <row r="55" spans="1:5" x14ac:dyDescent="0.2">
      <c r="A55" t="s">
        <v>10</v>
      </c>
      <c r="C55">
        <f>C52/616.546</f>
        <v>0.64789975119455812</v>
      </c>
      <c r="D55">
        <f t="shared" ref="D55:E55" si="12">D52/616.546</f>
        <v>0.60085216674830422</v>
      </c>
      <c r="E55">
        <f t="shared" si="12"/>
        <v>0.51714389518381421</v>
      </c>
    </row>
    <row r="57" spans="1:5" s="1" customFormat="1" x14ac:dyDescent="0.2">
      <c r="A57" s="1" t="s">
        <v>18</v>
      </c>
      <c r="C57" s="1" t="s">
        <v>23</v>
      </c>
    </row>
    <row r="58" spans="1:5" x14ac:dyDescent="0.2">
      <c r="A58" t="s">
        <v>3</v>
      </c>
      <c r="B58">
        <v>246.68799999999999</v>
      </c>
      <c r="C58">
        <v>847.38300000000004</v>
      </c>
    </row>
    <row r="59" spans="1:5" x14ac:dyDescent="0.2">
      <c r="A59" t="s">
        <v>21</v>
      </c>
      <c r="C59">
        <f>C58-B58</f>
        <v>600.69500000000005</v>
      </c>
    </row>
    <row r="60" spans="1:5" x14ac:dyDescent="0.2">
      <c r="A60" t="s">
        <v>5</v>
      </c>
      <c r="C60">
        <v>18.62</v>
      </c>
    </row>
    <row r="61" spans="1:5" x14ac:dyDescent="0.2">
      <c r="A61" t="s">
        <v>6</v>
      </c>
      <c r="C61">
        <f>SQRT(25+C60^2)</f>
        <v>19.279636926041942</v>
      </c>
    </row>
    <row r="62" spans="1:5" x14ac:dyDescent="0.2">
      <c r="A62" t="s">
        <v>10</v>
      </c>
    </row>
    <row r="64" spans="1:5" x14ac:dyDescent="0.2">
      <c r="A64" t="s">
        <v>33</v>
      </c>
      <c r="B64">
        <f>AVERAGE(C59,C45:D45,C38,C32:E32,C25,C18)</f>
        <v>616.54622222222224</v>
      </c>
    </row>
    <row r="65" spans="1:2" x14ac:dyDescent="0.2">
      <c r="A65" t="s">
        <v>27</v>
      </c>
      <c r="B65">
        <v>45.587000000000003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8E7C-C3AE-4E33-B30C-036D6E7BE30F}">
  <dimension ref="A1:W65"/>
  <sheetViews>
    <sheetView topLeftCell="A11" workbookViewId="0">
      <selection activeCell="H6" sqref="H6"/>
    </sheetView>
  </sheetViews>
  <sheetFormatPr baseColWidth="10" defaultColWidth="8.83203125" defaultRowHeight="15" x14ac:dyDescent="0.2"/>
  <cols>
    <col min="1" max="1" width="17.83203125" customWidth="1"/>
    <col min="2" max="2" width="17.5" customWidth="1"/>
  </cols>
  <sheetData>
    <row r="1" spans="1:7" x14ac:dyDescent="0.2">
      <c r="A1" t="s">
        <v>38</v>
      </c>
    </row>
    <row r="2" spans="1:7" s="1" customFormat="1" x14ac:dyDescent="0.2">
      <c r="A2" s="1" t="s">
        <v>1</v>
      </c>
      <c r="B2" s="1" t="s">
        <v>30</v>
      </c>
      <c r="C2" s="1" t="s">
        <v>23</v>
      </c>
      <c r="F2" s="1" t="s">
        <v>25</v>
      </c>
    </row>
    <row r="3" spans="1:7" x14ac:dyDescent="0.2">
      <c r="A3" t="s">
        <v>9</v>
      </c>
      <c r="B3">
        <v>247.226</v>
      </c>
      <c r="C3">
        <v>603.59</v>
      </c>
      <c r="D3">
        <v>658.96500000000003</v>
      </c>
      <c r="E3">
        <v>831.78899999999999</v>
      </c>
      <c r="F3">
        <v>1185.75</v>
      </c>
    </row>
    <row r="4" spans="1:7" x14ac:dyDescent="0.2">
      <c r="A4" t="s">
        <v>4</v>
      </c>
      <c r="C4">
        <f>C3-B3</f>
        <v>356.36400000000003</v>
      </c>
      <c r="D4">
        <f>D3-B3</f>
        <v>411.73900000000003</v>
      </c>
      <c r="E4">
        <f>E3-B3</f>
        <v>584.56299999999999</v>
      </c>
      <c r="F4">
        <f>F3-B3</f>
        <v>938.524</v>
      </c>
    </row>
    <row r="5" spans="1:7" x14ac:dyDescent="0.2">
      <c r="A5" t="s">
        <v>5</v>
      </c>
      <c r="C5">
        <v>8.234</v>
      </c>
      <c r="D5">
        <v>6.194</v>
      </c>
      <c r="E5">
        <v>24.385999999999999</v>
      </c>
      <c r="F5">
        <v>15.05</v>
      </c>
    </row>
    <row r="6" spans="1:7" x14ac:dyDescent="0.2">
      <c r="A6" t="s">
        <v>6</v>
      </c>
      <c r="C6">
        <f>SQRT(9+C5^2)</f>
        <v>8.7634899440804972</v>
      </c>
      <c r="D6">
        <f t="shared" ref="D6:F6" si="0">SQRT(9+D5^2)</f>
        <v>6.8822696837598567</v>
      </c>
      <c r="E6">
        <f t="shared" si="0"/>
        <v>24.56983915291266</v>
      </c>
      <c r="F6">
        <f t="shared" si="0"/>
        <v>15.346090707408191</v>
      </c>
    </row>
    <row r="7" spans="1:7" x14ac:dyDescent="0.2">
      <c r="A7" t="s">
        <v>10</v>
      </c>
      <c r="F7">
        <f>F4/513.726</f>
        <v>1.8268960496451416</v>
      </c>
    </row>
    <row r="9" spans="1:7" s="1" customFormat="1" x14ac:dyDescent="0.2">
      <c r="A9" s="1" t="s">
        <v>8</v>
      </c>
      <c r="C9" s="1" t="s">
        <v>25</v>
      </c>
    </row>
    <row r="10" spans="1:7" x14ac:dyDescent="0.2">
      <c r="A10" t="s">
        <v>9</v>
      </c>
      <c r="B10">
        <v>247.226</v>
      </c>
      <c r="C10">
        <v>821.68399999999997</v>
      </c>
      <c r="D10">
        <v>1985.422</v>
      </c>
      <c r="E10">
        <v>1245.6020000000001</v>
      </c>
      <c r="F10">
        <v>1326.617</v>
      </c>
      <c r="G10">
        <v>1356.8009999999999</v>
      </c>
    </row>
    <row r="11" spans="1:7" x14ac:dyDescent="0.2">
      <c r="A11" t="s">
        <v>4</v>
      </c>
      <c r="C11">
        <f>C10-B10</f>
        <v>574.45799999999997</v>
      </c>
      <c r="D11">
        <f>D10-B10</f>
        <v>1738.1959999999999</v>
      </c>
      <c r="E11">
        <f>E10-B10</f>
        <v>998.37600000000009</v>
      </c>
      <c r="F11">
        <f>F10-B10</f>
        <v>1079.3910000000001</v>
      </c>
      <c r="G11">
        <f>G10-B10</f>
        <v>1109.5749999999998</v>
      </c>
    </row>
    <row r="12" spans="1:7" x14ac:dyDescent="0.2">
      <c r="A12" t="s">
        <v>5</v>
      </c>
      <c r="C12">
        <v>8.4640000000000004</v>
      </c>
      <c r="D12">
        <v>6.3780000000000001</v>
      </c>
      <c r="E12">
        <v>13.531000000000001</v>
      </c>
      <c r="F12">
        <v>15.186</v>
      </c>
      <c r="G12">
        <v>24.428999999999998</v>
      </c>
    </row>
    <row r="13" spans="1:7" x14ac:dyDescent="0.2">
      <c r="A13" t="s">
        <v>6</v>
      </c>
      <c r="C13">
        <f>SQRT(4+C12^2)</f>
        <v>8.6970854888290017</v>
      </c>
      <c r="D13">
        <f t="shared" ref="D13:G13" si="1">SQRT(4+D12^2)</f>
        <v>6.6842265072332792</v>
      </c>
      <c r="E13">
        <f t="shared" si="1"/>
        <v>13.678010125745631</v>
      </c>
      <c r="F13">
        <f t="shared" si="1"/>
        <v>15.317134066136523</v>
      </c>
      <c r="G13">
        <f t="shared" si="1"/>
        <v>24.510733179568497</v>
      </c>
    </row>
    <row r="14" spans="1:7" x14ac:dyDescent="0.2">
      <c r="A14" t="s">
        <v>10</v>
      </c>
      <c r="C14">
        <f>C11/513.726</f>
        <v>1.1182186613097254</v>
      </c>
      <c r="D14">
        <f t="shared" ref="D14:G14" si="2">D11/513.726</f>
        <v>3.3835079400302885</v>
      </c>
      <c r="E14">
        <f t="shared" si="2"/>
        <v>1.9434017355555298</v>
      </c>
      <c r="F14">
        <f t="shared" si="2"/>
        <v>2.1011025332570283</v>
      </c>
      <c r="G14">
        <f t="shared" si="2"/>
        <v>2.1598575894543002</v>
      </c>
    </row>
    <row r="16" spans="1:7" s="1" customFormat="1" x14ac:dyDescent="0.2">
      <c r="A16" s="1" t="s">
        <v>11</v>
      </c>
      <c r="C16" s="1" t="s">
        <v>23</v>
      </c>
      <c r="F16" s="1" t="s">
        <v>25</v>
      </c>
    </row>
    <row r="17" spans="1:23" x14ac:dyDescent="0.2">
      <c r="A17" t="s">
        <v>9</v>
      </c>
      <c r="B17">
        <v>247.226</v>
      </c>
      <c r="C17">
        <v>703.74599999999998</v>
      </c>
      <c r="D17">
        <v>900.56600000000003</v>
      </c>
      <c r="E17">
        <v>577.64499999999998</v>
      </c>
      <c r="F17">
        <v>1470.48</v>
      </c>
      <c r="G17">
        <v>1070.172</v>
      </c>
      <c r="H17">
        <v>1123.645</v>
      </c>
      <c r="I17">
        <v>792.99599999999998</v>
      </c>
      <c r="J17">
        <v>778.47699999999998</v>
      </c>
      <c r="K17">
        <v>2564.3240000000001</v>
      </c>
    </row>
    <row r="18" spans="1:23" x14ac:dyDescent="0.2">
      <c r="A18" t="s">
        <v>21</v>
      </c>
      <c r="C18">
        <f>C17-B17</f>
        <v>456.52</v>
      </c>
      <c r="D18">
        <f>D17-B17</f>
        <v>653.34</v>
      </c>
      <c r="E18">
        <f>E17-B17</f>
        <v>330.41899999999998</v>
      </c>
      <c r="F18">
        <f>F17-B17</f>
        <v>1223.2539999999999</v>
      </c>
      <c r="G18">
        <f>G17-B17</f>
        <v>822.94600000000003</v>
      </c>
      <c r="H18">
        <f>H17-B17</f>
        <v>876.41899999999998</v>
      </c>
      <c r="I18">
        <f>I17-B17</f>
        <v>545.77</v>
      </c>
      <c r="J18">
        <f>J17-B17</f>
        <v>531.25099999999998</v>
      </c>
      <c r="K18">
        <f>K17-B17</f>
        <v>2317.098</v>
      </c>
    </row>
    <row r="19" spans="1:23" x14ac:dyDescent="0.2">
      <c r="A19" t="s">
        <v>5</v>
      </c>
      <c r="C19">
        <v>25.484999999999999</v>
      </c>
      <c r="D19">
        <v>16.795999999999999</v>
      </c>
      <c r="E19">
        <v>11.75</v>
      </c>
      <c r="F19">
        <v>18.405999999999999</v>
      </c>
      <c r="G19">
        <v>8.5399999999999991</v>
      </c>
      <c r="H19">
        <v>1.98</v>
      </c>
      <c r="I19">
        <v>2.7240000000000002</v>
      </c>
      <c r="J19">
        <v>2.2559999999999998</v>
      </c>
      <c r="K19">
        <v>4.1740000000000004</v>
      </c>
    </row>
    <row r="20" spans="1:23" x14ac:dyDescent="0.2">
      <c r="A20" t="s">
        <v>6</v>
      </c>
      <c r="C20">
        <f>SQRT(1+C19^2)</f>
        <v>25.504611837861795</v>
      </c>
      <c r="D20">
        <f t="shared" ref="D20:K20" si="3">SQRT(1+D19^2)</f>
        <v>16.825742658200856</v>
      </c>
      <c r="E20">
        <f t="shared" si="3"/>
        <v>11.792476415070755</v>
      </c>
      <c r="F20">
        <f t="shared" si="3"/>
        <v>18.43314503821852</v>
      </c>
      <c r="G20">
        <f t="shared" si="3"/>
        <v>8.5983486786708063</v>
      </c>
      <c r="H20">
        <f t="shared" si="3"/>
        <v>2.2181974664127626</v>
      </c>
      <c r="I20">
        <f t="shared" si="3"/>
        <v>2.9017539523536451</v>
      </c>
      <c r="J20">
        <f t="shared" si="3"/>
        <v>2.4676985229156334</v>
      </c>
      <c r="K20">
        <f t="shared" si="3"/>
        <v>4.2921178921367016</v>
      </c>
    </row>
    <row r="21" spans="1:23" x14ac:dyDescent="0.2">
      <c r="A21" t="s">
        <v>10</v>
      </c>
      <c r="F21">
        <f>F18/513.726</f>
        <v>2.3811409194784767</v>
      </c>
      <c r="G21">
        <f t="shared" ref="G21:K21" si="4">G18/513.726</f>
        <v>1.6019161965717135</v>
      </c>
      <c r="H21">
        <f t="shared" si="4"/>
        <v>1.7060047573998591</v>
      </c>
      <c r="I21">
        <f t="shared" si="4"/>
        <v>1.0623756632913264</v>
      </c>
      <c r="J21">
        <f t="shared" si="4"/>
        <v>1.0341135157652133</v>
      </c>
      <c r="K21">
        <f t="shared" si="4"/>
        <v>4.5103771271066675</v>
      </c>
    </row>
    <row r="23" spans="1:23" s="1" customFormat="1" x14ac:dyDescent="0.2">
      <c r="A23" s="1" t="s">
        <v>39</v>
      </c>
      <c r="C23" s="1" t="s">
        <v>23</v>
      </c>
      <c r="F23" s="1" t="s">
        <v>25</v>
      </c>
    </row>
    <row r="24" spans="1:23" x14ac:dyDescent="0.2">
      <c r="A24" t="s">
        <v>9</v>
      </c>
      <c r="B24">
        <v>247.226</v>
      </c>
      <c r="C24">
        <v>1054.828</v>
      </c>
      <c r="D24">
        <v>895.02300000000002</v>
      </c>
      <c r="E24">
        <v>696.97</v>
      </c>
      <c r="F24">
        <v>1174.4259999999999</v>
      </c>
      <c r="G24">
        <v>1597.9880000000001</v>
      </c>
      <c r="H24">
        <v>2104.8829999999998</v>
      </c>
      <c r="I24">
        <v>1500.742</v>
      </c>
      <c r="J24">
        <v>2176.7660000000001</v>
      </c>
      <c r="K24">
        <v>2679.9769999999999</v>
      </c>
      <c r="L24">
        <v>1978.2539999999999</v>
      </c>
      <c r="M24">
        <v>2346.7269999999999</v>
      </c>
      <c r="N24">
        <v>1348.0550000000001</v>
      </c>
      <c r="O24">
        <v>1790.6089999999999</v>
      </c>
      <c r="P24">
        <v>1825.6289999999999</v>
      </c>
      <c r="Q24">
        <v>1901.4259999999999</v>
      </c>
      <c r="R24">
        <v>593.93799999999999</v>
      </c>
      <c r="S24">
        <v>583.44500000000005</v>
      </c>
    </row>
    <row r="25" spans="1:23" x14ac:dyDescent="0.2">
      <c r="A25" t="s">
        <v>21</v>
      </c>
      <c r="C25">
        <f>C24-B24</f>
        <v>807.60199999999998</v>
      </c>
      <c r="D25">
        <f>D24-B24</f>
        <v>647.79700000000003</v>
      </c>
      <c r="E25">
        <f>E24-B24</f>
        <v>449.74400000000003</v>
      </c>
      <c r="F25">
        <f>F24-B24</f>
        <v>927.19999999999993</v>
      </c>
      <c r="G25">
        <f>G24-B24</f>
        <v>1350.7620000000002</v>
      </c>
      <c r="H25">
        <f>H24-B24</f>
        <v>1857.6569999999997</v>
      </c>
      <c r="I25">
        <f>I24-B24</f>
        <v>1253.5160000000001</v>
      </c>
      <c r="J25">
        <f>J24-B24</f>
        <v>1929.54</v>
      </c>
      <c r="K25">
        <f>K24-B24</f>
        <v>2432.7509999999997</v>
      </c>
      <c r="L25">
        <f>L24-B24</f>
        <v>1731.0279999999998</v>
      </c>
      <c r="M25">
        <f>M24-B24</f>
        <v>2099.5009999999997</v>
      </c>
      <c r="N25">
        <f>N24-B24</f>
        <v>1100.8290000000002</v>
      </c>
      <c r="O25">
        <f>O24-B24</f>
        <v>1543.3829999999998</v>
      </c>
      <c r="P25">
        <f>P24-B24</f>
        <v>1578.4029999999998</v>
      </c>
      <c r="Q25">
        <f>Q24-B24</f>
        <v>1654.1999999999998</v>
      </c>
      <c r="R25">
        <f>R24-B24</f>
        <v>346.71199999999999</v>
      </c>
      <c r="S25">
        <f>S24-B24</f>
        <v>336.21900000000005</v>
      </c>
    </row>
    <row r="26" spans="1:23" x14ac:dyDescent="0.2">
      <c r="A26" t="s">
        <v>5</v>
      </c>
      <c r="C26">
        <v>4.2210000000000001</v>
      </c>
      <c r="D26">
        <v>9.59</v>
      </c>
      <c r="E26">
        <v>11.718999999999999</v>
      </c>
      <c r="F26">
        <v>8.6120000000000001</v>
      </c>
      <c r="G26">
        <v>10.596</v>
      </c>
      <c r="H26">
        <v>1.9990000000000001</v>
      </c>
      <c r="I26">
        <v>2.2120000000000002</v>
      </c>
      <c r="J26">
        <v>0.74199999999999999</v>
      </c>
      <c r="K26">
        <v>2.5449999999999999</v>
      </c>
      <c r="L26">
        <v>2.0419999999999998</v>
      </c>
      <c r="M26">
        <v>3.1280000000000001</v>
      </c>
      <c r="N26">
        <v>3.637</v>
      </c>
      <c r="O26">
        <v>4.0350000000000001</v>
      </c>
      <c r="P26">
        <v>4.3259999999999996</v>
      </c>
      <c r="Q26">
        <v>25.622</v>
      </c>
      <c r="R26">
        <v>18.161000000000001</v>
      </c>
      <c r="S26">
        <v>18.696000000000002</v>
      </c>
    </row>
    <row r="27" spans="1:23" x14ac:dyDescent="0.2">
      <c r="A27" t="s">
        <v>10</v>
      </c>
      <c r="F27">
        <f>F25/513.726</f>
        <v>1.8048531707563953</v>
      </c>
      <c r="G27">
        <f t="shared" ref="G27:S27" si="5">G25/513.726</f>
        <v>2.6293432685906497</v>
      </c>
      <c r="H27">
        <f t="shared" si="5"/>
        <v>3.6160462970532925</v>
      </c>
      <c r="I27">
        <f t="shared" si="5"/>
        <v>2.4400478075861454</v>
      </c>
      <c r="J27">
        <f t="shared" si="5"/>
        <v>3.7559710818607583</v>
      </c>
      <c r="K27">
        <f t="shared" si="5"/>
        <v>4.7355029724016298</v>
      </c>
      <c r="L27">
        <f t="shared" si="5"/>
        <v>3.3695549767775037</v>
      </c>
      <c r="M27">
        <f t="shared" si="5"/>
        <v>4.086810868050283</v>
      </c>
      <c r="N27">
        <f t="shared" si="5"/>
        <v>2.1428329498604319</v>
      </c>
      <c r="O27">
        <f t="shared" si="5"/>
        <v>3.0042921713131121</v>
      </c>
      <c r="P27">
        <f t="shared" si="5"/>
        <v>3.072460805954925</v>
      </c>
      <c r="Q27">
        <f t="shared" si="5"/>
        <v>3.2200044381635342</v>
      </c>
      <c r="R27">
        <f t="shared" si="5"/>
        <v>0.67489673483530133</v>
      </c>
      <c r="S27">
        <f t="shared" si="5"/>
        <v>0.65447144976115679</v>
      </c>
    </row>
    <row r="29" spans="1:23" s="1" customFormat="1" x14ac:dyDescent="0.2">
      <c r="A29" s="1" t="s">
        <v>13</v>
      </c>
      <c r="C29" s="1" t="s">
        <v>23</v>
      </c>
      <c r="F29" s="1" t="s">
        <v>25</v>
      </c>
    </row>
    <row r="30" spans="1:23" x14ac:dyDescent="0.2">
      <c r="A30" t="s">
        <v>9</v>
      </c>
      <c r="B30">
        <v>247.226</v>
      </c>
      <c r="C30">
        <v>1097.8869999999999</v>
      </c>
      <c r="D30">
        <v>596.38300000000004</v>
      </c>
      <c r="E30">
        <v>991.39800000000002</v>
      </c>
      <c r="F30">
        <v>1148.2380000000001</v>
      </c>
      <c r="G30">
        <v>1287.5619999999999</v>
      </c>
      <c r="H30">
        <v>1199.6210000000001</v>
      </c>
      <c r="I30">
        <v>1419.5940000000001</v>
      </c>
      <c r="J30">
        <v>1196.7619999999999</v>
      </c>
      <c r="K30">
        <v>1780.7539999999999</v>
      </c>
      <c r="L30">
        <v>1748.578</v>
      </c>
      <c r="M30">
        <v>2672.0509999999999</v>
      </c>
      <c r="N30">
        <v>1829.07</v>
      </c>
      <c r="O30">
        <v>3007.3789999999999</v>
      </c>
      <c r="P30">
        <v>2035.1410000000001</v>
      </c>
      <c r="Q30">
        <v>2173.25</v>
      </c>
      <c r="R30">
        <v>1305.797</v>
      </c>
      <c r="S30">
        <v>1514.211</v>
      </c>
      <c r="T30">
        <v>1452.383</v>
      </c>
      <c r="U30">
        <v>1802.828</v>
      </c>
      <c r="V30">
        <v>2596.078</v>
      </c>
      <c r="W30">
        <v>1470.492</v>
      </c>
    </row>
    <row r="31" spans="1:23" x14ac:dyDescent="0.2">
      <c r="A31" t="s">
        <v>4</v>
      </c>
      <c r="C31">
        <f>C30-B30</f>
        <v>850.66099999999994</v>
      </c>
      <c r="D31">
        <f>D30-B30</f>
        <v>349.15700000000004</v>
      </c>
      <c r="E31">
        <f>E30-B30</f>
        <v>744.17200000000003</v>
      </c>
      <c r="F31">
        <f>F30-B30</f>
        <v>901.01200000000006</v>
      </c>
      <c r="G31">
        <f>G30-B30</f>
        <v>1040.3359999999998</v>
      </c>
      <c r="H31">
        <f>H30-B30</f>
        <v>952.3950000000001</v>
      </c>
      <c r="I31">
        <f>I30-B30</f>
        <v>1172.3679999999999</v>
      </c>
      <c r="J31">
        <f>J30-B30</f>
        <v>949.53599999999994</v>
      </c>
      <c r="K31">
        <f>K30-B30</f>
        <v>1533.5279999999998</v>
      </c>
      <c r="L31">
        <f>L30-B30</f>
        <v>1501.3519999999999</v>
      </c>
      <c r="M31">
        <f>M30-B30</f>
        <v>2424.8249999999998</v>
      </c>
      <c r="N31">
        <f>N30-B30</f>
        <v>1581.8440000000001</v>
      </c>
      <c r="O31">
        <f>O30-B30</f>
        <v>2760.1529999999998</v>
      </c>
      <c r="P31">
        <f>P30-B30</f>
        <v>1787.915</v>
      </c>
      <c r="Q31">
        <f>Q30-B30</f>
        <v>1926.0239999999999</v>
      </c>
      <c r="R31">
        <f>R30-B30</f>
        <v>1058.5709999999999</v>
      </c>
      <c r="S31">
        <f>S30-B30</f>
        <v>1266.9850000000001</v>
      </c>
      <c r="T31">
        <f>T30-B30</f>
        <v>1205.1570000000002</v>
      </c>
      <c r="U31">
        <f>U30-B30</f>
        <v>1555.6019999999999</v>
      </c>
      <c r="V31">
        <f>V30-B30</f>
        <v>2348.8519999999999</v>
      </c>
      <c r="W31">
        <f>W30-B30</f>
        <v>1223.2660000000001</v>
      </c>
    </row>
    <row r="32" spans="1:23" x14ac:dyDescent="0.2">
      <c r="A32" t="s">
        <v>5</v>
      </c>
      <c r="C32">
        <v>10.329000000000001</v>
      </c>
      <c r="D32">
        <v>6.5970000000000004</v>
      </c>
      <c r="E32">
        <v>1.8080000000000001</v>
      </c>
      <c r="F32">
        <v>10.904999999999999</v>
      </c>
      <c r="G32">
        <v>9.8439999999999994</v>
      </c>
      <c r="H32">
        <v>9.56</v>
      </c>
      <c r="I32">
        <v>7.1559999999999997</v>
      </c>
      <c r="J32">
        <v>6.6070000000000002</v>
      </c>
      <c r="K32">
        <v>4.3380000000000001</v>
      </c>
      <c r="L32">
        <v>4.3360000000000003</v>
      </c>
      <c r="M32">
        <v>3.4820000000000002</v>
      </c>
      <c r="N32">
        <v>4.0339999999999998</v>
      </c>
      <c r="O32">
        <v>3.0710000000000002</v>
      </c>
      <c r="P32">
        <v>2.4860000000000002</v>
      </c>
      <c r="Q32">
        <v>2.2719999999999998</v>
      </c>
      <c r="R32">
        <v>2.8479999999999999</v>
      </c>
      <c r="S32">
        <v>2.032</v>
      </c>
      <c r="T32">
        <v>1.851</v>
      </c>
      <c r="U32">
        <v>2.3460000000000001</v>
      </c>
      <c r="V32">
        <v>2.5110000000000001</v>
      </c>
      <c r="W32">
        <v>18.727</v>
      </c>
    </row>
    <row r="33" spans="1:23" x14ac:dyDescent="0.2">
      <c r="A33" t="s">
        <v>6</v>
      </c>
      <c r="C33">
        <f>SQRT(1+C32^2)</f>
        <v>10.377294493267502</v>
      </c>
      <c r="D33">
        <f t="shared" ref="D33:W33" si="6">SQRT(1+D32^2)</f>
        <v>6.6723615759339667</v>
      </c>
      <c r="E33">
        <f t="shared" si="6"/>
        <v>2.0661229392269957</v>
      </c>
      <c r="F33">
        <f t="shared" si="6"/>
        <v>10.950754540213198</v>
      </c>
      <c r="G33">
        <f t="shared" si="6"/>
        <v>9.8946619952376338</v>
      </c>
      <c r="H33">
        <f t="shared" si="6"/>
        <v>9.6121589666421983</v>
      </c>
      <c r="I33">
        <f t="shared" si="6"/>
        <v>7.2255336135125683</v>
      </c>
      <c r="J33">
        <f t="shared" si="6"/>
        <v>6.6822487981217824</v>
      </c>
      <c r="K33">
        <f t="shared" si="6"/>
        <v>4.4517686372946201</v>
      </c>
      <c r="L33">
        <f t="shared" si="6"/>
        <v>4.4498197716312067</v>
      </c>
      <c r="M33">
        <f t="shared" si="6"/>
        <v>3.6227508884823978</v>
      </c>
      <c r="N33">
        <f t="shared" si="6"/>
        <v>4.1560986513796809</v>
      </c>
      <c r="O33">
        <f t="shared" si="6"/>
        <v>3.2297122162818162</v>
      </c>
      <c r="P33">
        <f t="shared" si="6"/>
        <v>2.6795887744204334</v>
      </c>
      <c r="Q33">
        <f t="shared" si="6"/>
        <v>2.4823343852108239</v>
      </c>
      <c r="R33">
        <f t="shared" si="6"/>
        <v>3.0184605347759641</v>
      </c>
      <c r="S33">
        <f t="shared" si="6"/>
        <v>2.2647348630689641</v>
      </c>
      <c r="T33">
        <f t="shared" si="6"/>
        <v>2.1038538447335164</v>
      </c>
      <c r="U33">
        <f t="shared" si="6"/>
        <v>2.5502384202266266</v>
      </c>
      <c r="V33">
        <f t="shared" si="6"/>
        <v>2.7027987346452567</v>
      </c>
      <c r="W33">
        <f t="shared" si="6"/>
        <v>18.753680412121778</v>
      </c>
    </row>
    <row r="34" spans="1:23" x14ac:dyDescent="0.2">
      <c r="A34" t="s">
        <v>10</v>
      </c>
      <c r="F34">
        <f>F31/513.726</f>
        <v>1.7538765801224778</v>
      </c>
      <c r="G34">
        <f t="shared" ref="G34:W34" si="7">G31/513.726</f>
        <v>2.0250795170966622</v>
      </c>
      <c r="H34">
        <f t="shared" si="7"/>
        <v>1.8538968243771974</v>
      </c>
      <c r="I34">
        <f t="shared" si="7"/>
        <v>2.2820881170117921</v>
      </c>
      <c r="J34">
        <f t="shared" si="7"/>
        <v>1.8483316008923043</v>
      </c>
      <c r="K34">
        <f t="shared" si="7"/>
        <v>2.9851087934034872</v>
      </c>
      <c r="L34">
        <f t="shared" si="7"/>
        <v>2.9224761838022602</v>
      </c>
      <c r="M34">
        <f t="shared" si="7"/>
        <v>4.7200745144298706</v>
      </c>
      <c r="N34">
        <f t="shared" si="7"/>
        <v>3.0791589290789254</v>
      </c>
      <c r="O34">
        <f t="shared" si="7"/>
        <v>5.3728115765991982</v>
      </c>
      <c r="P34">
        <f t="shared" si="7"/>
        <v>3.4802891035298971</v>
      </c>
      <c r="Q34">
        <f t="shared" si="7"/>
        <v>3.7491269665152238</v>
      </c>
      <c r="R34">
        <f t="shared" si="7"/>
        <v>2.0605750925590685</v>
      </c>
      <c r="S34">
        <f t="shared" si="7"/>
        <v>2.4662660640107763</v>
      </c>
      <c r="T34">
        <f t="shared" si="7"/>
        <v>2.3459139697036946</v>
      </c>
      <c r="U34">
        <f t="shared" si="7"/>
        <v>3.0280772240455027</v>
      </c>
      <c r="V34">
        <f t="shared" si="7"/>
        <v>4.5721882871413939</v>
      </c>
      <c r="W34">
        <f t="shared" si="7"/>
        <v>2.3811642782339226</v>
      </c>
    </row>
    <row r="36" spans="1:23" s="1" customFormat="1" x14ac:dyDescent="0.2">
      <c r="A36" s="1" t="s">
        <v>14</v>
      </c>
      <c r="C36" s="1" t="s">
        <v>23</v>
      </c>
      <c r="E36" s="1" t="s">
        <v>25</v>
      </c>
    </row>
    <row r="37" spans="1:23" x14ac:dyDescent="0.2">
      <c r="A37" t="s">
        <v>9</v>
      </c>
      <c r="B37">
        <v>247.226</v>
      </c>
      <c r="C37">
        <v>839.70699999999999</v>
      </c>
      <c r="D37">
        <v>796.46100000000001</v>
      </c>
      <c r="E37">
        <v>1175.1410000000001</v>
      </c>
      <c r="F37">
        <v>1176.758</v>
      </c>
      <c r="G37">
        <v>1172.8589999999999</v>
      </c>
      <c r="H37">
        <v>1159.672</v>
      </c>
      <c r="I37">
        <v>1412.2619999999999</v>
      </c>
      <c r="J37">
        <v>1333.402</v>
      </c>
      <c r="K37">
        <v>973.06600000000003</v>
      </c>
      <c r="L37">
        <v>962.16399999999999</v>
      </c>
      <c r="M37">
        <v>654.69500000000005</v>
      </c>
    </row>
    <row r="38" spans="1:23" x14ac:dyDescent="0.2">
      <c r="A38" t="s">
        <v>4</v>
      </c>
      <c r="C38">
        <f>C37-B37</f>
        <v>592.48099999999999</v>
      </c>
      <c r="D38">
        <f>D37-B37</f>
        <v>549.23500000000001</v>
      </c>
      <c r="E38">
        <f>E37-B37</f>
        <v>927.91500000000008</v>
      </c>
      <c r="F38">
        <f>F37-B37</f>
        <v>929.53200000000004</v>
      </c>
      <c r="G38">
        <f>G37-B37</f>
        <v>925.63299999999992</v>
      </c>
      <c r="H38">
        <f>H37-B37</f>
        <v>912.44600000000003</v>
      </c>
      <c r="I38">
        <f>I37-B37</f>
        <v>1165.0360000000001</v>
      </c>
      <c r="J38">
        <f>J37-B37</f>
        <v>1086.1759999999999</v>
      </c>
      <c r="K38">
        <f>K37-B37</f>
        <v>725.84</v>
      </c>
      <c r="L38">
        <f>L37-B37</f>
        <v>714.93799999999999</v>
      </c>
      <c r="M38">
        <f>M37-B37</f>
        <v>407.46900000000005</v>
      </c>
    </row>
    <row r="39" spans="1:23" x14ac:dyDescent="0.2">
      <c r="A39" t="s">
        <v>5</v>
      </c>
      <c r="C39">
        <v>0.96699999999999997</v>
      </c>
      <c r="D39">
        <v>9.1120000000000001</v>
      </c>
      <c r="E39">
        <v>10.228</v>
      </c>
      <c r="F39">
        <v>4.157</v>
      </c>
      <c r="G39">
        <v>5.4279999999999999</v>
      </c>
      <c r="H39">
        <v>5.2949999999999999</v>
      </c>
      <c r="I39">
        <v>1.57</v>
      </c>
      <c r="J39">
        <v>3.47</v>
      </c>
      <c r="K39">
        <v>4.1619999999999999</v>
      </c>
      <c r="L39">
        <v>3.1709999999999998</v>
      </c>
      <c r="M39">
        <v>6.7060000000000004</v>
      </c>
    </row>
    <row r="40" spans="1:23" x14ac:dyDescent="0.2">
      <c r="A40" t="s">
        <v>6</v>
      </c>
      <c r="C40">
        <f>SQRT(4+C39^2)</f>
        <v>2.2215060206985711</v>
      </c>
      <c r="D40">
        <f t="shared" ref="D40:M40" si="8">SQRT(4+D39^2)</f>
        <v>9.3289090466141857</v>
      </c>
      <c r="E40">
        <f t="shared" si="8"/>
        <v>10.421707345727954</v>
      </c>
      <c r="F40">
        <f t="shared" si="8"/>
        <v>4.6130953816282618</v>
      </c>
      <c r="G40">
        <f t="shared" si="8"/>
        <v>5.7847371591110344</v>
      </c>
      <c r="H40">
        <f t="shared" si="8"/>
        <v>5.6601258819923785</v>
      </c>
      <c r="I40">
        <f t="shared" si="8"/>
        <v>2.5426167623139748</v>
      </c>
      <c r="J40">
        <f t="shared" si="8"/>
        <v>4.0051092369622081</v>
      </c>
      <c r="K40">
        <f t="shared" si="8"/>
        <v>4.6176015419262839</v>
      </c>
      <c r="L40">
        <f t="shared" si="8"/>
        <v>3.7490320083989679</v>
      </c>
      <c r="M40">
        <f t="shared" si="8"/>
        <v>6.9978879670940719</v>
      </c>
    </row>
    <row r="41" spans="1:23" x14ac:dyDescent="0.2">
      <c r="A41" t="s">
        <v>10</v>
      </c>
      <c r="E41">
        <f>E38/513.726</f>
        <v>1.8062449632683573</v>
      </c>
      <c r="F41">
        <f t="shared" ref="F41:M41" si="9">F38/513.726</f>
        <v>1.8093925555646395</v>
      </c>
      <c r="G41">
        <f t="shared" si="9"/>
        <v>1.8018029066078025</v>
      </c>
      <c r="H41">
        <f t="shared" si="9"/>
        <v>1.7761335809361412</v>
      </c>
      <c r="I41">
        <f t="shared" si="9"/>
        <v>2.2678159174345858</v>
      </c>
      <c r="J41">
        <f t="shared" si="9"/>
        <v>2.1143099628985098</v>
      </c>
      <c r="K41">
        <f t="shared" si="9"/>
        <v>1.41289325438074</v>
      </c>
      <c r="L41">
        <f t="shared" si="9"/>
        <v>1.3916718250584943</v>
      </c>
      <c r="M41">
        <f t="shared" si="9"/>
        <v>0.79316406021887165</v>
      </c>
    </row>
    <row r="43" spans="1:23" s="1" customFormat="1" x14ac:dyDescent="0.2">
      <c r="A43" s="1" t="s">
        <v>15</v>
      </c>
      <c r="C43" s="1" t="s">
        <v>23</v>
      </c>
      <c r="D43" s="1" t="s">
        <v>25</v>
      </c>
    </row>
    <row r="44" spans="1:23" x14ac:dyDescent="0.2">
      <c r="A44" t="s">
        <v>9</v>
      </c>
      <c r="B44">
        <v>247.226</v>
      </c>
      <c r="C44">
        <v>898.99599999999998</v>
      </c>
      <c r="D44">
        <v>1548.883</v>
      </c>
      <c r="E44">
        <v>1012.742</v>
      </c>
      <c r="F44">
        <v>675.5</v>
      </c>
      <c r="G44">
        <v>822.09799999999996</v>
      </c>
    </row>
    <row r="45" spans="1:23" x14ac:dyDescent="0.2">
      <c r="A45" t="s">
        <v>4</v>
      </c>
      <c r="C45">
        <f>C44-B44</f>
        <v>651.77</v>
      </c>
      <c r="D45">
        <f>D44-B44</f>
        <v>1301.6570000000002</v>
      </c>
      <c r="E45">
        <f>E44-B44</f>
        <v>765.51599999999996</v>
      </c>
      <c r="F45">
        <f>F44-B44</f>
        <v>428.274</v>
      </c>
      <c r="G45">
        <f>G44-B44</f>
        <v>574.87199999999996</v>
      </c>
    </row>
    <row r="46" spans="1:23" x14ac:dyDescent="0.2">
      <c r="A46" t="s">
        <v>5</v>
      </c>
      <c r="C46">
        <v>0.90700000000000003</v>
      </c>
      <c r="D46">
        <v>24.503</v>
      </c>
      <c r="E46">
        <v>5.2329999999999997</v>
      </c>
      <c r="F46">
        <v>4.3739999999999997</v>
      </c>
      <c r="G46">
        <v>5.6210000000000004</v>
      </c>
    </row>
    <row r="47" spans="1:23" x14ac:dyDescent="0.2">
      <c r="A47" t="s">
        <v>17</v>
      </c>
      <c r="C47">
        <f>SQRT(9+C46^2)</f>
        <v>3.1341105596325094</v>
      </c>
      <c r="D47">
        <f t="shared" ref="D47:G47" si="10">SQRT(9+D46^2)</f>
        <v>24.685967856253885</v>
      </c>
      <c r="E47">
        <f t="shared" si="10"/>
        <v>6.0319390746260027</v>
      </c>
      <c r="F47">
        <f t="shared" si="10"/>
        <v>5.3039490947783428</v>
      </c>
      <c r="G47">
        <f t="shared" si="10"/>
        <v>6.3714708662913937</v>
      </c>
    </row>
    <row r="48" spans="1:23" x14ac:dyDescent="0.2">
      <c r="A48" t="s">
        <v>10</v>
      </c>
      <c r="D48">
        <f>D45/513.726</f>
        <v>2.5337572947446696</v>
      </c>
      <c r="E48">
        <f t="shared" ref="E48:G48" si="11">E45/513.726</f>
        <v>1.4901250861354107</v>
      </c>
      <c r="F48">
        <f t="shared" si="11"/>
        <v>0.83366230247252426</v>
      </c>
      <c r="G48">
        <f t="shared" si="11"/>
        <v>1.1190245383725954</v>
      </c>
    </row>
    <row r="50" spans="1:10" s="1" customFormat="1" x14ac:dyDescent="0.2">
      <c r="A50" s="1" t="s">
        <v>16</v>
      </c>
      <c r="C50" s="1" t="s">
        <v>23</v>
      </c>
      <c r="H50" s="1" t="s">
        <v>25</v>
      </c>
    </row>
    <row r="51" spans="1:10" x14ac:dyDescent="0.2">
      <c r="A51" t="s">
        <v>3</v>
      </c>
      <c r="B51">
        <v>247.226</v>
      </c>
      <c r="C51">
        <v>587.68799999999999</v>
      </c>
      <c r="D51">
        <v>824.03099999999995</v>
      </c>
      <c r="E51">
        <v>533.11300000000006</v>
      </c>
      <c r="F51">
        <v>783.60900000000004</v>
      </c>
      <c r="G51">
        <v>662.92600000000004</v>
      </c>
      <c r="H51">
        <v>1481.3520000000001</v>
      </c>
      <c r="I51">
        <v>1557.848</v>
      </c>
      <c r="J51">
        <v>1783.6880000000001</v>
      </c>
    </row>
    <row r="52" spans="1:10" x14ac:dyDescent="0.2">
      <c r="A52" t="s">
        <v>4</v>
      </c>
      <c r="C52">
        <f>C51-B51</f>
        <v>340.46199999999999</v>
      </c>
      <c r="D52">
        <f>D51-B51</f>
        <v>576.80499999999995</v>
      </c>
      <c r="E52">
        <f>E51-B51</f>
        <v>285.88700000000006</v>
      </c>
      <c r="F52">
        <f>F51-B51</f>
        <v>536.38300000000004</v>
      </c>
      <c r="G52">
        <f>G51-B51</f>
        <v>415.70000000000005</v>
      </c>
      <c r="H52">
        <f>H51-B51</f>
        <v>1234.1260000000002</v>
      </c>
      <c r="I52">
        <f>I51-B51</f>
        <v>1310.6219999999998</v>
      </c>
      <c r="J52">
        <f>J51-B51</f>
        <v>1536.462</v>
      </c>
    </row>
    <row r="53" spans="1:10" x14ac:dyDescent="0.2">
      <c r="A53" t="s">
        <v>5</v>
      </c>
      <c r="C53">
        <v>27.501000000000001</v>
      </c>
      <c r="D53">
        <v>21.87</v>
      </c>
      <c r="E53">
        <v>8.2629999999999999</v>
      </c>
      <c r="F53">
        <v>2.7450000000000001</v>
      </c>
      <c r="G53">
        <v>1.98</v>
      </c>
      <c r="H53">
        <v>9.1240000000000006</v>
      </c>
      <c r="I53">
        <v>9.3249999999999993</v>
      </c>
      <c r="J53">
        <v>10.044</v>
      </c>
    </row>
    <row r="54" spans="1:10" x14ac:dyDescent="0.2">
      <c r="A54" t="s">
        <v>6</v>
      </c>
      <c r="C54">
        <f>SQRT(16+C53^2)</f>
        <v>27.79037604999256</v>
      </c>
      <c r="D54">
        <f t="shared" ref="D54:J54" si="12">SQRT(16+D53^2)</f>
        <v>22.232788848905123</v>
      </c>
      <c r="E54">
        <f t="shared" si="12"/>
        <v>9.1802597457806172</v>
      </c>
      <c r="F54">
        <f t="shared" si="12"/>
        <v>4.8512910652732435</v>
      </c>
      <c r="G54">
        <f t="shared" si="12"/>
        <v>4.4632275317308219</v>
      </c>
      <c r="H54">
        <f t="shared" si="12"/>
        <v>9.9622977269302702</v>
      </c>
      <c r="I54">
        <f t="shared" si="12"/>
        <v>10.146705130238091</v>
      </c>
      <c r="J54">
        <f t="shared" si="12"/>
        <v>10.811194938581027</v>
      </c>
    </row>
    <row r="55" spans="1:10" x14ac:dyDescent="0.2">
      <c r="A55" t="s">
        <v>10</v>
      </c>
      <c r="H55">
        <f>H52/513.726</f>
        <v>2.402303951912109</v>
      </c>
      <c r="I55">
        <f t="shared" ref="I55:J55" si="13">I52/513.726</f>
        <v>2.5512082316254188</v>
      </c>
      <c r="J55">
        <f t="shared" si="13"/>
        <v>2.9908200091099144</v>
      </c>
    </row>
    <row r="57" spans="1:10" s="1" customFormat="1" x14ac:dyDescent="0.2">
      <c r="A57" s="1" t="s">
        <v>18</v>
      </c>
      <c r="C57" s="1" t="s">
        <v>23</v>
      </c>
      <c r="E57" s="1" t="s">
        <v>25</v>
      </c>
    </row>
    <row r="58" spans="1:10" x14ac:dyDescent="0.2">
      <c r="A58" t="s">
        <v>9</v>
      </c>
      <c r="B58">
        <v>247.226</v>
      </c>
      <c r="C58">
        <v>577.04300000000001</v>
      </c>
      <c r="D58">
        <v>628.58199999999999</v>
      </c>
      <c r="E58">
        <v>979.35900000000004</v>
      </c>
      <c r="F58">
        <v>708.32799999999997</v>
      </c>
      <c r="G58">
        <v>1250.848</v>
      </c>
      <c r="H58">
        <v>964.59</v>
      </c>
      <c r="I58">
        <v>1375.059</v>
      </c>
      <c r="J58">
        <v>1561.559</v>
      </c>
    </row>
    <row r="59" spans="1:10" x14ac:dyDescent="0.2">
      <c r="A59" t="s">
        <v>4</v>
      </c>
      <c r="C59">
        <f>C58-B58</f>
        <v>329.81700000000001</v>
      </c>
      <c r="D59">
        <f>D58-B58</f>
        <v>381.35599999999999</v>
      </c>
      <c r="E59">
        <f>E58-B58</f>
        <v>732.13300000000004</v>
      </c>
      <c r="F59">
        <f>F58-B58</f>
        <v>461.10199999999998</v>
      </c>
      <c r="G59">
        <f>G58-B58</f>
        <v>1003.622</v>
      </c>
      <c r="H59">
        <f>H58-B58</f>
        <v>717.36400000000003</v>
      </c>
      <c r="I59">
        <f>I58-B58</f>
        <v>1127.8330000000001</v>
      </c>
      <c r="J59">
        <f>J58-B58</f>
        <v>1314.3330000000001</v>
      </c>
    </row>
    <row r="60" spans="1:10" x14ac:dyDescent="0.2">
      <c r="A60" t="s">
        <v>5</v>
      </c>
      <c r="C60">
        <v>15.615</v>
      </c>
      <c r="D60">
        <v>2.8650000000000002</v>
      </c>
      <c r="E60">
        <v>27.78</v>
      </c>
      <c r="F60">
        <v>22.135000000000002</v>
      </c>
      <c r="G60">
        <v>8.3550000000000004</v>
      </c>
      <c r="H60">
        <v>9.0890000000000004</v>
      </c>
      <c r="I60">
        <v>9.9870000000000001</v>
      </c>
      <c r="J60">
        <v>9.2260000000000009</v>
      </c>
    </row>
    <row r="61" spans="1:10" x14ac:dyDescent="0.2">
      <c r="A61" t="s">
        <v>6</v>
      </c>
      <c r="C61">
        <f>SQRT(25+C60^2)</f>
        <v>16.395981977301634</v>
      </c>
      <c r="D61">
        <f t="shared" ref="D61:J61" si="14">SQRT(25+D60^2)</f>
        <v>5.7626578069498455</v>
      </c>
      <c r="E61">
        <f t="shared" si="14"/>
        <v>28.226377734310862</v>
      </c>
      <c r="F61">
        <f t="shared" si="14"/>
        <v>22.692691003933405</v>
      </c>
      <c r="G61">
        <f t="shared" si="14"/>
        <v>9.7368385526309318</v>
      </c>
      <c r="H61">
        <f t="shared" si="14"/>
        <v>10.373520183621373</v>
      </c>
      <c r="I61">
        <f t="shared" si="14"/>
        <v>11.168713847171482</v>
      </c>
      <c r="J61">
        <f t="shared" si="14"/>
        <v>10.493763671819565</v>
      </c>
    </row>
    <row r="62" spans="1:10" x14ac:dyDescent="0.2">
      <c r="A62" t="s">
        <v>10</v>
      </c>
      <c r="E62">
        <f>E59/513.726</f>
        <v>1.4251429750489562</v>
      </c>
      <c r="F62">
        <f t="shared" ref="F62:J62" si="15">F59/513.726</f>
        <v>0.897564071119624</v>
      </c>
      <c r="G62">
        <f t="shared" si="15"/>
        <v>1.9536134048111249</v>
      </c>
      <c r="H62">
        <f t="shared" si="15"/>
        <v>1.3963941867843948</v>
      </c>
      <c r="I62">
        <f t="shared" si="15"/>
        <v>2.1953979358646438</v>
      </c>
      <c r="J62">
        <f t="shared" si="15"/>
        <v>2.5584319267469433</v>
      </c>
    </row>
    <row r="64" spans="1:10" x14ac:dyDescent="0.2">
      <c r="A64" t="s">
        <v>33</v>
      </c>
      <c r="B64">
        <f>AVERAGE(C59:D59,C52:G52,C45,C38:D38,C31:E31,C25:E25,C18:E18,C4:E4)</f>
        <v>513.72609090909089</v>
      </c>
    </row>
    <row r="65" spans="1:2" x14ac:dyDescent="0.2">
      <c r="A65" t="s">
        <v>27</v>
      </c>
      <c r="B65">
        <v>45.802999999999997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DEDF-615D-4793-81E4-EE0E999466E4}">
  <dimension ref="A1:U65"/>
  <sheetViews>
    <sheetView topLeftCell="A31" workbookViewId="0">
      <selection activeCell="R4" sqref="R4"/>
    </sheetView>
  </sheetViews>
  <sheetFormatPr baseColWidth="10" defaultColWidth="8.83203125" defaultRowHeight="15" x14ac:dyDescent="0.2"/>
  <cols>
    <col min="1" max="1" width="19.33203125" customWidth="1"/>
    <col min="2" max="2" width="11" customWidth="1"/>
  </cols>
  <sheetData>
    <row r="1" spans="1:16" x14ac:dyDescent="0.2">
      <c r="A1" t="s">
        <v>49</v>
      </c>
    </row>
    <row r="2" spans="1:16" s="1" customFormat="1" x14ac:dyDescent="0.2">
      <c r="A2" s="1" t="s">
        <v>1</v>
      </c>
      <c r="B2" s="1" t="s">
        <v>2</v>
      </c>
      <c r="C2" s="1" t="s">
        <v>23</v>
      </c>
      <c r="D2" s="1" t="s">
        <v>25</v>
      </c>
    </row>
    <row r="3" spans="1:16" x14ac:dyDescent="0.2">
      <c r="A3" t="s">
        <v>9</v>
      </c>
      <c r="B3">
        <v>238.30699999999999</v>
      </c>
      <c r="C3">
        <v>513.95699999999999</v>
      </c>
      <c r="D3">
        <v>763.01199999999994</v>
      </c>
      <c r="E3">
        <v>1686.6479999999999</v>
      </c>
      <c r="F3">
        <v>1571.953</v>
      </c>
      <c r="G3">
        <v>870.66</v>
      </c>
      <c r="H3">
        <v>1851.625</v>
      </c>
      <c r="I3">
        <v>2406.0120000000002</v>
      </c>
      <c r="J3">
        <v>1684.5229999999999</v>
      </c>
      <c r="K3">
        <v>1661.0820000000001</v>
      </c>
      <c r="L3">
        <v>1904.8050000000001</v>
      </c>
      <c r="M3">
        <v>2190.7579999999998</v>
      </c>
      <c r="N3">
        <v>1370.191</v>
      </c>
      <c r="O3">
        <v>1759.375</v>
      </c>
      <c r="P3">
        <v>1073.164</v>
      </c>
    </row>
    <row r="4" spans="1:16" x14ac:dyDescent="0.2">
      <c r="A4" t="s">
        <v>4</v>
      </c>
      <c r="C4">
        <f>C3-B3</f>
        <v>275.64999999999998</v>
      </c>
      <c r="D4">
        <f>D3-B3</f>
        <v>524.70499999999993</v>
      </c>
      <c r="E4">
        <f>E3-B3</f>
        <v>1448.3409999999999</v>
      </c>
      <c r="F4">
        <f>F3-B3</f>
        <v>1333.646</v>
      </c>
      <c r="G4">
        <f>G3-B3</f>
        <v>632.35299999999995</v>
      </c>
      <c r="H4">
        <f>H3-B3</f>
        <v>1613.318</v>
      </c>
      <c r="I4">
        <f>I3-B3</f>
        <v>2167.7050000000004</v>
      </c>
      <c r="J4">
        <f>J3-B3</f>
        <v>1446.2159999999999</v>
      </c>
      <c r="K4">
        <f>K3-B3</f>
        <v>1422.7750000000001</v>
      </c>
      <c r="L4">
        <f>L3-B3</f>
        <v>1666.498</v>
      </c>
      <c r="M4">
        <f>M3-B3</f>
        <v>1952.4509999999998</v>
      </c>
      <c r="N4">
        <f>N3-B3</f>
        <v>1131.884</v>
      </c>
      <c r="O4">
        <f>O3-B3</f>
        <v>1521.068</v>
      </c>
      <c r="P4">
        <f>P3-B3</f>
        <v>834.85699999999997</v>
      </c>
    </row>
    <row r="5" spans="1:16" x14ac:dyDescent="0.2">
      <c r="A5" t="s">
        <v>5</v>
      </c>
      <c r="C5">
        <v>9.8960000000000008</v>
      </c>
      <c r="D5">
        <v>2.3220000000000001</v>
      </c>
      <c r="E5">
        <v>1.5649999999999999</v>
      </c>
      <c r="F5">
        <v>1.399</v>
      </c>
      <c r="G5">
        <v>0.82899999999999996</v>
      </c>
      <c r="H5">
        <v>0.71599999999999997</v>
      </c>
      <c r="I5">
        <v>1.256</v>
      </c>
      <c r="J5">
        <v>0.41699999999999998</v>
      </c>
      <c r="K5">
        <v>1.2689999999999999</v>
      </c>
      <c r="L5">
        <v>0.92</v>
      </c>
      <c r="M5">
        <v>2.0369999999999999</v>
      </c>
      <c r="N5">
        <v>7.7560000000000002</v>
      </c>
      <c r="O5">
        <v>7.7830000000000004</v>
      </c>
      <c r="P5">
        <v>8.641</v>
      </c>
    </row>
    <row r="6" spans="1:16" x14ac:dyDescent="0.2">
      <c r="A6" t="s">
        <v>17</v>
      </c>
      <c r="C6">
        <f>SQRT(9+C5^2)</f>
        <v>10.340735757188655</v>
      </c>
      <c r="D6">
        <f t="shared" ref="D6:P6" si="0">SQRT(9+D5^2)</f>
        <v>3.7936373047512069</v>
      </c>
      <c r="E6">
        <f t="shared" si="0"/>
        <v>3.3836703444632428</v>
      </c>
      <c r="F6">
        <f t="shared" si="0"/>
        <v>3.3101663100212955</v>
      </c>
      <c r="G6">
        <f t="shared" si="0"/>
        <v>3.1124332924578479</v>
      </c>
      <c r="H6">
        <f t="shared" si="0"/>
        <v>3.0842593924636104</v>
      </c>
      <c r="I6">
        <f t="shared" si="0"/>
        <v>3.2523124081182608</v>
      </c>
      <c r="J6">
        <f t="shared" si="0"/>
        <v>3.0288428483498446</v>
      </c>
      <c r="K6">
        <f t="shared" si="0"/>
        <v>3.2573549085108917</v>
      </c>
      <c r="L6">
        <f t="shared" si="0"/>
        <v>3.1378973851928298</v>
      </c>
      <c r="M6">
        <f t="shared" si="0"/>
        <v>3.6262058683974354</v>
      </c>
      <c r="N6">
        <f t="shared" si="0"/>
        <v>8.3159807599585029</v>
      </c>
      <c r="O6">
        <f t="shared" si="0"/>
        <v>8.3411683234424672</v>
      </c>
      <c r="P6">
        <f t="shared" si="0"/>
        <v>9.1469602054453052</v>
      </c>
    </row>
    <row r="7" spans="1:16" x14ac:dyDescent="0.2">
      <c r="A7" t="s">
        <v>10</v>
      </c>
      <c r="D7">
        <f>D4/180.704</f>
        <v>2.9036711970958025</v>
      </c>
      <c r="E7">
        <f t="shared" ref="E7:P7" si="1">E4/180.704</f>
        <v>8.0149913670975739</v>
      </c>
      <c r="F7">
        <f t="shared" si="1"/>
        <v>7.3802793518682481</v>
      </c>
      <c r="G7">
        <f t="shared" si="1"/>
        <v>3.499385735788914</v>
      </c>
      <c r="H7">
        <f t="shared" si="1"/>
        <v>8.927959536036834</v>
      </c>
      <c r="I7">
        <f t="shared" si="1"/>
        <v>11.995888303523996</v>
      </c>
      <c r="J7">
        <f t="shared" si="1"/>
        <v>8.0032318044979629</v>
      </c>
      <c r="K7">
        <f t="shared" si="1"/>
        <v>7.8735113777226848</v>
      </c>
      <c r="L7">
        <f t="shared" si="1"/>
        <v>9.2222529661767307</v>
      </c>
      <c r="M7">
        <f t="shared" si="1"/>
        <v>10.804691650433858</v>
      </c>
      <c r="N7">
        <f t="shared" si="1"/>
        <v>6.2637462369399683</v>
      </c>
      <c r="O7">
        <f t="shared" si="1"/>
        <v>8.4174561714184524</v>
      </c>
      <c r="P7">
        <f t="shared" si="1"/>
        <v>4.6200250132813876</v>
      </c>
    </row>
    <row r="9" spans="1:16" s="1" customFormat="1" x14ac:dyDescent="0.2">
      <c r="A9" s="1" t="s">
        <v>8</v>
      </c>
      <c r="C9" s="1" t="s">
        <v>25</v>
      </c>
    </row>
    <row r="10" spans="1:16" x14ac:dyDescent="0.2">
      <c r="A10" t="s">
        <v>9</v>
      </c>
      <c r="B10">
        <v>238.30699999999999</v>
      </c>
      <c r="C10">
        <v>785.40599999999995</v>
      </c>
      <c r="D10">
        <v>1419.855</v>
      </c>
      <c r="E10">
        <v>1421.2270000000001</v>
      </c>
      <c r="F10">
        <v>1731.414</v>
      </c>
      <c r="G10">
        <v>1428.7660000000001</v>
      </c>
      <c r="H10">
        <v>1751.8119999999999</v>
      </c>
      <c r="I10">
        <v>1112.3869999999999</v>
      </c>
      <c r="J10">
        <v>1575.3910000000001</v>
      </c>
      <c r="K10">
        <v>1290.047</v>
      </c>
      <c r="L10">
        <v>1097.6130000000001</v>
      </c>
      <c r="M10">
        <v>1393.1410000000001</v>
      </c>
      <c r="N10">
        <v>1096.3240000000001</v>
      </c>
    </row>
    <row r="11" spans="1:16" x14ac:dyDescent="0.2">
      <c r="A11" t="s">
        <v>4</v>
      </c>
      <c r="C11">
        <f>C10-B10</f>
        <v>547.09899999999993</v>
      </c>
      <c r="D11">
        <f>D10-B10</f>
        <v>1181.548</v>
      </c>
      <c r="E11">
        <f>E10-B10</f>
        <v>1182.92</v>
      </c>
      <c r="F11">
        <f>F10-B10</f>
        <v>1493.107</v>
      </c>
      <c r="G11">
        <f>G10-B10</f>
        <v>1190.4590000000001</v>
      </c>
      <c r="H11">
        <f>H10-B10</f>
        <v>1513.5049999999999</v>
      </c>
      <c r="I11">
        <f>I10-B10</f>
        <v>874.07999999999993</v>
      </c>
      <c r="J11">
        <f>J10-B10</f>
        <v>1337.0840000000001</v>
      </c>
      <c r="K11">
        <f>K10-B10</f>
        <v>1051.74</v>
      </c>
      <c r="L11">
        <f>L10-B10</f>
        <v>859.30600000000004</v>
      </c>
      <c r="M11">
        <f>M10-B10</f>
        <v>1154.8340000000001</v>
      </c>
      <c r="N11">
        <f>N10-B10</f>
        <v>858.01700000000005</v>
      </c>
    </row>
    <row r="12" spans="1:16" x14ac:dyDescent="0.2">
      <c r="A12" t="s">
        <v>5</v>
      </c>
      <c r="C12">
        <v>2.004</v>
      </c>
      <c r="D12">
        <v>1.194</v>
      </c>
      <c r="E12">
        <v>0.76600000000000001</v>
      </c>
      <c r="F12">
        <v>0.26800000000000002</v>
      </c>
      <c r="G12">
        <v>1.288</v>
      </c>
      <c r="H12">
        <v>0.59799999999999998</v>
      </c>
      <c r="I12">
        <v>1.097</v>
      </c>
      <c r="J12">
        <v>1.724</v>
      </c>
      <c r="K12">
        <v>2.5760000000000001</v>
      </c>
      <c r="L12">
        <v>7.6369999999999996</v>
      </c>
      <c r="M12">
        <v>7.907</v>
      </c>
      <c r="N12">
        <v>8.5980000000000008</v>
      </c>
    </row>
    <row r="13" spans="1:16" x14ac:dyDescent="0.2">
      <c r="A13" t="s">
        <v>6</v>
      </c>
      <c r="C13">
        <f>SQRT(4+C12^2)</f>
        <v>2.8312569646713457</v>
      </c>
      <c r="D13">
        <f t="shared" ref="D13:N13" si="2">SQRT(4+D12^2)</f>
        <v>2.3292994655045969</v>
      </c>
      <c r="E13">
        <f t="shared" si="2"/>
        <v>2.1416713099819962</v>
      </c>
      <c r="F13">
        <f t="shared" si="2"/>
        <v>2.017876111162427</v>
      </c>
      <c r="G13">
        <f t="shared" si="2"/>
        <v>2.3788535053676592</v>
      </c>
      <c r="H13">
        <f t="shared" si="2"/>
        <v>2.0874874849924252</v>
      </c>
      <c r="I13">
        <f t="shared" si="2"/>
        <v>2.2810982004289073</v>
      </c>
      <c r="J13">
        <f t="shared" si="2"/>
        <v>2.6404878337155804</v>
      </c>
      <c r="K13">
        <f t="shared" si="2"/>
        <v>3.2612537466440723</v>
      </c>
      <c r="L13">
        <f t="shared" si="2"/>
        <v>7.8945404552766716</v>
      </c>
      <c r="M13">
        <f t="shared" si="2"/>
        <v>8.1560191883050397</v>
      </c>
      <c r="N13">
        <f t="shared" si="2"/>
        <v>8.8275480174281693</v>
      </c>
    </row>
    <row r="14" spans="1:16" x14ac:dyDescent="0.2">
      <c r="A14" t="s">
        <v>10</v>
      </c>
      <c r="C14">
        <f>C11/180.704</f>
        <v>3.0275976182043558</v>
      </c>
      <c r="D14">
        <f t="shared" ref="D14:N14" si="3">D11/180.704</f>
        <v>6.5385824331503448</v>
      </c>
      <c r="E14">
        <f t="shared" si="3"/>
        <v>6.5461749601558354</v>
      </c>
      <c r="F14">
        <f t="shared" si="3"/>
        <v>8.2627224632548248</v>
      </c>
      <c r="G14">
        <f t="shared" si="3"/>
        <v>6.5878951213033465</v>
      </c>
      <c r="H14">
        <f t="shared" si="3"/>
        <v>8.3756031963874609</v>
      </c>
      <c r="I14">
        <f t="shared" si="3"/>
        <v>4.8370816362670439</v>
      </c>
      <c r="J14">
        <f t="shared" si="3"/>
        <v>7.3993049406764655</v>
      </c>
      <c r="K14">
        <f t="shared" si="3"/>
        <v>5.8202364087125904</v>
      </c>
      <c r="L14">
        <f t="shared" si="3"/>
        <v>4.7553236231627416</v>
      </c>
      <c r="M14">
        <f t="shared" si="3"/>
        <v>6.390749513015761</v>
      </c>
      <c r="N14">
        <f t="shared" si="3"/>
        <v>4.748190410837613</v>
      </c>
    </row>
    <row r="16" spans="1:16" s="1" customFormat="1" x14ac:dyDescent="0.2">
      <c r="A16" s="1" t="s">
        <v>11</v>
      </c>
      <c r="C16" s="1" t="s">
        <v>25</v>
      </c>
    </row>
    <row r="17" spans="1:21" x14ac:dyDescent="0.2">
      <c r="A17" t="s">
        <v>9</v>
      </c>
      <c r="B17">
        <v>238.30699999999999</v>
      </c>
      <c r="C17">
        <v>572.48800000000006</v>
      </c>
      <c r="D17">
        <v>530.83199999999999</v>
      </c>
      <c r="E17">
        <v>566.27300000000002</v>
      </c>
      <c r="F17">
        <v>481.82799999999997</v>
      </c>
      <c r="G17">
        <v>503.77699999999999</v>
      </c>
      <c r="H17">
        <v>478.56599999999997</v>
      </c>
      <c r="I17">
        <v>517.17600000000004</v>
      </c>
      <c r="J17">
        <v>881.75</v>
      </c>
      <c r="K17">
        <v>742.68</v>
      </c>
      <c r="L17">
        <v>541.89499999999998</v>
      </c>
      <c r="M17">
        <v>611.06600000000003</v>
      </c>
      <c r="N17">
        <v>492.49599999999998</v>
      </c>
      <c r="O17">
        <v>462.39100000000002</v>
      </c>
      <c r="P17">
        <v>523.11699999999996</v>
      </c>
    </row>
    <row r="18" spans="1:21" x14ac:dyDescent="0.2">
      <c r="A18" t="s">
        <v>4</v>
      </c>
      <c r="C18">
        <f>C17-B17</f>
        <v>334.18100000000004</v>
      </c>
      <c r="D18">
        <f>D17-B17</f>
        <v>292.52499999999998</v>
      </c>
      <c r="E18">
        <f>E17-B17</f>
        <v>327.96600000000001</v>
      </c>
      <c r="F18">
        <f>F17-B17</f>
        <v>243.52099999999999</v>
      </c>
      <c r="G18">
        <f>G17-B17</f>
        <v>265.47000000000003</v>
      </c>
      <c r="H18">
        <f>H17-B17</f>
        <v>240.25899999999999</v>
      </c>
      <c r="I18">
        <f>I17-B17</f>
        <v>278.86900000000003</v>
      </c>
      <c r="J18">
        <f>J17-B17</f>
        <v>643.44299999999998</v>
      </c>
      <c r="K18">
        <f>K17-B17</f>
        <v>504.37299999999993</v>
      </c>
      <c r="L18">
        <f>L17-B17</f>
        <v>303.58799999999997</v>
      </c>
      <c r="M18">
        <f>M17-B17</f>
        <v>372.75900000000001</v>
      </c>
      <c r="N18">
        <f>N17-B17</f>
        <v>254.18899999999999</v>
      </c>
      <c r="O18">
        <f>O17-B17</f>
        <v>224.08400000000003</v>
      </c>
      <c r="P18">
        <f>P17-B17</f>
        <v>284.80999999999995</v>
      </c>
    </row>
    <row r="19" spans="1:21" x14ac:dyDescent="0.2">
      <c r="A19" t="s">
        <v>5</v>
      </c>
      <c r="C19">
        <v>1.444</v>
      </c>
      <c r="D19">
        <v>0.51400000000000001</v>
      </c>
      <c r="E19">
        <v>0.56000000000000005</v>
      </c>
      <c r="F19">
        <v>1.1779999999999999</v>
      </c>
      <c r="G19">
        <v>1.07</v>
      </c>
      <c r="H19">
        <v>0.82899999999999996</v>
      </c>
      <c r="I19">
        <v>2.4449999999999998</v>
      </c>
      <c r="J19">
        <v>3.2410000000000001</v>
      </c>
      <c r="K19">
        <v>2.996</v>
      </c>
      <c r="L19">
        <v>4.1319999999999997</v>
      </c>
      <c r="M19">
        <v>4.1070000000000002</v>
      </c>
      <c r="N19">
        <v>9.02</v>
      </c>
      <c r="O19">
        <v>8.2539999999999996</v>
      </c>
      <c r="P19">
        <v>17.283999999999999</v>
      </c>
    </row>
    <row r="20" spans="1:21" x14ac:dyDescent="0.2">
      <c r="A20" t="s">
        <v>6</v>
      </c>
      <c r="C20">
        <f>SQRT(1+C19^2)</f>
        <v>1.7564555217824334</v>
      </c>
      <c r="D20">
        <f t="shared" ref="D20:P20" si="4">SQRT(1+D19^2)</f>
        <v>1.124364709513777</v>
      </c>
      <c r="E20">
        <f t="shared" si="4"/>
        <v>1.1461239025515524</v>
      </c>
      <c r="F20">
        <f t="shared" si="4"/>
        <v>1.5452132538908667</v>
      </c>
      <c r="G20">
        <f t="shared" si="4"/>
        <v>1.4645477117526762</v>
      </c>
      <c r="H20">
        <f t="shared" si="4"/>
        <v>1.2989384127047747</v>
      </c>
      <c r="I20">
        <f t="shared" si="4"/>
        <v>2.6415951620185858</v>
      </c>
      <c r="J20">
        <f t="shared" si="4"/>
        <v>3.3917666488129754</v>
      </c>
      <c r="K20">
        <f t="shared" si="4"/>
        <v>3.1584831802623232</v>
      </c>
      <c r="L20">
        <f t="shared" si="4"/>
        <v>4.2512849822142007</v>
      </c>
      <c r="M20">
        <f t="shared" si="4"/>
        <v>4.2269905370133021</v>
      </c>
      <c r="N20">
        <f t="shared" si="4"/>
        <v>9.0752630815861206</v>
      </c>
      <c r="O20">
        <f t="shared" si="4"/>
        <v>8.3143560183576444</v>
      </c>
      <c r="P20">
        <f t="shared" si="4"/>
        <v>17.312904320188451</v>
      </c>
    </row>
    <row r="21" spans="1:21" x14ac:dyDescent="0.2">
      <c r="A21" t="s">
        <v>10</v>
      </c>
      <c r="C21">
        <f>C18/180.704</f>
        <v>1.8493281831060742</v>
      </c>
      <c r="D21">
        <f t="shared" ref="D21:P21" si="5">D18/180.704</f>
        <v>1.6188075526828403</v>
      </c>
      <c r="E21">
        <f t="shared" si="5"/>
        <v>1.8149349211970958</v>
      </c>
      <c r="F21">
        <f t="shared" si="5"/>
        <v>1.3476237382681069</v>
      </c>
      <c r="G21">
        <f t="shared" si="5"/>
        <v>1.4690875686205065</v>
      </c>
      <c r="H21">
        <f t="shared" si="5"/>
        <v>1.3295721179387283</v>
      </c>
      <c r="I21">
        <f t="shared" si="5"/>
        <v>1.5432364529838853</v>
      </c>
      <c r="J21">
        <f t="shared" si="5"/>
        <v>3.5607568177793518</v>
      </c>
      <c r="K21">
        <f t="shared" si="5"/>
        <v>2.79115570214273</v>
      </c>
      <c r="L21">
        <f t="shared" si="5"/>
        <v>1.6800292190543649</v>
      </c>
      <c r="M21">
        <f t="shared" si="5"/>
        <v>2.06281543297326</v>
      </c>
      <c r="N21">
        <f t="shared" si="5"/>
        <v>1.4066595094740568</v>
      </c>
      <c r="O21">
        <f t="shared" si="5"/>
        <v>1.2400610943863999</v>
      </c>
      <c r="P21">
        <f t="shared" si="5"/>
        <v>1.5761134230564897</v>
      </c>
    </row>
    <row r="23" spans="1:21" s="1" customFormat="1" x14ac:dyDescent="0.2">
      <c r="A23" s="1" t="s">
        <v>39</v>
      </c>
      <c r="C23" s="1" t="s">
        <v>23</v>
      </c>
      <c r="D23" s="1" t="s">
        <v>25</v>
      </c>
    </row>
    <row r="24" spans="1:21" x14ac:dyDescent="0.2">
      <c r="A24" t="s">
        <v>9</v>
      </c>
      <c r="B24">
        <v>238.30699999999999</v>
      </c>
      <c r="C24">
        <v>327.87900000000002</v>
      </c>
      <c r="D24">
        <v>508.15199999999999</v>
      </c>
      <c r="E24">
        <v>1019.6950000000001</v>
      </c>
      <c r="F24">
        <v>546.27300000000002</v>
      </c>
      <c r="G24">
        <v>528.28499999999997</v>
      </c>
      <c r="H24">
        <v>538.14800000000002</v>
      </c>
      <c r="I24">
        <v>792.00400000000002</v>
      </c>
      <c r="J24">
        <v>760.34400000000005</v>
      </c>
      <c r="K24">
        <v>1163.8520000000001</v>
      </c>
      <c r="L24">
        <v>889.66</v>
      </c>
      <c r="M24">
        <v>1840.2190000000001</v>
      </c>
      <c r="N24">
        <v>1431.16</v>
      </c>
      <c r="O24">
        <v>1321.5309999999999</v>
      </c>
      <c r="P24">
        <v>943.43399999999997</v>
      </c>
      <c r="Q24">
        <v>1287.5740000000001</v>
      </c>
      <c r="R24">
        <v>932.28499999999997</v>
      </c>
      <c r="S24">
        <v>383.488</v>
      </c>
      <c r="T24">
        <v>426.73399999999998</v>
      </c>
      <c r="U24">
        <v>362.57400000000001</v>
      </c>
    </row>
    <row r="25" spans="1:21" x14ac:dyDescent="0.2">
      <c r="A25" t="s">
        <v>4</v>
      </c>
      <c r="C25">
        <f>C24-B24</f>
        <v>89.572000000000031</v>
      </c>
      <c r="D25">
        <f>D24-B24</f>
        <v>269.84500000000003</v>
      </c>
      <c r="E25">
        <f>E24-B24</f>
        <v>781.38800000000003</v>
      </c>
      <c r="F25">
        <f>F24-B24</f>
        <v>307.96600000000001</v>
      </c>
      <c r="G25">
        <f>G24-B24</f>
        <v>289.97799999999995</v>
      </c>
      <c r="H25">
        <f>H24-B24</f>
        <v>299.84100000000001</v>
      </c>
      <c r="I25">
        <f>I24-B24</f>
        <v>553.697</v>
      </c>
      <c r="J25">
        <f>J24-B24</f>
        <v>522.03700000000003</v>
      </c>
      <c r="K25">
        <f>K24-B24</f>
        <v>925.54500000000007</v>
      </c>
      <c r="L25">
        <f>L24-B24</f>
        <v>651.35299999999995</v>
      </c>
      <c r="M25">
        <f>M24-B24</f>
        <v>1601.912</v>
      </c>
      <c r="N25">
        <f>N24-B24</f>
        <v>1192.8530000000001</v>
      </c>
      <c r="O25">
        <f>O24-B24</f>
        <v>1083.2239999999999</v>
      </c>
      <c r="P25">
        <f>P24-B24</f>
        <v>705.12699999999995</v>
      </c>
      <c r="Q25">
        <f>Q24-B24</f>
        <v>1049.2670000000001</v>
      </c>
      <c r="R25">
        <f>R24-B24</f>
        <v>693.97799999999995</v>
      </c>
      <c r="S25">
        <f>S24-B24</f>
        <v>145.18100000000001</v>
      </c>
      <c r="T25">
        <f>T24-B24</f>
        <v>188.42699999999999</v>
      </c>
      <c r="U25">
        <f>U24-B24</f>
        <v>124.26700000000002</v>
      </c>
    </row>
    <row r="26" spans="1:21" x14ac:dyDescent="0.2">
      <c r="A26" t="s">
        <v>5</v>
      </c>
      <c r="C26">
        <v>17.055</v>
      </c>
      <c r="D26">
        <v>16.423999999999999</v>
      </c>
      <c r="E26">
        <v>4.5190000000000001</v>
      </c>
      <c r="F26">
        <v>1.7030000000000001</v>
      </c>
      <c r="G26">
        <v>3.4510000000000001</v>
      </c>
      <c r="H26">
        <v>2.7789999999999999</v>
      </c>
      <c r="I26">
        <v>1.841</v>
      </c>
      <c r="J26">
        <v>3.3959999999999999</v>
      </c>
      <c r="K26">
        <v>3.0710000000000002</v>
      </c>
      <c r="L26">
        <v>2.12</v>
      </c>
      <c r="M26">
        <v>3.4870000000000001</v>
      </c>
      <c r="N26">
        <v>2.87</v>
      </c>
      <c r="O26">
        <v>3.5259999999999998</v>
      </c>
      <c r="P26">
        <v>4.6920000000000002</v>
      </c>
      <c r="Q26">
        <v>4.1859999999999999</v>
      </c>
      <c r="R26">
        <v>4.593</v>
      </c>
      <c r="S26">
        <v>8.0470000000000006</v>
      </c>
      <c r="T26">
        <v>7.923</v>
      </c>
      <c r="U26">
        <v>7.492</v>
      </c>
    </row>
    <row r="27" spans="1:21" x14ac:dyDescent="0.2">
      <c r="A27" t="s">
        <v>10</v>
      </c>
      <c r="D27">
        <f>D25/180.704</f>
        <v>1.4932984327961751</v>
      </c>
      <c r="E27">
        <f t="shared" ref="E27:U27" si="6">E25/180.704</f>
        <v>4.3241322826279438</v>
      </c>
      <c r="F27">
        <f t="shared" si="6"/>
        <v>1.7042566849654683</v>
      </c>
      <c r="G27">
        <f t="shared" si="6"/>
        <v>1.6047126792987423</v>
      </c>
      <c r="H27">
        <f t="shared" si="6"/>
        <v>1.6592936514963696</v>
      </c>
      <c r="I27">
        <f t="shared" si="6"/>
        <v>3.06411036833717</v>
      </c>
      <c r="J27">
        <f t="shared" si="6"/>
        <v>2.8889067203825038</v>
      </c>
      <c r="K27">
        <f t="shared" si="6"/>
        <v>5.1218844076500796</v>
      </c>
      <c r="L27">
        <f t="shared" si="6"/>
        <v>3.6045300602089601</v>
      </c>
      <c r="M27">
        <f t="shared" si="6"/>
        <v>8.8648397379139361</v>
      </c>
      <c r="N27">
        <f t="shared" si="6"/>
        <v>6.6011433061802727</v>
      </c>
      <c r="O27">
        <f t="shared" si="6"/>
        <v>5.9944660881884184</v>
      </c>
      <c r="P27">
        <f t="shared" si="6"/>
        <v>3.9021106339649365</v>
      </c>
      <c r="Q27">
        <f t="shared" si="6"/>
        <v>5.8065510448025499</v>
      </c>
      <c r="R27">
        <f t="shared" si="6"/>
        <v>3.8404130511776162</v>
      </c>
      <c r="S27">
        <f t="shared" si="6"/>
        <v>0.80341885071719499</v>
      </c>
      <c r="T27">
        <f t="shared" si="6"/>
        <v>1.0427384009208429</v>
      </c>
      <c r="U27">
        <f t="shared" si="6"/>
        <v>0.68768261908978234</v>
      </c>
    </row>
    <row r="29" spans="1:21" s="1" customFormat="1" x14ac:dyDescent="0.2">
      <c r="A29" s="1" t="s">
        <v>13</v>
      </c>
      <c r="C29" s="1" t="s">
        <v>23</v>
      </c>
      <c r="D29" s="1" t="s">
        <v>24</v>
      </c>
    </row>
    <row r="30" spans="1:21" x14ac:dyDescent="0.2">
      <c r="A30" t="s">
        <v>9</v>
      </c>
      <c r="B30">
        <v>238.30699999999999</v>
      </c>
      <c r="C30">
        <v>467.33199999999999</v>
      </c>
      <c r="D30">
        <v>441.50799999999998</v>
      </c>
      <c r="E30">
        <v>986.02300000000002</v>
      </c>
      <c r="F30">
        <v>1299.848</v>
      </c>
      <c r="G30">
        <v>907.14800000000002</v>
      </c>
      <c r="H30">
        <v>858.44899999999996</v>
      </c>
      <c r="I30">
        <v>482.38299999999998</v>
      </c>
      <c r="J30">
        <v>505.24599999999998</v>
      </c>
      <c r="K30">
        <v>358.673</v>
      </c>
      <c r="L30">
        <v>658.18799999999999</v>
      </c>
      <c r="M30">
        <v>600.42600000000004</v>
      </c>
      <c r="N30">
        <v>563.06200000000001</v>
      </c>
      <c r="O30">
        <v>541.03499999999997</v>
      </c>
      <c r="P30">
        <v>554.12099999999998</v>
      </c>
      <c r="Q30">
        <v>564.09799999999996</v>
      </c>
      <c r="R30">
        <v>618.90200000000004</v>
      </c>
    </row>
    <row r="31" spans="1:21" x14ac:dyDescent="0.2">
      <c r="A31" t="s">
        <v>4</v>
      </c>
      <c r="C31">
        <f>C30-B30</f>
        <v>229.02500000000001</v>
      </c>
      <c r="D31">
        <f>D30-B30</f>
        <v>203.20099999999999</v>
      </c>
      <c r="E31">
        <f>E30-B30</f>
        <v>747.71600000000001</v>
      </c>
      <c r="F31">
        <f>F30-B30</f>
        <v>1061.5409999999999</v>
      </c>
      <c r="G31">
        <f>G30-B30</f>
        <v>668.84100000000001</v>
      </c>
      <c r="H31">
        <f>H30-B30</f>
        <v>620.14199999999994</v>
      </c>
      <c r="I31">
        <f>I30-B30</f>
        <v>244.07599999999999</v>
      </c>
      <c r="J31">
        <f>J30-B30</f>
        <v>266.93899999999996</v>
      </c>
      <c r="K31">
        <f>K30-B30</f>
        <v>120.36600000000001</v>
      </c>
      <c r="L31">
        <f>L30-B30</f>
        <v>419.88099999999997</v>
      </c>
      <c r="M31">
        <f>M30-B30</f>
        <v>362.11900000000003</v>
      </c>
      <c r="N31">
        <f>N30-B30</f>
        <v>324.755</v>
      </c>
      <c r="O31">
        <f>O30-B30</f>
        <v>302.72799999999995</v>
      </c>
      <c r="P31">
        <f>P30-B30</f>
        <v>315.81399999999996</v>
      </c>
      <c r="Q31">
        <f>Q30-B30</f>
        <v>325.79099999999994</v>
      </c>
      <c r="R31">
        <f>R30-B30</f>
        <v>380.59500000000003</v>
      </c>
    </row>
    <row r="32" spans="1:21" x14ac:dyDescent="0.2">
      <c r="A32" t="s">
        <v>5</v>
      </c>
      <c r="C32">
        <v>12.877000000000001</v>
      </c>
      <c r="D32">
        <v>4.1440000000000001</v>
      </c>
      <c r="E32">
        <v>3.2210000000000001</v>
      </c>
      <c r="F32">
        <v>2.3959999999999999</v>
      </c>
      <c r="G32">
        <v>2.1240000000000001</v>
      </c>
      <c r="H32">
        <v>1.5349999999999999</v>
      </c>
      <c r="I32">
        <v>2.58</v>
      </c>
      <c r="J32">
        <v>2.9420000000000002</v>
      </c>
      <c r="K32">
        <v>3.2320000000000002</v>
      </c>
      <c r="L32">
        <v>3.698</v>
      </c>
      <c r="M32">
        <v>5.0389999999999997</v>
      </c>
      <c r="N32">
        <v>4.2060000000000004</v>
      </c>
      <c r="O32">
        <v>6.0830000000000002</v>
      </c>
      <c r="P32">
        <v>7.1230000000000002</v>
      </c>
      <c r="Q32">
        <v>4.0170000000000003</v>
      </c>
      <c r="R32">
        <v>4.9530000000000003</v>
      </c>
    </row>
    <row r="33" spans="1:18" x14ac:dyDescent="0.2">
      <c r="A33" t="s">
        <v>6</v>
      </c>
      <c r="C33">
        <f>SQRT(1+C32^2)</f>
        <v>12.915770553861664</v>
      </c>
      <c r="D33">
        <f t="shared" ref="D33:R33" si="7">SQRT(1+D32^2)</f>
        <v>4.2629492138659124</v>
      </c>
      <c r="E33">
        <f t="shared" si="7"/>
        <v>3.3726608189973684</v>
      </c>
      <c r="F33">
        <f t="shared" si="7"/>
        <v>2.5963081481210968</v>
      </c>
      <c r="G33">
        <f t="shared" si="7"/>
        <v>2.3476319984188323</v>
      </c>
      <c r="H33">
        <f t="shared" si="7"/>
        <v>1.8320002729257439</v>
      </c>
      <c r="I33">
        <f t="shared" si="7"/>
        <v>2.7670200577516599</v>
      </c>
      <c r="J33">
        <f t="shared" si="7"/>
        <v>3.1073081598064909</v>
      </c>
      <c r="K33">
        <f t="shared" si="7"/>
        <v>3.3831677463584335</v>
      </c>
      <c r="L33">
        <f t="shared" si="7"/>
        <v>3.8308228881011974</v>
      </c>
      <c r="M33">
        <f t="shared" si="7"/>
        <v>5.1372678536358212</v>
      </c>
      <c r="N33">
        <f t="shared" si="7"/>
        <v>4.3232436896386028</v>
      </c>
      <c r="O33">
        <f t="shared" si="7"/>
        <v>6.1646483273581794</v>
      </c>
      <c r="P33">
        <f t="shared" si="7"/>
        <v>7.1928526329961748</v>
      </c>
      <c r="Q33">
        <f t="shared" si="7"/>
        <v>4.1396001014590773</v>
      </c>
      <c r="R33">
        <f t="shared" si="7"/>
        <v>5.0529406289803172</v>
      </c>
    </row>
    <row r="34" spans="1:18" x14ac:dyDescent="0.2">
      <c r="A34" t="s">
        <v>10</v>
      </c>
      <c r="D34">
        <f>D31/180.704</f>
        <v>1.1244964140251461</v>
      </c>
      <c r="E34">
        <f t="shared" ref="E34:R34" si="8">E31/180.704</f>
        <v>4.1377944041083756</v>
      </c>
      <c r="F34">
        <f t="shared" si="8"/>
        <v>5.8744742783778996</v>
      </c>
      <c r="G34">
        <f t="shared" si="8"/>
        <v>3.7013071099698953</v>
      </c>
      <c r="H34">
        <f t="shared" si="8"/>
        <v>3.4318111386576939</v>
      </c>
      <c r="I34">
        <f t="shared" si="8"/>
        <v>1.3506950593235345</v>
      </c>
      <c r="J34">
        <f t="shared" si="8"/>
        <v>1.4772168850717193</v>
      </c>
      <c r="K34">
        <f t="shared" si="8"/>
        <v>0.66609482911280327</v>
      </c>
      <c r="L34">
        <f t="shared" si="8"/>
        <v>2.3235844253585971</v>
      </c>
      <c r="M34">
        <f t="shared" si="8"/>
        <v>2.0039346112980345</v>
      </c>
      <c r="N34">
        <f t="shared" si="8"/>
        <v>1.797165530370108</v>
      </c>
      <c r="O34">
        <f t="shared" si="8"/>
        <v>1.6752700548964048</v>
      </c>
      <c r="P34">
        <f t="shared" si="8"/>
        <v>1.7476868248627586</v>
      </c>
      <c r="Q34">
        <f t="shared" si="8"/>
        <v>1.8028986630069059</v>
      </c>
      <c r="R34">
        <f t="shared" si="8"/>
        <v>2.1061791659288116</v>
      </c>
    </row>
    <row r="36" spans="1:18" s="1" customFormat="1" x14ac:dyDescent="0.2">
      <c r="A36" s="1" t="s">
        <v>14</v>
      </c>
      <c r="C36" s="1" t="s">
        <v>25</v>
      </c>
    </row>
    <row r="37" spans="1:18" x14ac:dyDescent="0.2">
      <c r="A37" t="s">
        <v>9</v>
      </c>
      <c r="B37">
        <v>238.30699999999999</v>
      </c>
      <c r="C37">
        <v>432.10199999999998</v>
      </c>
      <c r="D37">
        <v>446.91399999999999</v>
      </c>
      <c r="E37">
        <v>375.125</v>
      </c>
      <c r="F37">
        <v>411.738</v>
      </c>
      <c r="G37">
        <v>454.66399999999999</v>
      </c>
    </row>
    <row r="38" spans="1:18" x14ac:dyDescent="0.2">
      <c r="A38" t="s">
        <v>4</v>
      </c>
      <c r="C38">
        <f>C37-B37</f>
        <v>193.79499999999999</v>
      </c>
      <c r="D38">
        <f>D37-B37</f>
        <v>208.607</v>
      </c>
      <c r="E38">
        <f>E37-B37</f>
        <v>136.81800000000001</v>
      </c>
      <c r="F38">
        <f>F37-B37</f>
        <v>173.43100000000001</v>
      </c>
      <c r="G38">
        <f>G37-B37</f>
        <v>216.357</v>
      </c>
    </row>
    <row r="39" spans="1:18" x14ac:dyDescent="0.2">
      <c r="A39" t="s">
        <v>5</v>
      </c>
      <c r="C39">
        <v>2.282</v>
      </c>
      <c r="D39">
        <v>2.0350000000000001</v>
      </c>
      <c r="E39">
        <v>6.5720000000000001</v>
      </c>
      <c r="F39">
        <v>7.4279999999999999</v>
      </c>
      <c r="G39">
        <v>8.1590000000000007</v>
      </c>
    </row>
    <row r="40" spans="1:18" x14ac:dyDescent="0.2">
      <c r="A40" t="s">
        <v>6</v>
      </c>
      <c r="C40">
        <f>SQRT(4+C39^2)</f>
        <v>3.0343902188083853</v>
      </c>
      <c r="D40">
        <f t="shared" ref="D40:G40" si="9">SQRT(4+D39^2)</f>
        <v>2.8532831966000152</v>
      </c>
      <c r="E40">
        <f t="shared" si="9"/>
        <v>6.8695839757586485</v>
      </c>
      <c r="F40">
        <f t="shared" si="9"/>
        <v>7.6925408026217195</v>
      </c>
      <c r="G40">
        <f t="shared" si="9"/>
        <v>8.4005524223112857</v>
      </c>
    </row>
    <row r="41" spans="1:18" x14ac:dyDescent="0.2">
      <c r="A41" t="s">
        <v>10</v>
      </c>
      <c r="C41">
        <f>C38/180.704</f>
        <v>1.0724444395254116</v>
      </c>
      <c r="D41">
        <f t="shared" ref="D41:G41" si="10">D38/180.704</f>
        <v>1.154412741278555</v>
      </c>
      <c r="E41">
        <f t="shared" si="10"/>
        <v>0.75713874623694</v>
      </c>
      <c r="F41">
        <f t="shared" si="10"/>
        <v>0.95975185939436869</v>
      </c>
      <c r="G41">
        <f t="shared" si="10"/>
        <v>1.1973005578183105</v>
      </c>
    </row>
    <row r="43" spans="1:18" s="1" customFormat="1" x14ac:dyDescent="0.2">
      <c r="A43" s="1" t="s">
        <v>15</v>
      </c>
      <c r="C43" s="1" t="s">
        <v>23</v>
      </c>
    </row>
    <row r="44" spans="1:18" x14ac:dyDescent="0.2">
      <c r="A44" t="s">
        <v>9</v>
      </c>
      <c r="B44">
        <v>238.30699999999999</v>
      </c>
      <c r="C44">
        <v>366.875</v>
      </c>
    </row>
    <row r="45" spans="1:18" x14ac:dyDescent="0.2">
      <c r="A45" t="s">
        <v>4</v>
      </c>
      <c r="C45">
        <f>C44-B44</f>
        <v>128.56800000000001</v>
      </c>
    </row>
    <row r="46" spans="1:18" x14ac:dyDescent="0.2">
      <c r="A46" t="s">
        <v>5</v>
      </c>
      <c r="C46">
        <v>12.439</v>
      </c>
    </row>
    <row r="47" spans="1:18" x14ac:dyDescent="0.2">
      <c r="A47" t="s">
        <v>6</v>
      </c>
      <c r="C47">
        <f>SQRT(9+C46^2)</f>
        <v>12.795652425726482</v>
      </c>
    </row>
    <row r="48" spans="1:18" x14ac:dyDescent="0.2">
      <c r="A48" t="s">
        <v>10</v>
      </c>
      <c r="C48">
        <f>C45/180.704</f>
        <v>0.71148397379139372</v>
      </c>
    </row>
    <row r="50" spans="1:4" s="1" customFormat="1" x14ac:dyDescent="0.2">
      <c r="A50" s="1" t="s">
        <v>16</v>
      </c>
      <c r="C50" s="1" t="s">
        <v>25</v>
      </c>
    </row>
    <row r="51" spans="1:4" x14ac:dyDescent="0.2">
      <c r="A51" t="s">
        <v>9</v>
      </c>
      <c r="B51">
        <v>238.30699999999999</v>
      </c>
      <c r="C51">
        <v>327.738</v>
      </c>
      <c r="D51">
        <v>286.887</v>
      </c>
    </row>
    <row r="52" spans="1:4" x14ac:dyDescent="0.2">
      <c r="A52" t="s">
        <v>4</v>
      </c>
      <c r="C52">
        <f>C51-B51</f>
        <v>89.431000000000012</v>
      </c>
      <c r="D52">
        <f>D51-B51</f>
        <v>48.580000000000013</v>
      </c>
    </row>
    <row r="53" spans="1:4" x14ac:dyDescent="0.2">
      <c r="A53" t="s">
        <v>5</v>
      </c>
      <c r="C53">
        <v>12.12</v>
      </c>
      <c r="D53">
        <v>16.454999999999998</v>
      </c>
    </row>
    <row r="54" spans="1:4" x14ac:dyDescent="0.2">
      <c r="A54" t="s">
        <v>17</v>
      </c>
      <c r="C54">
        <f>SQRT(16+C53^2)</f>
        <v>12.763009049593281</v>
      </c>
      <c r="D54">
        <f>SQRT(16+D53^2)</f>
        <v>16.934196910394068</v>
      </c>
    </row>
    <row r="55" spans="1:4" x14ac:dyDescent="0.2">
      <c r="A55" t="s">
        <v>10</v>
      </c>
      <c r="C55">
        <f>C52/180.704</f>
        <v>0.4949032672215336</v>
      </c>
      <c r="D55">
        <f>D52/180.704</f>
        <v>0.26883743580662306</v>
      </c>
    </row>
    <row r="57" spans="1:4" s="1" customFormat="1" x14ac:dyDescent="0.2">
      <c r="A57" s="1" t="s">
        <v>18</v>
      </c>
      <c r="C57" s="1" t="s">
        <v>25</v>
      </c>
    </row>
    <row r="58" spans="1:4" x14ac:dyDescent="0.2">
      <c r="A58" t="s">
        <v>9</v>
      </c>
      <c r="B58">
        <v>238.30699999999999</v>
      </c>
      <c r="C58">
        <v>359.54300000000001</v>
      </c>
    </row>
    <row r="59" spans="1:4" x14ac:dyDescent="0.2">
      <c r="A59" t="s">
        <v>4</v>
      </c>
      <c r="C59">
        <f>C58-B58</f>
        <v>121.23600000000002</v>
      </c>
    </row>
    <row r="60" spans="1:4" x14ac:dyDescent="0.2">
      <c r="A60" t="s">
        <v>5</v>
      </c>
      <c r="C60">
        <v>16.498999999999999</v>
      </c>
    </row>
    <row r="61" spans="1:4" x14ac:dyDescent="0.2">
      <c r="A61" t="s">
        <v>6</v>
      </c>
      <c r="C61">
        <f>SQRT(25+C60^2)</f>
        <v>17.239982627601456</v>
      </c>
    </row>
    <row r="62" spans="1:4" x14ac:dyDescent="0.2">
      <c r="A62" t="s">
        <v>10</v>
      </c>
      <c r="C62">
        <f>C59/180.704</f>
        <v>0.67090933238887918</v>
      </c>
    </row>
    <row r="64" spans="1:4" x14ac:dyDescent="0.2">
      <c r="A64" t="s">
        <v>33</v>
      </c>
      <c r="B64">
        <f>AVERAGE(C45,C31,C25,C4)</f>
        <v>180.70375000000001</v>
      </c>
    </row>
    <row r="65" spans="1:2" x14ac:dyDescent="0.2">
      <c r="A65" t="s">
        <v>27</v>
      </c>
      <c r="B65">
        <v>51.185000000000002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9F7E-3734-3D4E-9EA4-9F5EE8B75701}">
  <dimension ref="A1:U45"/>
  <sheetViews>
    <sheetView workbookViewId="0">
      <selection activeCell="V20" sqref="V20"/>
    </sheetView>
  </sheetViews>
  <sheetFormatPr baseColWidth="10" defaultColWidth="8.83203125" defaultRowHeight="16" x14ac:dyDescent="0.2"/>
  <cols>
    <col min="1" max="1" width="21.33203125" style="2" bestFit="1" customWidth="1"/>
    <col min="2" max="2" width="17.1640625" style="2" bestFit="1" customWidth="1"/>
    <col min="3" max="3" width="9.5" style="2" bestFit="1" customWidth="1"/>
    <col min="4" max="4" width="11.83203125" style="2" bestFit="1" customWidth="1"/>
    <col min="5" max="16384" width="8.83203125" style="2"/>
  </cols>
  <sheetData>
    <row r="1" spans="1:21" x14ac:dyDescent="0.2">
      <c r="A1" s="2" t="s">
        <v>75</v>
      </c>
      <c r="C1" s="6">
        <v>45098</v>
      </c>
    </row>
    <row r="3" spans="1:21" x14ac:dyDescent="0.2">
      <c r="A3" s="2" t="s">
        <v>74</v>
      </c>
    </row>
    <row r="4" spans="1:21" x14ac:dyDescent="0.2">
      <c r="A4" s="2" t="s">
        <v>27</v>
      </c>
      <c r="B4" s="2">
        <v>69.781999999999996</v>
      </c>
      <c r="D4" s="2" t="s">
        <v>73</v>
      </c>
      <c r="E4" s="2">
        <f>AVERAGE(C8,D8,E8,F8,G8,H8,I8,J8,K8,C14,D14,E14,F14,G14,H14,I14,J14,K14,L14,M14,N14,O14,P14,Q14,C21,D21,E21,F21,G21,H21,I21,J21,C28,D28,C35,D35,E35,F35,G35,H35,I35,J35,C42)</f>
        <v>144.43458139534886</v>
      </c>
      <c r="G4" s="2" t="s">
        <v>72</v>
      </c>
    </row>
    <row r="5" spans="1:21" ht="17" thickBot="1" x14ac:dyDescent="0.25"/>
    <row r="6" spans="1:21" ht="17" thickBot="1" x14ac:dyDescent="0.25">
      <c r="A6" s="4" t="s">
        <v>81</v>
      </c>
      <c r="B6" s="5" t="s">
        <v>70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</row>
    <row r="7" spans="1:21" x14ac:dyDescent="0.2">
      <c r="A7" s="3" t="s">
        <v>63</v>
      </c>
      <c r="B7" s="2">
        <v>221.63900000000001</v>
      </c>
      <c r="C7" s="2">
        <v>382.59</v>
      </c>
      <c r="D7" s="2">
        <v>429.34399999999999</v>
      </c>
      <c r="E7" s="2">
        <v>339.60500000000002</v>
      </c>
      <c r="F7" s="2">
        <v>318.14100000000002</v>
      </c>
      <c r="G7" s="2">
        <v>332.96499999999997</v>
      </c>
      <c r="H7" s="2">
        <v>417.70699999999999</v>
      </c>
      <c r="I7" s="2">
        <v>329.15600000000001</v>
      </c>
      <c r="J7" s="2">
        <v>435.18799999999999</v>
      </c>
      <c r="K7" s="2">
        <v>311.18</v>
      </c>
      <c r="L7" s="2">
        <v>382.28899999999999</v>
      </c>
      <c r="M7" s="2">
        <v>561.26199999999994</v>
      </c>
      <c r="N7" s="2">
        <v>573.67999999999995</v>
      </c>
      <c r="O7" s="2">
        <v>570.25400000000002</v>
      </c>
      <c r="P7" s="2">
        <v>333.18</v>
      </c>
      <c r="Q7" s="2">
        <v>375.59800000000001</v>
      </c>
      <c r="R7" s="2">
        <v>564.00800000000004</v>
      </c>
      <c r="S7" s="2">
        <v>651.09</v>
      </c>
      <c r="T7" s="2">
        <v>631.53499999999997</v>
      </c>
    </row>
    <row r="8" spans="1:21" x14ac:dyDescent="0.2">
      <c r="A8" s="3" t="s">
        <v>62</v>
      </c>
      <c r="C8" s="2">
        <f t="shared" ref="C8:T8" si="0">C7-$B$7</f>
        <v>160.95099999999996</v>
      </c>
      <c r="D8" s="2">
        <f t="shared" si="0"/>
        <v>207.70499999999998</v>
      </c>
      <c r="E8" s="2">
        <f t="shared" si="0"/>
        <v>117.96600000000001</v>
      </c>
      <c r="F8" s="2">
        <f t="shared" si="0"/>
        <v>96.50200000000001</v>
      </c>
      <c r="G8" s="2">
        <f t="shared" si="0"/>
        <v>111.32599999999996</v>
      </c>
      <c r="H8" s="2">
        <f t="shared" si="0"/>
        <v>196.06799999999998</v>
      </c>
      <c r="I8" s="2">
        <f t="shared" si="0"/>
        <v>107.517</v>
      </c>
      <c r="J8" s="2">
        <f t="shared" si="0"/>
        <v>213.54899999999998</v>
      </c>
      <c r="K8" s="2">
        <f t="shared" si="0"/>
        <v>89.540999999999997</v>
      </c>
      <c r="L8" s="2">
        <f t="shared" si="0"/>
        <v>160.64999999999998</v>
      </c>
      <c r="M8" s="2">
        <f t="shared" si="0"/>
        <v>339.62299999999993</v>
      </c>
      <c r="N8" s="2">
        <f t="shared" si="0"/>
        <v>352.04099999999994</v>
      </c>
      <c r="O8" s="2">
        <f t="shared" si="0"/>
        <v>348.61500000000001</v>
      </c>
      <c r="P8" s="2">
        <f t="shared" si="0"/>
        <v>111.541</v>
      </c>
      <c r="Q8" s="2">
        <f t="shared" si="0"/>
        <v>153.959</v>
      </c>
      <c r="R8" s="2">
        <f t="shared" si="0"/>
        <v>342.36900000000003</v>
      </c>
      <c r="S8" s="2">
        <f t="shared" si="0"/>
        <v>429.45100000000002</v>
      </c>
      <c r="T8" s="2">
        <f t="shared" si="0"/>
        <v>409.89599999999996</v>
      </c>
    </row>
    <row r="9" spans="1:21" x14ac:dyDescent="0.2">
      <c r="A9" s="3" t="s">
        <v>61</v>
      </c>
      <c r="C9" s="2">
        <v>5.0609999999999999</v>
      </c>
      <c r="D9" s="2">
        <v>4.9000000000000004</v>
      </c>
      <c r="E9" s="2">
        <v>3.9430000000000001</v>
      </c>
      <c r="F9" s="2">
        <v>3.5489999999999999</v>
      </c>
      <c r="G9" s="2">
        <v>1.794</v>
      </c>
      <c r="H9" s="2">
        <v>0.96599999999999997</v>
      </c>
      <c r="I9" s="2">
        <v>1.5229999999999999</v>
      </c>
      <c r="J9" s="2">
        <v>3.8690000000000002</v>
      </c>
      <c r="K9" s="2">
        <v>2.6539999999999999</v>
      </c>
      <c r="L9" s="2">
        <v>3.68</v>
      </c>
      <c r="M9" s="2">
        <v>3.004</v>
      </c>
      <c r="N9" s="2">
        <v>2.8450000000000002</v>
      </c>
      <c r="O9" s="2">
        <v>2.2549999999999999</v>
      </c>
      <c r="P9" s="2">
        <v>2.2250000000000001</v>
      </c>
      <c r="Q9" s="2">
        <v>2.7</v>
      </c>
      <c r="R9" s="2">
        <v>2.4860000000000002</v>
      </c>
      <c r="S9" s="2">
        <v>2.415</v>
      </c>
      <c r="T9" s="2">
        <v>2.6760000000000002</v>
      </c>
    </row>
    <row r="10" spans="1:21" x14ac:dyDescent="0.2">
      <c r="A10" s="3" t="s">
        <v>59</v>
      </c>
      <c r="L10" s="2">
        <f t="shared" ref="L10:T10" si="1">L8/$E$4</f>
        <v>1.1122682563136732</v>
      </c>
      <c r="M10" s="2">
        <f t="shared" si="1"/>
        <v>2.3513967134392693</v>
      </c>
      <c r="N10" s="2">
        <f t="shared" si="1"/>
        <v>2.4373733533826445</v>
      </c>
      <c r="O10" s="2">
        <f t="shared" si="1"/>
        <v>2.4136532721742374</v>
      </c>
      <c r="P10" s="2">
        <f t="shared" si="1"/>
        <v>0.77225965501079019</v>
      </c>
      <c r="Q10" s="2">
        <f t="shared" si="1"/>
        <v>1.0659427853955608</v>
      </c>
      <c r="R10" s="2">
        <f t="shared" si="1"/>
        <v>2.3704087808643388</v>
      </c>
      <c r="S10" s="2">
        <f t="shared" si="1"/>
        <v>2.9733253342182593</v>
      </c>
      <c r="T10" s="2">
        <f t="shared" si="1"/>
        <v>2.8379353201988757</v>
      </c>
    </row>
    <row r="12" spans="1:21" x14ac:dyDescent="0.2">
      <c r="A12" s="4" t="s">
        <v>80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</row>
    <row r="13" spans="1:21" x14ac:dyDescent="0.2">
      <c r="A13" s="3" t="s">
        <v>63</v>
      </c>
      <c r="C13" s="2">
        <v>287.73399999999998</v>
      </c>
      <c r="D13" s="2">
        <v>298.85500000000002</v>
      </c>
      <c r="E13" s="2">
        <v>320.70299999999997</v>
      </c>
      <c r="F13" s="2">
        <v>364.76600000000002</v>
      </c>
      <c r="G13" s="2">
        <v>435.93</v>
      </c>
      <c r="H13" s="2">
        <v>382.988</v>
      </c>
      <c r="I13" s="2">
        <v>442.36700000000002</v>
      </c>
      <c r="J13" s="2">
        <v>422.43</v>
      </c>
      <c r="K13" s="2">
        <v>429.21100000000001</v>
      </c>
      <c r="L13" s="2">
        <v>321.35199999999998</v>
      </c>
      <c r="M13" s="2">
        <v>414.41</v>
      </c>
      <c r="N13" s="2">
        <v>398.61700000000002</v>
      </c>
      <c r="O13" s="2">
        <v>327.28500000000003</v>
      </c>
      <c r="P13" s="2">
        <v>307.66399999999999</v>
      </c>
      <c r="Q13" s="2">
        <v>269.68799999999999</v>
      </c>
      <c r="R13" s="2">
        <v>495.35500000000002</v>
      </c>
      <c r="S13" s="2">
        <v>448.60500000000002</v>
      </c>
      <c r="T13" s="2">
        <v>315.49200000000002</v>
      </c>
      <c r="U13" s="2">
        <v>320.625</v>
      </c>
    </row>
    <row r="14" spans="1:21" x14ac:dyDescent="0.2">
      <c r="A14" s="3" t="s">
        <v>62</v>
      </c>
      <c r="C14" s="2">
        <f t="shared" ref="C14:U14" si="2">C13-$B$7</f>
        <v>66.09499999999997</v>
      </c>
      <c r="D14" s="2">
        <f t="shared" si="2"/>
        <v>77.216000000000008</v>
      </c>
      <c r="E14" s="2">
        <f t="shared" si="2"/>
        <v>99.063999999999965</v>
      </c>
      <c r="F14" s="2">
        <f t="shared" si="2"/>
        <v>143.12700000000001</v>
      </c>
      <c r="G14" s="2">
        <f t="shared" si="2"/>
        <v>214.291</v>
      </c>
      <c r="H14" s="2">
        <f t="shared" si="2"/>
        <v>161.34899999999999</v>
      </c>
      <c r="I14" s="2">
        <f t="shared" si="2"/>
        <v>220.72800000000001</v>
      </c>
      <c r="J14" s="2">
        <f t="shared" si="2"/>
        <v>200.791</v>
      </c>
      <c r="K14" s="2">
        <f t="shared" si="2"/>
        <v>207.572</v>
      </c>
      <c r="L14" s="2">
        <f t="shared" si="2"/>
        <v>99.712999999999965</v>
      </c>
      <c r="M14" s="2">
        <f t="shared" si="2"/>
        <v>192.77100000000002</v>
      </c>
      <c r="N14" s="2">
        <f t="shared" si="2"/>
        <v>176.97800000000001</v>
      </c>
      <c r="O14" s="2">
        <f t="shared" si="2"/>
        <v>105.64600000000002</v>
      </c>
      <c r="P14" s="2">
        <f t="shared" si="2"/>
        <v>86.024999999999977</v>
      </c>
      <c r="Q14" s="2">
        <f t="shared" si="2"/>
        <v>48.048999999999978</v>
      </c>
      <c r="R14" s="2">
        <f t="shared" si="2"/>
        <v>273.71600000000001</v>
      </c>
      <c r="S14" s="2">
        <f t="shared" si="2"/>
        <v>226.96600000000001</v>
      </c>
      <c r="T14" s="2">
        <f t="shared" si="2"/>
        <v>93.853000000000009</v>
      </c>
      <c r="U14" s="2">
        <f t="shared" si="2"/>
        <v>98.98599999999999</v>
      </c>
    </row>
    <row r="15" spans="1:21" x14ac:dyDescent="0.2">
      <c r="A15" s="3" t="s">
        <v>61</v>
      </c>
      <c r="C15" s="2">
        <v>6.9790000000000001</v>
      </c>
      <c r="D15" s="2">
        <v>5.1150000000000002</v>
      </c>
      <c r="E15" s="2">
        <v>4.7110000000000003</v>
      </c>
      <c r="F15" s="2">
        <v>3.93</v>
      </c>
      <c r="G15" s="2">
        <v>3.45</v>
      </c>
      <c r="H15" s="2">
        <v>2.8010000000000002</v>
      </c>
      <c r="I15" s="2">
        <v>3.5470000000000002</v>
      </c>
      <c r="J15" s="2">
        <v>2.76</v>
      </c>
      <c r="K15" s="2">
        <v>1.98</v>
      </c>
      <c r="L15" s="2">
        <v>2.6619999999999999</v>
      </c>
      <c r="M15" s="2">
        <v>2.6819999999999999</v>
      </c>
      <c r="N15" s="2">
        <v>1.504</v>
      </c>
      <c r="O15" s="2">
        <v>2.14</v>
      </c>
      <c r="P15" s="2">
        <v>2.4329999999999998</v>
      </c>
      <c r="Q15" s="2">
        <v>3.35</v>
      </c>
      <c r="R15" s="2">
        <v>2.4689999999999999</v>
      </c>
      <c r="S15" s="2">
        <v>1.6890000000000001</v>
      </c>
      <c r="T15" s="2">
        <v>1.0089999999999999</v>
      </c>
      <c r="U15" s="2">
        <v>0.73599999999999999</v>
      </c>
    </row>
    <row r="16" spans="1:21" x14ac:dyDescent="0.2">
      <c r="A16" s="3" t="s">
        <v>60</v>
      </c>
      <c r="C16" s="2">
        <f t="shared" ref="C16:U16" si="3">SQRT((C15^2)+1)</f>
        <v>7.0502794980057351</v>
      </c>
      <c r="D16" s="2">
        <f t="shared" si="3"/>
        <v>5.211835089486236</v>
      </c>
      <c r="E16" s="2">
        <f t="shared" si="3"/>
        <v>4.8159652199740819</v>
      </c>
      <c r="F16" s="2">
        <f t="shared" si="3"/>
        <v>4.055231189463802</v>
      </c>
      <c r="G16" s="2">
        <f t="shared" si="3"/>
        <v>3.592005011132362</v>
      </c>
      <c r="H16" s="2">
        <f t="shared" si="3"/>
        <v>2.9741555103928246</v>
      </c>
      <c r="I16" s="2">
        <f t="shared" si="3"/>
        <v>3.6852691896250946</v>
      </c>
      <c r="J16" s="2">
        <f t="shared" si="3"/>
        <v>2.9355749011054035</v>
      </c>
      <c r="K16" s="2">
        <f t="shared" si="3"/>
        <v>2.2181974664127626</v>
      </c>
      <c r="L16" s="2">
        <f t="shared" si="3"/>
        <v>2.8436321843726557</v>
      </c>
      <c r="M16" s="2">
        <f t="shared" si="3"/>
        <v>2.8623633591841551</v>
      </c>
      <c r="N16" s="2">
        <f t="shared" si="3"/>
        <v>1.8061052018085768</v>
      </c>
      <c r="O16" s="2">
        <f t="shared" si="3"/>
        <v>2.3621176939348301</v>
      </c>
      <c r="P16" s="2">
        <f t="shared" si="3"/>
        <v>2.6304921592736217</v>
      </c>
      <c r="Q16" s="2">
        <f t="shared" si="3"/>
        <v>3.4960692212826681</v>
      </c>
      <c r="R16" s="2">
        <f t="shared" si="3"/>
        <v>2.6638245062315948</v>
      </c>
      <c r="S16" s="2">
        <f t="shared" si="3"/>
        <v>1.962834939570824</v>
      </c>
      <c r="T16" s="2">
        <f t="shared" si="3"/>
        <v>1.4205917780981274</v>
      </c>
      <c r="U16" s="2">
        <f t="shared" si="3"/>
        <v>1.2416505144363288</v>
      </c>
    </row>
    <row r="17" spans="1:21" x14ac:dyDescent="0.2">
      <c r="A17" s="3" t="s">
        <v>59</v>
      </c>
      <c r="R17" s="2">
        <f>R14/$E$4</f>
        <v>1.8950863245885678</v>
      </c>
      <c r="S17" s="2">
        <f>S14/$E$4</f>
        <v>1.5714103769840597</v>
      </c>
      <c r="T17" s="2">
        <f>T14/$E$4</f>
        <v>0.64979590824654343</v>
      </c>
      <c r="U17" s="2">
        <f>U14/$E$4</f>
        <v>0.68533448876106606</v>
      </c>
    </row>
    <row r="19" spans="1:21" x14ac:dyDescent="0.2">
      <c r="A19" s="4" t="s">
        <v>79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</row>
    <row r="20" spans="1:21" x14ac:dyDescent="0.2">
      <c r="A20" s="3" t="s">
        <v>63</v>
      </c>
      <c r="C20" s="2">
        <v>418.01600000000002</v>
      </c>
      <c r="D20" s="2">
        <v>415.68</v>
      </c>
      <c r="E20" s="2">
        <v>491.387</v>
      </c>
      <c r="F20" s="2">
        <v>422.49200000000002</v>
      </c>
      <c r="G20" s="2">
        <v>353.69499999999999</v>
      </c>
      <c r="H20" s="2">
        <v>388.98399999999998</v>
      </c>
      <c r="I20" s="2">
        <v>281.08999999999997</v>
      </c>
      <c r="J20" s="2">
        <v>295.49200000000002</v>
      </c>
      <c r="K20" s="2">
        <v>536.45299999999997</v>
      </c>
      <c r="L20" s="2">
        <v>519.00800000000004</v>
      </c>
      <c r="M20" s="2">
        <v>310.74200000000002</v>
      </c>
      <c r="N20" s="2">
        <v>537.68399999999997</v>
      </c>
      <c r="O20" s="2">
        <v>539.67600000000004</v>
      </c>
      <c r="P20" s="2">
        <v>430.363</v>
      </c>
    </row>
    <row r="21" spans="1:21" x14ac:dyDescent="0.2">
      <c r="A21" s="3" t="s">
        <v>62</v>
      </c>
      <c r="C21" s="2">
        <f t="shared" ref="C21:P21" si="4">C20-$B$7</f>
        <v>196.37700000000001</v>
      </c>
      <c r="D21" s="2">
        <f t="shared" si="4"/>
        <v>194.041</v>
      </c>
      <c r="E21" s="2">
        <f t="shared" si="4"/>
        <v>269.74799999999999</v>
      </c>
      <c r="F21" s="2">
        <f t="shared" si="4"/>
        <v>200.85300000000001</v>
      </c>
      <c r="G21" s="2">
        <f t="shared" si="4"/>
        <v>132.05599999999998</v>
      </c>
      <c r="H21" s="2">
        <f t="shared" si="4"/>
        <v>167.34499999999997</v>
      </c>
      <c r="I21" s="2">
        <f t="shared" si="4"/>
        <v>59.450999999999965</v>
      </c>
      <c r="J21" s="2">
        <f t="shared" si="4"/>
        <v>73.853000000000009</v>
      </c>
      <c r="K21" s="2">
        <f t="shared" si="4"/>
        <v>314.81399999999996</v>
      </c>
      <c r="L21" s="2">
        <f t="shared" si="4"/>
        <v>297.36900000000003</v>
      </c>
      <c r="M21" s="2">
        <f t="shared" si="4"/>
        <v>89.103000000000009</v>
      </c>
      <c r="N21" s="2">
        <f t="shared" si="4"/>
        <v>316.04499999999996</v>
      </c>
      <c r="O21" s="2">
        <f t="shared" si="4"/>
        <v>318.03700000000003</v>
      </c>
      <c r="P21" s="2">
        <f t="shared" si="4"/>
        <v>208.72399999999999</v>
      </c>
    </row>
    <row r="22" spans="1:21" x14ac:dyDescent="0.2">
      <c r="A22" s="3" t="s">
        <v>61</v>
      </c>
      <c r="C22" s="2">
        <v>4.6909999999999998</v>
      </c>
      <c r="D22" s="2">
        <v>2.4009999999999998</v>
      </c>
      <c r="E22" s="2">
        <v>2.0710000000000002</v>
      </c>
      <c r="F22" s="2">
        <v>1.4830000000000001</v>
      </c>
      <c r="G22" s="2">
        <v>0.93100000000000005</v>
      </c>
      <c r="H22" s="2">
        <v>2.2719999999999998</v>
      </c>
      <c r="I22" s="2">
        <v>3.403</v>
      </c>
      <c r="J22" s="2">
        <v>3.456</v>
      </c>
      <c r="K22" s="2">
        <v>2.246</v>
      </c>
      <c r="L22" s="2">
        <v>1.8260000000000001</v>
      </c>
      <c r="M22" s="2">
        <v>2.6819999999999999</v>
      </c>
      <c r="N22" s="2">
        <v>1.0860000000000001</v>
      </c>
      <c r="O22" s="2">
        <v>0.626</v>
      </c>
      <c r="P22" s="2">
        <v>0.90700000000000003</v>
      </c>
    </row>
    <row r="23" spans="1:21" x14ac:dyDescent="0.2">
      <c r="A23" s="3" t="s">
        <v>60</v>
      </c>
      <c r="C23" s="2">
        <f t="shared" ref="C23:P23" si="5">SQRT((C22^2)+4)</f>
        <v>5.0995569415391371</v>
      </c>
      <c r="D23" s="2">
        <f t="shared" si="5"/>
        <v>3.1248681572187968</v>
      </c>
      <c r="E23" s="2">
        <f t="shared" si="5"/>
        <v>2.8790694677273767</v>
      </c>
      <c r="F23" s="2">
        <f t="shared" si="5"/>
        <v>2.4898371432686117</v>
      </c>
      <c r="G23" s="2">
        <f t="shared" si="5"/>
        <v>2.2060736615081558</v>
      </c>
      <c r="H23" s="2">
        <f t="shared" si="5"/>
        <v>3.0268769383640293</v>
      </c>
      <c r="I23" s="2">
        <f t="shared" si="5"/>
        <v>3.9472026803801197</v>
      </c>
      <c r="J23" s="2">
        <f t="shared" si="5"/>
        <v>3.9929858502128455</v>
      </c>
      <c r="K23" s="2">
        <f t="shared" si="5"/>
        <v>3.0074101815349366</v>
      </c>
      <c r="L23" s="2">
        <f t="shared" si="5"/>
        <v>2.7081868473205466</v>
      </c>
      <c r="M23" s="2">
        <f t="shared" si="5"/>
        <v>3.3456126494261107</v>
      </c>
      <c r="N23" s="2">
        <f t="shared" si="5"/>
        <v>2.2758286402978589</v>
      </c>
      <c r="O23" s="2">
        <f t="shared" si="5"/>
        <v>2.0956803191326676</v>
      </c>
      <c r="P23" s="2">
        <f t="shared" si="5"/>
        <v>2.1960530503610336</v>
      </c>
    </row>
    <row r="24" spans="1:21" x14ac:dyDescent="0.2">
      <c r="A24" s="3" t="s">
        <v>59</v>
      </c>
      <c r="K24" s="2">
        <f t="shared" ref="K24:P24" si="6">K21/$E$4</f>
        <v>2.1796303693939167</v>
      </c>
      <c r="L24" s="2">
        <f t="shared" si="6"/>
        <v>2.0588490452022454</v>
      </c>
      <c r="M24" s="2">
        <f t="shared" si="6"/>
        <v>0.61690904725998907</v>
      </c>
      <c r="N24" s="2">
        <f t="shared" si="6"/>
        <v>2.1881532590516954</v>
      </c>
      <c r="O24" s="2">
        <f t="shared" si="6"/>
        <v>2.2019449700170046</v>
      </c>
      <c r="P24" s="2">
        <f t="shared" si="6"/>
        <v>1.4451109836963283</v>
      </c>
    </row>
    <row r="26" spans="1:21" x14ac:dyDescent="0.2">
      <c r="A26" s="4" t="s">
        <v>78</v>
      </c>
      <c r="C26" s="2">
        <v>1</v>
      </c>
      <c r="D26" s="2">
        <v>1</v>
      </c>
    </row>
    <row r="27" spans="1:21" x14ac:dyDescent="0.2">
      <c r="A27" s="3" t="s">
        <v>63</v>
      </c>
      <c r="C27" s="2">
        <v>377.73399999999998</v>
      </c>
      <c r="D27" s="2">
        <v>357.02699999999999</v>
      </c>
      <c r="E27" s="2">
        <v>492.56599999999997</v>
      </c>
      <c r="F27" s="2">
        <v>372.93799999999999</v>
      </c>
      <c r="G27" s="2">
        <v>430.113</v>
      </c>
    </row>
    <row r="28" spans="1:21" x14ac:dyDescent="0.2">
      <c r="A28" s="3" t="s">
        <v>62</v>
      </c>
      <c r="C28" s="2">
        <f>C27-$B$7</f>
        <v>156.09499999999997</v>
      </c>
      <c r="D28" s="2">
        <f>D27-$B$7</f>
        <v>135.38799999999998</v>
      </c>
      <c r="E28" s="2">
        <f>E27-$B$7</f>
        <v>270.92699999999996</v>
      </c>
      <c r="F28" s="2">
        <f>F27-$B$7</f>
        <v>151.29899999999998</v>
      </c>
      <c r="G28" s="2">
        <f>G27-$B$7</f>
        <v>208.47399999999999</v>
      </c>
    </row>
    <row r="29" spans="1:21" x14ac:dyDescent="0.2">
      <c r="A29" s="3" t="s">
        <v>61</v>
      </c>
      <c r="C29" s="2">
        <v>0.88800000000000001</v>
      </c>
      <c r="D29" s="2">
        <v>0.19</v>
      </c>
      <c r="E29" s="2">
        <v>4.8159999999999998</v>
      </c>
      <c r="F29" s="2">
        <v>1.792</v>
      </c>
      <c r="G29" s="2">
        <v>0.82899999999999996</v>
      </c>
    </row>
    <row r="30" spans="1:21" x14ac:dyDescent="0.2">
      <c r="A30" s="3" t="s">
        <v>60</v>
      </c>
      <c r="C30" s="2">
        <f>SQRT((C29^2)+9)</f>
        <v>3.1286648909718662</v>
      </c>
      <c r="D30" s="2">
        <f>SQRT((D29^2)+9)</f>
        <v>3.006010645357065</v>
      </c>
      <c r="E30" s="2">
        <f>SQRT((E29^2)+9)</f>
        <v>5.6739629889522538</v>
      </c>
      <c r="F30" s="2">
        <f>SQRT((F29^2)+9)</f>
        <v>3.4944619042135798</v>
      </c>
      <c r="G30" s="2">
        <f>SQRT((G29^2)+9)</f>
        <v>3.1124332924578479</v>
      </c>
    </row>
    <row r="31" spans="1:21" x14ac:dyDescent="0.2">
      <c r="A31" s="3" t="s">
        <v>59</v>
      </c>
      <c r="E31" s="2">
        <f>E28/$E$4</f>
        <v>1.8757765445271992</v>
      </c>
      <c r="F31" s="2">
        <f>F28/$E$4</f>
        <v>1.0475261432430902</v>
      </c>
      <c r="G31" s="2">
        <f>G28/$E$4</f>
        <v>1.4433800962759833</v>
      </c>
    </row>
    <row r="33" spans="1:20" x14ac:dyDescent="0.2">
      <c r="A33" s="4" t="s">
        <v>77</v>
      </c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</row>
    <row r="34" spans="1:20" x14ac:dyDescent="0.2">
      <c r="A34" s="3" t="s">
        <v>63</v>
      </c>
      <c r="C34" s="2">
        <v>415.15199999999999</v>
      </c>
      <c r="D34" s="2">
        <v>337.54300000000001</v>
      </c>
      <c r="E34" s="2">
        <v>371.08600000000001</v>
      </c>
      <c r="F34" s="2">
        <v>360.19499999999999</v>
      </c>
      <c r="G34" s="2">
        <v>317.12099999999998</v>
      </c>
      <c r="H34" s="2">
        <v>442.45299999999997</v>
      </c>
      <c r="I34" s="2">
        <v>386.875</v>
      </c>
      <c r="J34" s="2">
        <v>279.12099999999998</v>
      </c>
      <c r="K34" s="2">
        <v>277.76600000000002</v>
      </c>
      <c r="L34" s="2">
        <v>291.73399999999998</v>
      </c>
      <c r="M34" s="2">
        <v>495.92599999999999</v>
      </c>
      <c r="N34" s="2">
        <v>550.09799999999996</v>
      </c>
      <c r="O34" s="2">
        <v>482.79700000000003</v>
      </c>
      <c r="P34" s="2">
        <v>478.66</v>
      </c>
      <c r="Q34" s="2">
        <v>421.31200000000001</v>
      </c>
      <c r="R34" s="2">
        <v>572.35500000000002</v>
      </c>
      <c r="S34" s="2">
        <v>446.55900000000003</v>
      </c>
      <c r="T34" s="2">
        <v>416.78899999999999</v>
      </c>
    </row>
    <row r="35" spans="1:20" x14ac:dyDescent="0.2">
      <c r="A35" s="3" t="s">
        <v>62</v>
      </c>
      <c r="C35" s="2">
        <f t="shared" ref="C35:T35" si="7">C34-$B$7</f>
        <v>193.51299999999998</v>
      </c>
      <c r="D35" s="2">
        <f t="shared" si="7"/>
        <v>115.904</v>
      </c>
      <c r="E35" s="2">
        <f t="shared" si="7"/>
        <v>149.447</v>
      </c>
      <c r="F35" s="2">
        <f t="shared" si="7"/>
        <v>138.55599999999998</v>
      </c>
      <c r="G35" s="2">
        <f t="shared" si="7"/>
        <v>95.481999999999971</v>
      </c>
      <c r="H35" s="2">
        <f t="shared" si="7"/>
        <v>220.81399999999996</v>
      </c>
      <c r="I35" s="2">
        <f t="shared" si="7"/>
        <v>165.23599999999999</v>
      </c>
      <c r="J35" s="2">
        <f t="shared" si="7"/>
        <v>57.481999999999971</v>
      </c>
      <c r="K35" s="2">
        <f t="shared" si="7"/>
        <v>56.12700000000001</v>
      </c>
      <c r="L35" s="2">
        <f t="shared" si="7"/>
        <v>70.09499999999997</v>
      </c>
      <c r="M35" s="2">
        <f t="shared" si="7"/>
        <v>274.28699999999998</v>
      </c>
      <c r="N35" s="2">
        <f t="shared" si="7"/>
        <v>328.45899999999995</v>
      </c>
      <c r="O35" s="2">
        <f t="shared" si="7"/>
        <v>261.15800000000002</v>
      </c>
      <c r="P35" s="2">
        <f t="shared" si="7"/>
        <v>257.02100000000002</v>
      </c>
      <c r="Q35" s="2">
        <f t="shared" si="7"/>
        <v>199.673</v>
      </c>
      <c r="R35" s="2">
        <f t="shared" si="7"/>
        <v>350.71600000000001</v>
      </c>
      <c r="S35" s="2">
        <f t="shared" si="7"/>
        <v>224.92000000000002</v>
      </c>
      <c r="T35" s="2">
        <f t="shared" si="7"/>
        <v>195.14999999999998</v>
      </c>
    </row>
    <row r="36" spans="1:20" x14ac:dyDescent="0.2">
      <c r="A36" s="3" t="s">
        <v>61</v>
      </c>
      <c r="C36" s="2">
        <v>2.1179999999999999</v>
      </c>
      <c r="D36" s="2">
        <v>1.7490000000000001</v>
      </c>
      <c r="E36" s="2">
        <v>1.633</v>
      </c>
      <c r="F36" s="2">
        <v>4.2670000000000003</v>
      </c>
      <c r="G36" s="2">
        <v>3.9689999999999999</v>
      </c>
      <c r="H36" s="2">
        <v>4.0060000000000002</v>
      </c>
      <c r="I36" s="2">
        <v>1.841</v>
      </c>
      <c r="J36" s="2">
        <v>2.6110000000000002</v>
      </c>
      <c r="K36" s="2">
        <v>4.9710000000000001</v>
      </c>
      <c r="L36" s="2">
        <v>4.5990000000000002</v>
      </c>
      <c r="M36" s="2">
        <v>2.8149999999999999</v>
      </c>
      <c r="N36" s="2">
        <v>2.3290000000000002</v>
      </c>
      <c r="O36" s="2">
        <v>3.0459999999999998</v>
      </c>
      <c r="P36" s="2">
        <v>2.9449999999999998</v>
      </c>
      <c r="Q36" s="2">
        <v>1.2909999999999999</v>
      </c>
      <c r="R36" s="2">
        <v>2.032</v>
      </c>
      <c r="S36" s="2">
        <v>2.2839999999999998</v>
      </c>
      <c r="T36" s="2">
        <v>2.956</v>
      </c>
    </row>
    <row r="37" spans="1:20" x14ac:dyDescent="0.2">
      <c r="A37" s="3" t="s">
        <v>60</v>
      </c>
      <c r="C37" s="2">
        <f t="shared" ref="C37:T37" si="8">SQRT((C36^2)+1)</f>
        <v>2.3422049440644601</v>
      </c>
      <c r="D37" s="2">
        <f t="shared" si="8"/>
        <v>2.0146962550220815</v>
      </c>
      <c r="E37" s="2">
        <f t="shared" si="8"/>
        <v>1.9148600471052708</v>
      </c>
      <c r="F37" s="2">
        <f t="shared" si="8"/>
        <v>4.3826121206422091</v>
      </c>
      <c r="G37" s="2">
        <f t="shared" si="8"/>
        <v>4.0930381136754637</v>
      </c>
      <c r="H37" s="2">
        <f t="shared" si="8"/>
        <v>4.1289267370589178</v>
      </c>
      <c r="I37" s="2">
        <f t="shared" si="8"/>
        <v>2.0950610969611363</v>
      </c>
      <c r="J37" s="2">
        <f t="shared" si="8"/>
        <v>2.795947245568128</v>
      </c>
      <c r="K37" s="2">
        <f t="shared" si="8"/>
        <v>5.0705858635861798</v>
      </c>
      <c r="L37" s="2">
        <f t="shared" si="8"/>
        <v>4.7064637468060884</v>
      </c>
      <c r="M37" s="2">
        <f t="shared" si="8"/>
        <v>2.9873441381936563</v>
      </c>
      <c r="N37" s="2">
        <f t="shared" si="8"/>
        <v>2.5346086482926711</v>
      </c>
      <c r="O37" s="2">
        <f t="shared" si="8"/>
        <v>3.2059500931861056</v>
      </c>
      <c r="P37" s="2">
        <f t="shared" si="8"/>
        <v>3.1101487102709413</v>
      </c>
      <c r="Q37" s="2">
        <f t="shared" si="8"/>
        <v>1.6329975505186771</v>
      </c>
      <c r="R37" s="2">
        <f t="shared" si="8"/>
        <v>2.2647348630689641</v>
      </c>
      <c r="S37" s="2">
        <f t="shared" si="8"/>
        <v>2.493322281615435</v>
      </c>
      <c r="T37" s="2">
        <f t="shared" si="8"/>
        <v>3.1205666152158971</v>
      </c>
    </row>
    <row r="38" spans="1:20" x14ac:dyDescent="0.2">
      <c r="A38" s="3" t="s">
        <v>59</v>
      </c>
      <c r="K38" s="2">
        <f t="shared" ref="K38:T38" si="9">K35/$E$4</f>
        <v>0.38859807296680704</v>
      </c>
      <c r="L38" s="2">
        <f t="shared" si="9"/>
        <v>0.48530621491632059</v>
      </c>
      <c r="M38" s="2">
        <f t="shared" si="9"/>
        <v>1.8990396714566355</v>
      </c>
      <c r="N38" s="2">
        <f t="shared" si="9"/>
        <v>2.2741022047963448</v>
      </c>
      <c r="O38" s="2">
        <f t="shared" si="9"/>
        <v>1.8081403876897997</v>
      </c>
      <c r="P38" s="2">
        <f t="shared" si="9"/>
        <v>1.7794976626579313</v>
      </c>
      <c r="Q38" s="2">
        <f t="shared" si="9"/>
        <v>1.3824459355301593</v>
      </c>
      <c r="R38" s="2">
        <f t="shared" si="9"/>
        <v>2.4281996500548164</v>
      </c>
      <c r="S38" s="2">
        <f t="shared" si="9"/>
        <v>1.5572447943359566</v>
      </c>
      <c r="T38" s="2">
        <f t="shared" si="9"/>
        <v>1.3511307203212781</v>
      </c>
    </row>
    <row r="40" spans="1:20" x14ac:dyDescent="0.2">
      <c r="A40" s="4" t="s">
        <v>76</v>
      </c>
      <c r="C40" s="2">
        <v>1</v>
      </c>
    </row>
    <row r="41" spans="1:20" x14ac:dyDescent="0.2">
      <c r="A41" s="3" t="s">
        <v>63</v>
      </c>
      <c r="C41" s="2">
        <v>310.14499999999998</v>
      </c>
      <c r="D41" s="2">
        <v>301.72699999999998</v>
      </c>
      <c r="E41" s="2">
        <v>275.03500000000003</v>
      </c>
      <c r="F41" s="2">
        <v>440.74599999999998</v>
      </c>
    </row>
    <row r="42" spans="1:20" x14ac:dyDescent="0.2">
      <c r="A42" s="3" t="s">
        <v>62</v>
      </c>
      <c r="C42" s="2">
        <f>C41-$B$7</f>
        <v>88.505999999999972</v>
      </c>
      <c r="D42" s="2">
        <f>D41-$B$7</f>
        <v>80.087999999999965</v>
      </c>
      <c r="E42" s="2">
        <f>E41-$B$7</f>
        <v>53.396000000000015</v>
      </c>
      <c r="F42" s="2">
        <f>F41-$B$7</f>
        <v>219.10699999999997</v>
      </c>
    </row>
    <row r="43" spans="1:20" x14ac:dyDescent="0.2">
      <c r="A43" s="3" t="s">
        <v>61</v>
      </c>
      <c r="C43" s="2">
        <v>4.2960000000000003</v>
      </c>
      <c r="D43" s="2">
        <v>3.7170000000000001</v>
      </c>
      <c r="E43" s="2">
        <v>1.7410000000000001</v>
      </c>
      <c r="F43" s="2">
        <v>2.6869999999999998</v>
      </c>
    </row>
    <row r="44" spans="1:20" x14ac:dyDescent="0.2">
      <c r="A44" s="3" t="s">
        <v>60</v>
      </c>
      <c r="C44" s="2">
        <f>SQRT((C43^2)+2)</f>
        <v>4.5227885203710336</v>
      </c>
      <c r="D44" s="2">
        <f>SQRT((D43^2)+2)</f>
        <v>3.9769446815363172</v>
      </c>
      <c r="E44" s="2">
        <f>SQRT((E43^2)+2)</f>
        <v>2.2430071332922683</v>
      </c>
      <c r="F44" s="2">
        <f>SQRT((F43^2)+2)</f>
        <v>3.0364401854803593</v>
      </c>
    </row>
    <row r="45" spans="1:20" x14ac:dyDescent="0.2">
      <c r="A45" s="3" t="s">
        <v>59</v>
      </c>
      <c r="D45" s="2">
        <f>D42/$E$4</f>
        <v>0.55449324688234947</v>
      </c>
      <c r="E45" s="2">
        <f>E42/$E$4</f>
        <v>0.3696898587869587</v>
      </c>
      <c r="F45" s="2">
        <f>F42/$E$4</f>
        <v>1.5169982000380953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2DDB-FFCC-4BFB-B0DA-48A4A2128FF5}">
  <dimension ref="A1:S51"/>
  <sheetViews>
    <sheetView topLeftCell="A24" workbookViewId="0">
      <selection activeCell="G7" sqref="G7"/>
    </sheetView>
  </sheetViews>
  <sheetFormatPr baseColWidth="10" defaultColWidth="8.83203125" defaultRowHeight="15" x14ac:dyDescent="0.2"/>
  <cols>
    <col min="1" max="1" width="17.6640625" customWidth="1"/>
    <col min="2" max="2" width="17.1640625" customWidth="1"/>
  </cols>
  <sheetData>
    <row r="1" spans="1:6" x14ac:dyDescent="0.2">
      <c r="A1" t="s">
        <v>28</v>
      </c>
    </row>
    <row r="2" spans="1:6" s="1" customFormat="1" x14ac:dyDescent="0.2">
      <c r="A2" s="1" t="s">
        <v>29</v>
      </c>
      <c r="B2" s="1" t="s">
        <v>30</v>
      </c>
      <c r="C2" s="1" t="s">
        <v>23</v>
      </c>
      <c r="D2" s="1" t="s">
        <v>25</v>
      </c>
    </row>
    <row r="3" spans="1:6" x14ac:dyDescent="0.2">
      <c r="A3" t="s">
        <v>9</v>
      </c>
      <c r="B3">
        <v>223.22</v>
      </c>
      <c r="C3">
        <v>524.49199999999996</v>
      </c>
      <c r="D3">
        <v>1315.047</v>
      </c>
      <c r="E3">
        <v>1109.1020000000001</v>
      </c>
    </row>
    <row r="4" spans="1:6" x14ac:dyDescent="0.2">
      <c r="A4" t="s">
        <v>4</v>
      </c>
      <c r="C4">
        <f>C3-B3</f>
        <v>301.27199999999993</v>
      </c>
      <c r="D4">
        <f>D3-B3</f>
        <v>1091.827</v>
      </c>
      <c r="E4">
        <f>E3-B3</f>
        <v>885.88200000000006</v>
      </c>
    </row>
    <row r="5" spans="1:6" x14ac:dyDescent="0.2">
      <c r="A5" t="s">
        <v>5</v>
      </c>
      <c r="C5">
        <v>13.702</v>
      </c>
      <c r="D5">
        <v>5.1189999999999998</v>
      </c>
      <c r="E5">
        <v>0.436</v>
      </c>
    </row>
    <row r="6" spans="1:6" x14ac:dyDescent="0.2">
      <c r="A6" t="s">
        <v>6</v>
      </c>
      <c r="C6">
        <f>SQRT(16+C5^2)</f>
        <v>14.273920414518219</v>
      </c>
      <c r="D6">
        <f t="shared" ref="D6:E6" si="0">SQRT(16+D5^2)</f>
        <v>6.4964729661563281</v>
      </c>
      <c r="E6">
        <f t="shared" si="0"/>
        <v>4.0236918371068127</v>
      </c>
    </row>
    <row r="7" spans="1:6" x14ac:dyDescent="0.2">
      <c r="A7" t="s">
        <v>10</v>
      </c>
      <c r="D7">
        <f>D4/544.068</f>
        <v>2.0067840784607807</v>
      </c>
      <c r="E7">
        <f>E4/544.068</f>
        <v>1.6282560268201771</v>
      </c>
    </row>
    <row r="9" spans="1:6" s="1" customFormat="1" x14ac:dyDescent="0.2">
      <c r="A9" s="1" t="s">
        <v>13</v>
      </c>
      <c r="C9" s="1" t="s">
        <v>25</v>
      </c>
    </row>
    <row r="10" spans="1:6" x14ac:dyDescent="0.2">
      <c r="A10" t="s">
        <v>9</v>
      </c>
      <c r="B10">
        <v>223.22</v>
      </c>
      <c r="C10">
        <v>700.88699999999994</v>
      </c>
      <c r="D10">
        <v>2015.91</v>
      </c>
      <c r="E10">
        <v>1571.5509999999999</v>
      </c>
      <c r="F10">
        <v>1002.647</v>
      </c>
    </row>
    <row r="11" spans="1:6" x14ac:dyDescent="0.2">
      <c r="A11" t="s">
        <v>4</v>
      </c>
      <c r="C11">
        <f>C10-B10</f>
        <v>477.66699999999992</v>
      </c>
      <c r="D11">
        <f>D10-B10</f>
        <v>1792.69</v>
      </c>
      <c r="E11">
        <f>E10-B10</f>
        <v>1348.3309999999999</v>
      </c>
      <c r="F11">
        <f>F10-B10</f>
        <v>779.42700000000002</v>
      </c>
    </row>
    <row r="12" spans="1:6" x14ac:dyDescent="0.2">
      <c r="A12" t="s">
        <v>5</v>
      </c>
      <c r="C12">
        <v>2.5550000000000002</v>
      </c>
      <c r="D12">
        <v>0.91700000000000004</v>
      </c>
      <c r="E12">
        <v>0.78700000000000003</v>
      </c>
      <c r="F12">
        <v>1.3180000000000001</v>
      </c>
    </row>
    <row r="13" spans="1:6" x14ac:dyDescent="0.2">
      <c r="A13" t="s">
        <v>6</v>
      </c>
      <c r="C13">
        <f>SQRT(9+C12^2)</f>
        <v>3.9405615082117422</v>
      </c>
      <c r="D13">
        <f t="shared" ref="D13:F13" si="1">SQRT(9+D12^2)</f>
        <v>3.137019126495725</v>
      </c>
      <c r="E13">
        <f t="shared" si="1"/>
        <v>3.1015107609034667</v>
      </c>
      <c r="F13">
        <f t="shared" si="1"/>
        <v>3.2767551022314745</v>
      </c>
    </row>
    <row r="14" spans="1:6" x14ac:dyDescent="0.2">
      <c r="A14" t="s">
        <v>10</v>
      </c>
      <c r="C14">
        <f>C11/544.068</f>
        <v>0.87795459391105513</v>
      </c>
      <c r="D14">
        <f t="shared" ref="D14:F14" si="2">D11/544.068</f>
        <v>3.2949741576420597</v>
      </c>
      <c r="E14">
        <f t="shared" si="2"/>
        <v>2.4782398523713947</v>
      </c>
      <c r="F14">
        <f t="shared" si="2"/>
        <v>1.4325911466948986</v>
      </c>
    </row>
    <row r="16" spans="1:6" s="1" customFormat="1" x14ac:dyDescent="0.2">
      <c r="A16" s="1" t="s">
        <v>14</v>
      </c>
      <c r="C16" s="1" t="s">
        <v>25</v>
      </c>
    </row>
    <row r="17" spans="1:19" x14ac:dyDescent="0.2">
      <c r="A17" t="s">
        <v>9</v>
      </c>
      <c r="B17">
        <v>223.22</v>
      </c>
      <c r="C17">
        <v>991.52</v>
      </c>
      <c r="D17">
        <v>970.24599999999998</v>
      </c>
      <c r="E17">
        <v>1661.93</v>
      </c>
      <c r="F17">
        <v>2980.0160000000001</v>
      </c>
      <c r="G17">
        <v>2620.48</v>
      </c>
      <c r="H17">
        <v>3221.18</v>
      </c>
      <c r="I17">
        <v>2533.1799999999998</v>
      </c>
      <c r="J17">
        <v>2532.8910000000001</v>
      </c>
      <c r="K17">
        <v>1274.2929999999999</v>
      </c>
      <c r="L17">
        <v>1685.3050000000001</v>
      </c>
      <c r="M17">
        <v>2082.2420000000002</v>
      </c>
      <c r="N17">
        <v>1931.867</v>
      </c>
      <c r="O17">
        <v>1253.828</v>
      </c>
    </row>
    <row r="18" spans="1:19" x14ac:dyDescent="0.2">
      <c r="A18" t="s">
        <v>4</v>
      </c>
      <c r="C18">
        <f>C17-B17</f>
        <v>768.3</v>
      </c>
      <c r="D18">
        <f>D17-B17</f>
        <v>747.02599999999995</v>
      </c>
      <c r="E18">
        <f>E17-B17</f>
        <v>1438.71</v>
      </c>
      <c r="F18">
        <f>F17-B17</f>
        <v>2756.7960000000003</v>
      </c>
      <c r="G18">
        <f>G17-B17</f>
        <v>2397.2600000000002</v>
      </c>
      <c r="H18">
        <f>H17-B17</f>
        <v>2997.96</v>
      </c>
      <c r="I18">
        <f>I17-B17</f>
        <v>2309.96</v>
      </c>
      <c r="J18">
        <f>J17-B17</f>
        <v>2309.6710000000003</v>
      </c>
      <c r="K18">
        <f>K17-B17</f>
        <v>1051.0729999999999</v>
      </c>
      <c r="L18">
        <f>L17-B17</f>
        <v>1462.085</v>
      </c>
      <c r="M18">
        <f>M17-B17</f>
        <v>1859.0220000000002</v>
      </c>
      <c r="N18">
        <f>N17-B17</f>
        <v>1708.6469999999999</v>
      </c>
      <c r="O18">
        <f>O17-B17</f>
        <v>1030.6079999999999</v>
      </c>
    </row>
    <row r="19" spans="1:19" x14ac:dyDescent="0.2">
      <c r="A19" t="s">
        <v>31</v>
      </c>
      <c r="C19">
        <v>2.72</v>
      </c>
      <c r="D19">
        <v>2.1019999999999999</v>
      </c>
      <c r="E19">
        <v>1.365</v>
      </c>
      <c r="F19">
        <v>0.58199999999999996</v>
      </c>
      <c r="G19">
        <v>1.153</v>
      </c>
      <c r="H19">
        <v>0.88800000000000001</v>
      </c>
      <c r="I19">
        <v>0.78600000000000003</v>
      </c>
      <c r="J19">
        <v>1.3029999999999999</v>
      </c>
      <c r="K19">
        <v>2.5470000000000002</v>
      </c>
      <c r="L19">
        <v>2.2080000000000002</v>
      </c>
      <c r="M19">
        <v>1.427</v>
      </c>
      <c r="N19">
        <v>1.196</v>
      </c>
      <c r="O19">
        <v>1.119</v>
      </c>
    </row>
    <row r="20" spans="1:19" x14ac:dyDescent="0.2">
      <c r="A20" t="s">
        <v>6</v>
      </c>
      <c r="C20">
        <f>SQRT(4+C19^2)</f>
        <v>3.376151655361471</v>
      </c>
      <c r="D20">
        <f t="shared" ref="D20:O20" si="3">SQRT(4+D19^2)</f>
        <v>2.9014486037150475</v>
      </c>
      <c r="E20">
        <f t="shared" si="3"/>
        <v>2.4214097133694659</v>
      </c>
      <c r="F20">
        <f t="shared" si="3"/>
        <v>2.0829603932864398</v>
      </c>
      <c r="G20">
        <f t="shared" si="3"/>
        <v>2.3085512773165773</v>
      </c>
      <c r="H20">
        <f t="shared" si="3"/>
        <v>2.1882742058526397</v>
      </c>
      <c r="I20">
        <f t="shared" si="3"/>
        <v>2.1489057680596422</v>
      </c>
      <c r="J20">
        <f t="shared" si="3"/>
        <v>2.3870083787033507</v>
      </c>
      <c r="K20">
        <f t="shared" si="3"/>
        <v>3.2383960536043146</v>
      </c>
      <c r="L20">
        <f t="shared" si="3"/>
        <v>2.9791381303994617</v>
      </c>
      <c r="M20">
        <f t="shared" si="3"/>
        <v>2.4568941776153079</v>
      </c>
      <c r="N20">
        <f t="shared" si="3"/>
        <v>2.3303252991803527</v>
      </c>
      <c r="O20">
        <f t="shared" si="3"/>
        <v>2.2917593678220234</v>
      </c>
    </row>
    <row r="21" spans="1:19" x14ac:dyDescent="0.2">
      <c r="A21" t="s">
        <v>10</v>
      </c>
      <c r="C21">
        <f>C18/544.068</f>
        <v>1.4121396590132116</v>
      </c>
      <c r="D21">
        <f t="shared" ref="D21:O21" si="4">D18/544.068</f>
        <v>1.373037929082394</v>
      </c>
      <c r="E21">
        <f t="shared" si="4"/>
        <v>2.6443569553805775</v>
      </c>
      <c r="F21">
        <f t="shared" si="4"/>
        <v>5.0670063300910924</v>
      </c>
      <c r="G21">
        <f t="shared" si="4"/>
        <v>4.4061771690303422</v>
      </c>
      <c r="H21">
        <f t="shared" si="4"/>
        <v>5.5102670989655707</v>
      </c>
      <c r="I21">
        <f t="shared" si="4"/>
        <v>4.2457192850893639</v>
      </c>
      <c r="J21">
        <f t="shared" si="4"/>
        <v>4.2451881014873143</v>
      </c>
      <c r="K21">
        <f t="shared" si="4"/>
        <v>1.9318780005440495</v>
      </c>
      <c r="L21">
        <f t="shared" si="4"/>
        <v>2.6873203349581303</v>
      </c>
      <c r="M21">
        <f t="shared" si="4"/>
        <v>3.4168927413485082</v>
      </c>
      <c r="N21">
        <f t="shared" si="4"/>
        <v>3.1405026577560156</v>
      </c>
      <c r="O21">
        <f t="shared" si="4"/>
        <v>1.8942632170978628</v>
      </c>
    </row>
    <row r="23" spans="1:19" s="1" customFormat="1" x14ac:dyDescent="0.2">
      <c r="A23" s="1" t="s">
        <v>15</v>
      </c>
      <c r="C23" s="1" t="s">
        <v>25</v>
      </c>
    </row>
    <row r="24" spans="1:19" x14ac:dyDescent="0.2">
      <c r="A24" t="s">
        <v>9</v>
      </c>
      <c r="B24">
        <v>223.22</v>
      </c>
      <c r="C24">
        <v>790.27</v>
      </c>
      <c r="D24">
        <v>1025.8520000000001</v>
      </c>
      <c r="E24">
        <v>1159.789</v>
      </c>
      <c r="F24">
        <v>1985.3440000000001</v>
      </c>
      <c r="G24">
        <v>1687.5820000000001</v>
      </c>
      <c r="H24">
        <v>1872.84</v>
      </c>
      <c r="I24">
        <v>2506.8240000000001</v>
      </c>
      <c r="J24">
        <v>2644.9059999999999</v>
      </c>
      <c r="K24">
        <v>3110.6909999999998</v>
      </c>
      <c r="L24">
        <v>2681.473</v>
      </c>
      <c r="M24">
        <v>2322.4960000000001</v>
      </c>
      <c r="N24">
        <v>1784.164</v>
      </c>
      <c r="O24">
        <v>2270.0700000000002</v>
      </c>
      <c r="P24">
        <v>1532.1559999999999</v>
      </c>
      <c r="Q24">
        <v>1459.9880000000001</v>
      </c>
    </row>
    <row r="25" spans="1:19" x14ac:dyDescent="0.2">
      <c r="A25" t="s">
        <v>4</v>
      </c>
      <c r="C25">
        <f>C24-B24</f>
        <v>567.04999999999995</v>
      </c>
      <c r="D25">
        <f>D24-B24</f>
        <v>802.63200000000006</v>
      </c>
      <c r="E25">
        <f>E24-B24</f>
        <v>936.56899999999996</v>
      </c>
      <c r="F25">
        <f>F24-B24</f>
        <v>1762.124</v>
      </c>
      <c r="G25">
        <f>G24-B24</f>
        <v>1464.3620000000001</v>
      </c>
      <c r="H25">
        <f>H24-B24</f>
        <v>1649.62</v>
      </c>
      <c r="I25">
        <f>I24-B24</f>
        <v>2283.6040000000003</v>
      </c>
      <c r="J25">
        <f>J24-B24</f>
        <v>2421.6860000000001</v>
      </c>
      <c r="K25">
        <f>K24-B24</f>
        <v>2887.471</v>
      </c>
      <c r="L25">
        <f>L24-B24</f>
        <v>2458.2530000000002</v>
      </c>
      <c r="M25">
        <f>M24-B24</f>
        <v>2099.2760000000003</v>
      </c>
      <c r="N25">
        <f>N24-B24</f>
        <v>1560.944</v>
      </c>
      <c r="O25">
        <f>O24-B24</f>
        <v>2046.8500000000001</v>
      </c>
      <c r="P25">
        <f>P24-B24</f>
        <v>1308.9359999999999</v>
      </c>
      <c r="Q25">
        <f>Q24-B24</f>
        <v>1236.768</v>
      </c>
    </row>
    <row r="26" spans="1:19" x14ac:dyDescent="0.2">
      <c r="A26" t="s">
        <v>5</v>
      </c>
      <c r="C26">
        <v>4.351</v>
      </c>
      <c r="D26">
        <v>4.5309999999999997</v>
      </c>
      <c r="E26">
        <v>2.6019999999999999</v>
      </c>
      <c r="F26">
        <v>2.97</v>
      </c>
      <c r="G26">
        <v>2.11</v>
      </c>
      <c r="H26">
        <v>2.3479999999999999</v>
      </c>
      <c r="I26">
        <v>2.8370000000000002</v>
      </c>
      <c r="J26">
        <v>1.982</v>
      </c>
      <c r="K26">
        <v>2.2450000000000001</v>
      </c>
      <c r="L26">
        <v>1.736</v>
      </c>
      <c r="M26">
        <v>1.986</v>
      </c>
      <c r="N26">
        <v>2.9129999999999998</v>
      </c>
      <c r="O26">
        <v>1.732</v>
      </c>
      <c r="P26">
        <v>1.5640000000000001</v>
      </c>
      <c r="Q26">
        <v>2.407</v>
      </c>
    </row>
    <row r="27" spans="1:19" x14ac:dyDescent="0.2">
      <c r="A27" t="s">
        <v>17</v>
      </c>
      <c r="C27">
        <f>SQRT(1+C26^2)</f>
        <v>4.4644373665670347</v>
      </c>
      <c r="D27">
        <f t="shared" ref="D27:Q27" si="5">SQRT(1+D26^2)</f>
        <v>4.6400389006990013</v>
      </c>
      <c r="E27">
        <f t="shared" si="5"/>
        <v>2.7875444391076529</v>
      </c>
      <c r="F27">
        <f t="shared" si="5"/>
        <v>3.1338315206788003</v>
      </c>
      <c r="G27">
        <f t="shared" si="5"/>
        <v>2.3349732332512936</v>
      </c>
      <c r="H27">
        <f t="shared" si="5"/>
        <v>2.552078368702654</v>
      </c>
      <c r="I27">
        <f t="shared" si="5"/>
        <v>3.0080839416479055</v>
      </c>
      <c r="J27">
        <f t="shared" si="5"/>
        <v>2.2199828828168924</v>
      </c>
      <c r="K27">
        <f t="shared" si="5"/>
        <v>2.457646231661506</v>
      </c>
      <c r="L27">
        <f t="shared" si="5"/>
        <v>2.0034210740630636</v>
      </c>
      <c r="M27">
        <f t="shared" si="5"/>
        <v>2.2235548115573853</v>
      </c>
      <c r="N27">
        <f t="shared" si="5"/>
        <v>3.0798650944481314</v>
      </c>
      <c r="O27">
        <f t="shared" si="5"/>
        <v>1.9999559995159892</v>
      </c>
      <c r="P27">
        <f t="shared" si="5"/>
        <v>1.856366343155359</v>
      </c>
      <c r="Q27">
        <f t="shared" si="5"/>
        <v>2.6064629289518009</v>
      </c>
    </row>
    <row r="28" spans="1:19" x14ac:dyDescent="0.2">
      <c r="A28" t="s">
        <v>10</v>
      </c>
      <c r="C28">
        <f>C25/544.068</f>
        <v>1.0422410433989868</v>
      </c>
      <c r="D28">
        <f t="shared" ref="D28:Q28" si="6">D25/544.068</f>
        <v>1.4752420653300693</v>
      </c>
      <c r="E28">
        <f t="shared" si="6"/>
        <v>1.7214190137997456</v>
      </c>
      <c r="F28">
        <f t="shared" si="6"/>
        <v>3.2387936802017396</v>
      </c>
      <c r="G28">
        <f t="shared" si="6"/>
        <v>2.6915054735805084</v>
      </c>
      <c r="H28">
        <f t="shared" si="6"/>
        <v>3.0320107045442848</v>
      </c>
      <c r="I28">
        <f t="shared" si="6"/>
        <v>4.1972768109868621</v>
      </c>
      <c r="J28">
        <f t="shared" si="6"/>
        <v>4.4510722924340342</v>
      </c>
      <c r="K28">
        <f t="shared" si="6"/>
        <v>5.3071877044781166</v>
      </c>
      <c r="L28">
        <f t="shared" si="6"/>
        <v>4.5182826411404458</v>
      </c>
      <c r="M28">
        <f t="shared" si="6"/>
        <v>3.8584809251784709</v>
      </c>
      <c r="N28">
        <f t="shared" si="6"/>
        <v>2.8690237249755546</v>
      </c>
      <c r="O28">
        <f t="shared" si="6"/>
        <v>3.7621216465588865</v>
      </c>
      <c r="P28">
        <f t="shared" si="6"/>
        <v>2.4058316239881781</v>
      </c>
      <c r="Q28">
        <f t="shared" si="6"/>
        <v>2.2731864399303028</v>
      </c>
    </row>
    <row r="30" spans="1:19" s="1" customFormat="1" x14ac:dyDescent="0.2">
      <c r="A30" s="1" t="s">
        <v>32</v>
      </c>
      <c r="C30" s="1" t="s">
        <v>23</v>
      </c>
      <c r="G30" s="1" t="s">
        <v>25</v>
      </c>
    </row>
    <row r="31" spans="1:19" x14ac:dyDescent="0.2">
      <c r="A31" t="s">
        <v>9</v>
      </c>
      <c r="B31">
        <v>223.22</v>
      </c>
      <c r="C31">
        <v>756.38699999999994</v>
      </c>
      <c r="D31">
        <v>761.62900000000002</v>
      </c>
      <c r="E31">
        <v>1189.7660000000001</v>
      </c>
      <c r="F31">
        <v>568.28499999999997</v>
      </c>
      <c r="G31">
        <v>1183.25</v>
      </c>
      <c r="H31">
        <v>832.70299999999997</v>
      </c>
      <c r="I31">
        <v>1890.2270000000001</v>
      </c>
      <c r="J31">
        <v>1538.0039999999999</v>
      </c>
      <c r="K31">
        <v>2302.7150000000001</v>
      </c>
      <c r="L31">
        <v>2354.02</v>
      </c>
      <c r="M31">
        <v>1440.066</v>
      </c>
      <c r="N31">
        <v>1063.4570000000001</v>
      </c>
      <c r="O31">
        <v>1453.0160000000001</v>
      </c>
      <c r="P31">
        <v>3013.395</v>
      </c>
      <c r="Q31">
        <v>2452.0819999999999</v>
      </c>
      <c r="R31">
        <v>2453.5390000000002</v>
      </c>
      <c r="S31">
        <v>1760.742</v>
      </c>
    </row>
    <row r="32" spans="1:19" x14ac:dyDescent="0.2">
      <c r="A32" t="s">
        <v>4</v>
      </c>
      <c r="C32">
        <f>C31-B31</f>
        <v>533.16699999999992</v>
      </c>
      <c r="D32">
        <f>D31-B31</f>
        <v>538.40899999999999</v>
      </c>
      <c r="E32">
        <f>E31-B31</f>
        <v>966.54600000000005</v>
      </c>
      <c r="F32">
        <f>F31-B31</f>
        <v>345.06499999999994</v>
      </c>
      <c r="G32">
        <f>G31-B31</f>
        <v>960.03</v>
      </c>
      <c r="H32">
        <f>H31-B31</f>
        <v>609.48299999999995</v>
      </c>
      <c r="I32">
        <f>I31-B31</f>
        <v>1667.0070000000001</v>
      </c>
      <c r="J32">
        <f>J31-B31</f>
        <v>1314.7839999999999</v>
      </c>
      <c r="K32">
        <f>K31-B31</f>
        <v>2079.4950000000003</v>
      </c>
      <c r="L32">
        <f>L31-B31</f>
        <v>2130.8000000000002</v>
      </c>
      <c r="M32">
        <f>M31-B31</f>
        <v>1216.846</v>
      </c>
      <c r="N32">
        <f>N31-B31</f>
        <v>840.23700000000008</v>
      </c>
      <c r="O32">
        <f>O31-B31</f>
        <v>1229.796</v>
      </c>
      <c r="P32">
        <f>P31-B31</f>
        <v>2790.1750000000002</v>
      </c>
      <c r="Q32">
        <f>Q31-B31</f>
        <v>2228.8620000000001</v>
      </c>
      <c r="R32">
        <f>R31-B31</f>
        <v>2230.3190000000004</v>
      </c>
      <c r="S32">
        <f>S31-B31</f>
        <v>1537.5219999999999</v>
      </c>
    </row>
    <row r="33" spans="1:19" x14ac:dyDescent="0.2">
      <c r="A33" t="s">
        <v>5</v>
      </c>
      <c r="C33">
        <v>3.5009999999999999</v>
      </c>
      <c r="D33">
        <v>1.3580000000000001</v>
      </c>
      <c r="E33">
        <v>1.1040000000000001</v>
      </c>
      <c r="F33">
        <v>6.4640000000000004</v>
      </c>
      <c r="G33">
        <v>5.0049999999999999</v>
      </c>
      <c r="H33">
        <v>4.2619999999999996</v>
      </c>
      <c r="I33">
        <v>2.4009999999999998</v>
      </c>
      <c r="J33">
        <v>1.9970000000000001</v>
      </c>
      <c r="K33">
        <v>4.7549999999999999</v>
      </c>
      <c r="L33">
        <v>4.1059999999999999</v>
      </c>
      <c r="M33">
        <v>3.8170000000000002</v>
      </c>
      <c r="N33">
        <v>2.7250000000000001</v>
      </c>
      <c r="O33">
        <v>2.08</v>
      </c>
      <c r="P33">
        <v>2.806</v>
      </c>
      <c r="Q33">
        <v>1.9339999999999999</v>
      </c>
      <c r="R33">
        <v>2.4540000000000002</v>
      </c>
      <c r="S33">
        <v>1.99</v>
      </c>
    </row>
    <row r="34" spans="1:19" x14ac:dyDescent="0.2">
      <c r="A34" t="s">
        <v>10</v>
      </c>
      <c r="G34">
        <f>G32/544.068</f>
        <v>1.764540461854033</v>
      </c>
      <c r="H34">
        <f t="shared" ref="H34:S34" si="7">H32/544.068</f>
        <v>1.1202331326231278</v>
      </c>
      <c r="I34">
        <f t="shared" si="7"/>
        <v>3.0639681069278106</v>
      </c>
      <c r="J34">
        <f t="shared" si="7"/>
        <v>2.4165802804061256</v>
      </c>
      <c r="K34">
        <f t="shared" si="7"/>
        <v>3.8221233375239869</v>
      </c>
      <c r="L34">
        <f t="shared" si="7"/>
        <v>3.9164222119293917</v>
      </c>
      <c r="M34">
        <f t="shared" si="7"/>
        <v>2.2365696934941957</v>
      </c>
      <c r="N34">
        <f t="shared" si="7"/>
        <v>1.5443602637905558</v>
      </c>
      <c r="O34">
        <f t="shared" si="7"/>
        <v>2.2603718652815457</v>
      </c>
      <c r="P34">
        <f t="shared" si="7"/>
        <v>5.1283571171250655</v>
      </c>
      <c r="Q34">
        <f t="shared" si="7"/>
        <v>4.0966607115287061</v>
      </c>
      <c r="R34">
        <f t="shared" si="7"/>
        <v>4.0993386856054768</v>
      </c>
      <c r="S34">
        <f t="shared" si="7"/>
        <v>2.8259739591374609</v>
      </c>
    </row>
    <row r="36" spans="1:19" s="1" customFormat="1" x14ac:dyDescent="0.2">
      <c r="A36" s="1" t="s">
        <v>18</v>
      </c>
      <c r="C36" s="1" t="s">
        <v>23</v>
      </c>
      <c r="D36" s="1" t="s">
        <v>25</v>
      </c>
    </row>
    <row r="37" spans="1:19" x14ac:dyDescent="0.2">
      <c r="A37" t="s">
        <v>9</v>
      </c>
      <c r="B37">
        <v>223.22</v>
      </c>
      <c r="C37">
        <v>848.63099999999997</v>
      </c>
      <c r="D37">
        <v>753.14800000000002</v>
      </c>
      <c r="E37">
        <v>788.37900000000002</v>
      </c>
      <c r="F37">
        <v>1921.328</v>
      </c>
      <c r="G37">
        <v>2127.598</v>
      </c>
      <c r="H37">
        <v>1359.5550000000001</v>
      </c>
    </row>
    <row r="38" spans="1:19" x14ac:dyDescent="0.2">
      <c r="A38" t="s">
        <v>4</v>
      </c>
      <c r="C38">
        <f>C37-B37</f>
        <v>625.41099999999994</v>
      </c>
      <c r="D38">
        <f>D37-B37</f>
        <v>529.928</v>
      </c>
      <c r="E38">
        <f>E37-B37</f>
        <v>565.15899999999999</v>
      </c>
      <c r="F38">
        <f>F37-B37</f>
        <v>1698.1079999999999</v>
      </c>
      <c r="G38">
        <f>G37-B37</f>
        <v>1904.3779999999999</v>
      </c>
      <c r="H38">
        <f>H37-B37</f>
        <v>1136.335</v>
      </c>
    </row>
    <row r="39" spans="1:19" x14ac:dyDescent="0.2">
      <c r="A39" t="s">
        <v>5</v>
      </c>
      <c r="C39">
        <v>7.04</v>
      </c>
      <c r="D39">
        <v>2.8370000000000002</v>
      </c>
      <c r="E39">
        <v>4.1059999999999999</v>
      </c>
      <c r="F39">
        <v>2.9159999999999999</v>
      </c>
      <c r="G39">
        <v>2.266</v>
      </c>
      <c r="H39">
        <v>3.274</v>
      </c>
    </row>
    <row r="40" spans="1:19" x14ac:dyDescent="0.2">
      <c r="A40" t="s">
        <v>6</v>
      </c>
      <c r="C40">
        <f>SQRT(1+C39^2)</f>
        <v>7.1106680417524766</v>
      </c>
      <c r="D40">
        <f t="shared" ref="D40:H40" si="8">SQRT(1+D39^2)</f>
        <v>3.0080839416479055</v>
      </c>
      <c r="E40">
        <f t="shared" si="8"/>
        <v>4.2260189303882676</v>
      </c>
      <c r="F40">
        <f t="shared" si="8"/>
        <v>3.0827027102852456</v>
      </c>
      <c r="G40">
        <f t="shared" si="8"/>
        <v>2.4768439595582117</v>
      </c>
      <c r="H40">
        <f t="shared" si="8"/>
        <v>3.4233135994238095</v>
      </c>
    </row>
    <row r="41" spans="1:19" x14ac:dyDescent="0.2">
      <c r="A41" t="s">
        <v>10</v>
      </c>
      <c r="D41">
        <f>D38/544.068</f>
        <v>0.97401060161597453</v>
      </c>
      <c r="E41">
        <f t="shared" ref="E41:H41" si="9">E38/544.068</f>
        <v>1.0387653749163708</v>
      </c>
      <c r="F41">
        <f t="shared" si="9"/>
        <v>3.1211319173338627</v>
      </c>
      <c r="G41">
        <f t="shared" si="9"/>
        <v>3.5002573207760794</v>
      </c>
      <c r="H41">
        <f t="shared" si="9"/>
        <v>2.0885900291875283</v>
      </c>
    </row>
    <row r="43" spans="1:19" s="1" customFormat="1" x14ac:dyDescent="0.2">
      <c r="A43" s="1" t="s">
        <v>19</v>
      </c>
      <c r="C43" s="1" t="s">
        <v>23</v>
      </c>
    </row>
    <row r="44" spans="1:19" x14ac:dyDescent="0.2">
      <c r="A44" t="s">
        <v>9</v>
      </c>
      <c r="B44">
        <v>223.22</v>
      </c>
      <c r="C44">
        <v>721.82799999999997</v>
      </c>
    </row>
    <row r="45" spans="1:19" x14ac:dyDescent="0.2">
      <c r="A45" t="s">
        <v>4</v>
      </c>
      <c r="C45">
        <f>C44-B44</f>
        <v>498.60799999999995</v>
      </c>
    </row>
    <row r="46" spans="1:19" x14ac:dyDescent="0.2">
      <c r="A46" t="s">
        <v>5</v>
      </c>
      <c r="C46">
        <v>4.2060000000000004</v>
      </c>
    </row>
    <row r="47" spans="1:19" x14ac:dyDescent="0.2">
      <c r="A47" t="s">
        <v>17</v>
      </c>
      <c r="C47">
        <f>SQRT(4+C46^2)</f>
        <v>4.6572992173576306</v>
      </c>
    </row>
    <row r="48" spans="1:19" x14ac:dyDescent="0.2">
      <c r="A48" t="s">
        <v>10</v>
      </c>
    </row>
    <row r="50" spans="1:2" x14ac:dyDescent="0.2">
      <c r="A50" t="s">
        <v>33</v>
      </c>
      <c r="B50">
        <f>AVERAGE(C45,C38,C32:F32,C4)</f>
        <v>544.06828571428571</v>
      </c>
    </row>
    <row r="51" spans="1:2" x14ac:dyDescent="0.2">
      <c r="A51" t="s">
        <v>27</v>
      </c>
      <c r="B51">
        <v>44.93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2E13-5DEB-EF4F-9AE1-C6A1DD58C366}">
  <sheetPr>
    <outlinePr summaryBelow="0" summaryRight="0"/>
  </sheetPr>
  <dimension ref="A1:X80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7" ht="16" x14ac:dyDescent="0.2">
      <c r="A1" s="12" t="s">
        <v>75</v>
      </c>
      <c r="B1" s="12"/>
      <c r="C1" s="15">
        <v>45166</v>
      </c>
      <c r="D1" s="12"/>
      <c r="E1" s="12"/>
      <c r="F1" s="12"/>
      <c r="G1" s="12"/>
      <c r="H1" s="12"/>
    </row>
    <row r="2" spans="1:17" ht="16" x14ac:dyDescent="0.2">
      <c r="A2" s="12"/>
      <c r="B2" s="12"/>
      <c r="C2" s="12"/>
      <c r="D2" s="12"/>
      <c r="E2" s="12"/>
      <c r="F2" s="12"/>
      <c r="G2" s="12"/>
      <c r="H2" s="12"/>
    </row>
    <row r="3" spans="1:17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7" ht="16" x14ac:dyDescent="0.2">
      <c r="A4" s="12" t="s">
        <v>27</v>
      </c>
      <c r="B4" s="13">
        <v>45.856000000000002</v>
      </c>
      <c r="C4" s="12"/>
      <c r="D4" s="12" t="s">
        <v>73</v>
      </c>
      <c r="E4" s="13">
        <f>AVERAGE(C8,D8,C35)</f>
        <v>198.09633333333332</v>
      </c>
      <c r="F4" s="12"/>
      <c r="G4" s="55" t="s">
        <v>72</v>
      </c>
      <c r="H4" s="56"/>
    </row>
    <row r="5" spans="1:17" ht="16" x14ac:dyDescent="0.2">
      <c r="A5" s="12"/>
      <c r="B5" s="12"/>
      <c r="C5" s="12"/>
      <c r="D5" s="12"/>
      <c r="E5" s="12"/>
      <c r="F5" s="12"/>
      <c r="G5" s="12"/>
      <c r="H5" s="12"/>
    </row>
    <row r="6" spans="1:17" ht="15" x14ac:dyDescent="0.2">
      <c r="A6" s="10" t="s">
        <v>204</v>
      </c>
      <c r="B6" s="14" t="s">
        <v>70</v>
      </c>
      <c r="C6" s="8">
        <v>1</v>
      </c>
      <c r="D6" s="8">
        <v>1</v>
      </c>
    </row>
    <row r="7" spans="1:17" ht="16" x14ac:dyDescent="0.2">
      <c r="A7" s="9" t="s">
        <v>63</v>
      </c>
      <c r="B7" s="13">
        <v>214.654</v>
      </c>
      <c r="C7" s="8">
        <v>389.47699999999998</v>
      </c>
      <c r="D7" s="8">
        <v>434.22300000000001</v>
      </c>
      <c r="E7" s="16">
        <v>468.90199999999999</v>
      </c>
      <c r="F7" s="16">
        <v>932.46500000000003</v>
      </c>
      <c r="G7" s="16">
        <v>948.14800000000002</v>
      </c>
      <c r="H7" s="16">
        <v>701.92200000000003</v>
      </c>
      <c r="I7" s="16">
        <v>619.62900000000002</v>
      </c>
      <c r="J7" s="16">
        <v>365.70699999999999</v>
      </c>
      <c r="K7" s="16">
        <v>323.64100000000002</v>
      </c>
      <c r="L7" s="16">
        <v>500.93400000000003</v>
      </c>
      <c r="M7" s="16">
        <v>1432.414</v>
      </c>
      <c r="N7" s="16">
        <v>1519.2809999999999</v>
      </c>
      <c r="O7" s="16">
        <v>1089.152</v>
      </c>
      <c r="P7" s="8">
        <v>945.08199999999999</v>
      </c>
      <c r="Q7" s="8">
        <v>607.38300000000004</v>
      </c>
    </row>
    <row r="8" spans="1:17" ht="16" x14ac:dyDescent="0.2">
      <c r="A8" s="9" t="s">
        <v>62</v>
      </c>
      <c r="B8" s="12"/>
      <c r="C8" s="8">
        <f t="shared" ref="C8:Q8" si="0">C7-$B$7</f>
        <v>174.82299999999998</v>
      </c>
      <c r="D8" s="8">
        <f t="shared" si="0"/>
        <v>219.56900000000002</v>
      </c>
      <c r="E8" s="8">
        <f t="shared" si="0"/>
        <v>254.24799999999999</v>
      </c>
      <c r="F8" s="8">
        <f t="shared" si="0"/>
        <v>717.81100000000004</v>
      </c>
      <c r="G8" s="8">
        <f t="shared" si="0"/>
        <v>733.49400000000003</v>
      </c>
      <c r="H8" s="8">
        <f t="shared" si="0"/>
        <v>487.26800000000003</v>
      </c>
      <c r="I8" s="8">
        <f t="shared" si="0"/>
        <v>404.97500000000002</v>
      </c>
      <c r="J8" s="8">
        <f t="shared" si="0"/>
        <v>151.053</v>
      </c>
      <c r="K8" s="8">
        <f t="shared" si="0"/>
        <v>108.98700000000002</v>
      </c>
      <c r="L8" s="8">
        <f t="shared" si="0"/>
        <v>286.28000000000003</v>
      </c>
      <c r="M8" s="8">
        <f t="shared" si="0"/>
        <v>1217.76</v>
      </c>
      <c r="N8" s="8">
        <f t="shared" si="0"/>
        <v>1304.627</v>
      </c>
      <c r="O8" s="8">
        <f t="shared" si="0"/>
        <v>874.49800000000005</v>
      </c>
      <c r="P8" s="8">
        <f t="shared" si="0"/>
        <v>730.428</v>
      </c>
      <c r="Q8" s="8">
        <f t="shared" si="0"/>
        <v>392.72900000000004</v>
      </c>
    </row>
    <row r="9" spans="1:17" ht="16" x14ac:dyDescent="0.2">
      <c r="A9" s="9" t="s">
        <v>61</v>
      </c>
      <c r="B9" s="12"/>
      <c r="C9" s="8">
        <v>8.4280000000000008</v>
      </c>
      <c r="D9" s="8">
        <v>4.5919999999999996</v>
      </c>
      <c r="E9" s="16">
        <v>2.6560000000000001</v>
      </c>
      <c r="F9" s="16">
        <v>2.1419999999999999</v>
      </c>
      <c r="G9" s="16">
        <v>1.4470000000000001</v>
      </c>
      <c r="H9" s="16">
        <v>1.4750000000000001</v>
      </c>
      <c r="I9" s="16">
        <v>1.4630000000000001</v>
      </c>
      <c r="J9" s="16">
        <v>1.149</v>
      </c>
      <c r="K9" s="16">
        <v>1.621</v>
      </c>
      <c r="L9" s="16">
        <v>2.056</v>
      </c>
      <c r="M9" s="16">
        <v>2.8580000000000001</v>
      </c>
      <c r="N9" s="16">
        <v>7.7430000000000003</v>
      </c>
      <c r="O9" s="16">
        <v>7.1139999999999999</v>
      </c>
      <c r="P9" s="8">
        <v>5.4740000000000002</v>
      </c>
      <c r="Q9" s="8">
        <v>4.9749999999999996</v>
      </c>
    </row>
    <row r="10" spans="1:17" ht="16" x14ac:dyDescent="0.2">
      <c r="A10" s="9" t="s">
        <v>59</v>
      </c>
      <c r="B10" s="12"/>
      <c r="E10" s="8">
        <f t="shared" ref="E10:Q10" si="1">E8/$E$4</f>
        <v>1.2834563655056714</v>
      </c>
      <c r="F10" s="8">
        <f t="shared" si="1"/>
        <v>3.6235451102073237</v>
      </c>
      <c r="G10" s="8">
        <f t="shared" si="1"/>
        <v>3.7027136628811914</v>
      </c>
      <c r="H10" s="8">
        <f t="shared" si="1"/>
        <v>2.4597527465593343</v>
      </c>
      <c r="I10" s="8">
        <f t="shared" si="1"/>
        <v>2.0443336491168442</v>
      </c>
      <c r="J10" s="8">
        <f t="shared" si="1"/>
        <v>0.76252294758947248</v>
      </c>
      <c r="K10" s="8">
        <f t="shared" si="1"/>
        <v>0.55017171780059881</v>
      </c>
      <c r="L10" s="8">
        <f t="shared" si="1"/>
        <v>1.4451554714961914</v>
      </c>
      <c r="M10" s="8">
        <f t="shared" si="1"/>
        <v>6.1473121663029273</v>
      </c>
      <c r="N10" s="8">
        <f t="shared" si="1"/>
        <v>6.5858210399317505</v>
      </c>
      <c r="O10" s="8">
        <f t="shared" si="1"/>
        <v>4.4145087659371116</v>
      </c>
      <c r="P10" s="8">
        <f t="shared" si="1"/>
        <v>3.6872363446067489</v>
      </c>
      <c r="Q10" s="8">
        <f t="shared" si="1"/>
        <v>1.9825152409013127</v>
      </c>
    </row>
    <row r="12" spans="1:17" ht="15" x14ac:dyDescent="0.2">
      <c r="A12" s="10" t="s">
        <v>203</v>
      </c>
    </row>
    <row r="13" spans="1:17" ht="15" x14ac:dyDescent="0.2">
      <c r="A13" s="9" t="s">
        <v>63</v>
      </c>
      <c r="C13" s="8">
        <v>297.85899999999998</v>
      </c>
      <c r="D13" s="8">
        <v>313.69099999999997</v>
      </c>
      <c r="E13" s="8">
        <v>410.52</v>
      </c>
      <c r="F13" s="8">
        <v>1628.4839999999999</v>
      </c>
      <c r="G13" s="8">
        <v>1344.941</v>
      </c>
      <c r="H13" s="8">
        <v>954.03099999999995</v>
      </c>
      <c r="I13" s="8">
        <v>349.54700000000003</v>
      </c>
      <c r="J13" s="8">
        <v>366.113</v>
      </c>
      <c r="K13" s="8">
        <v>841.57399999999996</v>
      </c>
      <c r="L13" s="8">
        <v>1104.4960000000001</v>
      </c>
      <c r="M13" s="8">
        <v>755.08199999999999</v>
      </c>
      <c r="N13" s="8">
        <v>785.37099999999998</v>
      </c>
    </row>
    <row r="14" spans="1:17" ht="15" x14ac:dyDescent="0.2">
      <c r="A14" s="9" t="s">
        <v>62</v>
      </c>
      <c r="C14" s="8">
        <f t="shared" ref="C14:N14" si="2">C13-$B$7</f>
        <v>83.204999999999984</v>
      </c>
      <c r="D14" s="8">
        <f t="shared" si="2"/>
        <v>99.036999999999978</v>
      </c>
      <c r="E14" s="8">
        <f t="shared" si="2"/>
        <v>195.86599999999999</v>
      </c>
      <c r="F14" s="8">
        <f t="shared" si="2"/>
        <v>1413.83</v>
      </c>
      <c r="G14" s="8">
        <f t="shared" si="2"/>
        <v>1130.287</v>
      </c>
      <c r="H14" s="8">
        <f t="shared" si="2"/>
        <v>739.37699999999995</v>
      </c>
      <c r="I14" s="8">
        <f t="shared" si="2"/>
        <v>134.89300000000003</v>
      </c>
      <c r="J14" s="8">
        <f t="shared" si="2"/>
        <v>151.459</v>
      </c>
      <c r="K14" s="8">
        <f t="shared" si="2"/>
        <v>626.91999999999996</v>
      </c>
      <c r="L14" s="8">
        <f t="shared" si="2"/>
        <v>889.8420000000001</v>
      </c>
      <c r="M14" s="8">
        <f t="shared" si="2"/>
        <v>540.428</v>
      </c>
      <c r="N14" s="8">
        <f t="shared" si="2"/>
        <v>570.71699999999998</v>
      </c>
    </row>
    <row r="15" spans="1:17" ht="15" x14ac:dyDescent="0.2">
      <c r="A15" s="9" t="s">
        <v>61</v>
      </c>
      <c r="C15" s="8">
        <v>7.2910000000000004</v>
      </c>
      <c r="D15" s="8">
        <v>3.6080000000000001</v>
      </c>
      <c r="E15" s="8">
        <v>1.9870000000000001</v>
      </c>
      <c r="F15" s="8">
        <v>2.89</v>
      </c>
      <c r="G15" s="8">
        <v>2.169</v>
      </c>
      <c r="H15" s="8">
        <v>1.2909999999999999</v>
      </c>
      <c r="I15" s="8">
        <v>1.409</v>
      </c>
      <c r="J15" s="8">
        <v>1.4119999999999999</v>
      </c>
      <c r="K15" s="8">
        <v>4.9260000000000002</v>
      </c>
      <c r="L15" s="8">
        <v>5.2140000000000004</v>
      </c>
      <c r="M15" s="8">
        <v>7.258</v>
      </c>
      <c r="N15" s="8">
        <v>7.0940000000000003</v>
      </c>
    </row>
    <row r="16" spans="1:17" ht="15" x14ac:dyDescent="0.2">
      <c r="A16" s="9" t="s">
        <v>60</v>
      </c>
      <c r="C16" s="8">
        <f t="shared" ref="C16:N16" si="3">SQRT((C15^2)+1)</f>
        <v>7.3592581827246697</v>
      </c>
      <c r="D16" s="8">
        <f t="shared" si="3"/>
        <v>3.744017093978071</v>
      </c>
      <c r="E16" s="8">
        <f t="shared" si="3"/>
        <v>2.2244480214201454</v>
      </c>
      <c r="F16" s="8">
        <f t="shared" si="3"/>
        <v>3.0581203377238118</v>
      </c>
      <c r="G16" s="8">
        <f t="shared" si="3"/>
        <v>2.3884222825957724</v>
      </c>
      <c r="H16" s="8">
        <f t="shared" si="3"/>
        <v>1.6329975505186771</v>
      </c>
      <c r="I16" s="8">
        <f t="shared" si="3"/>
        <v>1.7277965736741117</v>
      </c>
      <c r="J16" s="8">
        <f t="shared" si="3"/>
        <v>1.7302439134411078</v>
      </c>
      <c r="K16" s="8">
        <f t="shared" si="3"/>
        <v>5.0264774942299306</v>
      </c>
      <c r="L16" s="8">
        <f t="shared" si="3"/>
        <v>5.3090296665209928</v>
      </c>
      <c r="M16" s="8">
        <f t="shared" si="3"/>
        <v>7.3265656347295494</v>
      </c>
      <c r="N16" s="8">
        <f t="shared" si="3"/>
        <v>7.1641353979388196</v>
      </c>
    </row>
    <row r="17" spans="1:17" ht="15" x14ac:dyDescent="0.2">
      <c r="A17" s="9" t="s">
        <v>59</v>
      </c>
      <c r="C17" s="8">
        <f t="shared" ref="C17:N17" si="4">C14/$E$4</f>
        <v>0.42002291814251985</v>
      </c>
      <c r="D17" s="8">
        <f t="shared" si="4"/>
        <v>0.49994363011935261</v>
      </c>
      <c r="E17" s="8">
        <f t="shared" si="4"/>
        <v>0.98874116801758072</v>
      </c>
      <c r="F17" s="8">
        <f t="shared" si="4"/>
        <v>7.1370831363191982</v>
      </c>
      <c r="G17" s="8">
        <f t="shared" si="4"/>
        <v>5.7057441749721098</v>
      </c>
      <c r="H17" s="8">
        <f t="shared" si="4"/>
        <v>3.732411335225791</v>
      </c>
      <c r="I17" s="8">
        <f t="shared" si="4"/>
        <v>0.68094647553631338</v>
      </c>
      <c r="J17" s="8">
        <f t="shared" si="4"/>
        <v>0.76457245548882791</v>
      </c>
      <c r="K17" s="8">
        <f t="shared" si="4"/>
        <v>3.1647228873494209</v>
      </c>
      <c r="L17" s="8">
        <f t="shared" si="4"/>
        <v>4.491966029995508</v>
      </c>
      <c r="M17" s="8">
        <f t="shared" si="4"/>
        <v>2.7281070321005441</v>
      </c>
      <c r="N17" s="8">
        <f t="shared" si="4"/>
        <v>2.8810073886610725</v>
      </c>
    </row>
    <row r="19" spans="1:17" ht="15" x14ac:dyDescent="0.2">
      <c r="A19" s="10" t="s">
        <v>202</v>
      </c>
    </row>
    <row r="20" spans="1:17" ht="15" x14ac:dyDescent="0.2">
      <c r="A20" s="9" t="s">
        <v>63</v>
      </c>
      <c r="C20" s="8">
        <v>300.09399999999999</v>
      </c>
      <c r="D20" s="8">
        <v>340.37900000000002</v>
      </c>
      <c r="E20" s="8">
        <v>335.16</v>
      </c>
      <c r="F20" s="8">
        <v>353.42599999999999</v>
      </c>
      <c r="G20" s="8">
        <v>460.26600000000002</v>
      </c>
      <c r="H20" s="8">
        <v>437.887</v>
      </c>
      <c r="I20" s="8">
        <v>385.03500000000003</v>
      </c>
      <c r="J20" s="8">
        <v>420.82799999999997</v>
      </c>
      <c r="K20" s="8">
        <v>1059.6679999999999</v>
      </c>
      <c r="L20" s="8">
        <v>1110.152</v>
      </c>
      <c r="M20" s="8">
        <v>920.96100000000001</v>
      </c>
    </row>
    <row r="21" spans="1:17" ht="15" x14ac:dyDescent="0.2">
      <c r="A21" s="9" t="s">
        <v>62</v>
      </c>
      <c r="C21" s="8">
        <f t="shared" ref="C21:M21" si="5">C20-$B$7</f>
        <v>85.44</v>
      </c>
      <c r="D21" s="8">
        <f t="shared" si="5"/>
        <v>125.72500000000002</v>
      </c>
      <c r="E21" s="8">
        <f t="shared" si="5"/>
        <v>120.50600000000003</v>
      </c>
      <c r="F21" s="8">
        <f t="shared" si="5"/>
        <v>138.77199999999999</v>
      </c>
      <c r="G21" s="8">
        <f t="shared" si="5"/>
        <v>245.61200000000002</v>
      </c>
      <c r="H21" s="8">
        <f t="shared" si="5"/>
        <v>223.233</v>
      </c>
      <c r="I21" s="8">
        <f t="shared" si="5"/>
        <v>170.38100000000003</v>
      </c>
      <c r="J21" s="8">
        <f t="shared" si="5"/>
        <v>206.17399999999998</v>
      </c>
      <c r="K21" s="8">
        <f t="shared" si="5"/>
        <v>845.0139999999999</v>
      </c>
      <c r="L21" s="8">
        <f t="shared" si="5"/>
        <v>895.49800000000005</v>
      </c>
      <c r="M21" s="8">
        <f t="shared" si="5"/>
        <v>706.30700000000002</v>
      </c>
    </row>
    <row r="22" spans="1:17" ht="15" x14ac:dyDescent="0.2">
      <c r="A22" s="9" t="s">
        <v>61</v>
      </c>
      <c r="C22" s="8">
        <v>7.7759999999999998</v>
      </c>
      <c r="D22" s="8">
        <v>7.3280000000000003</v>
      </c>
      <c r="E22" s="8">
        <v>3.63</v>
      </c>
      <c r="F22" s="8">
        <v>7.3620000000000001</v>
      </c>
      <c r="G22" s="8">
        <v>4.7240000000000002</v>
      </c>
      <c r="H22" s="8">
        <v>5.5339999999999998</v>
      </c>
      <c r="I22" s="8">
        <v>5.3239999999999998</v>
      </c>
      <c r="J22" s="8">
        <v>5.1920000000000002</v>
      </c>
      <c r="K22" s="8">
        <v>1.2689999999999999</v>
      </c>
      <c r="L22" s="8">
        <v>2.0430000000000001</v>
      </c>
      <c r="M22" s="8">
        <v>2.7959999999999998</v>
      </c>
    </row>
    <row r="23" spans="1:17" ht="15" x14ac:dyDescent="0.2">
      <c r="A23" s="9" t="s">
        <v>60</v>
      </c>
      <c r="C23" s="8">
        <f t="shared" ref="C23:M23" si="6">SQRT((C22^2)+4)</f>
        <v>8.0290831357011108</v>
      </c>
      <c r="D23" s="8">
        <f t="shared" si="6"/>
        <v>7.5960242232367845</v>
      </c>
      <c r="E23" s="8">
        <f t="shared" si="6"/>
        <v>4.1445023826751504</v>
      </c>
      <c r="F23" s="8">
        <f t="shared" si="6"/>
        <v>7.6288297923075987</v>
      </c>
      <c r="G23" s="8">
        <f t="shared" si="6"/>
        <v>5.1299294342125217</v>
      </c>
      <c r="H23" s="8">
        <f t="shared" si="6"/>
        <v>5.8843144035647859</v>
      </c>
      <c r="I23" s="8">
        <f t="shared" si="6"/>
        <v>5.6872643687453115</v>
      </c>
      <c r="J23" s="8">
        <f t="shared" si="6"/>
        <v>5.5638892871803263</v>
      </c>
      <c r="K23" s="8">
        <f t="shared" si="6"/>
        <v>2.3686200623992018</v>
      </c>
      <c r="L23" s="8">
        <f t="shared" si="6"/>
        <v>2.8589944036321584</v>
      </c>
      <c r="M23" s="8">
        <f t="shared" si="6"/>
        <v>3.4376759591328558</v>
      </c>
    </row>
    <row r="24" spans="1:17" ht="15" x14ac:dyDescent="0.2">
      <c r="A24" s="9" t="s">
        <v>59</v>
      </c>
      <c r="C24" s="8">
        <f t="shared" ref="C24:M24" si="7">C21/$E$4</f>
        <v>0.43130530768700076</v>
      </c>
      <c r="D24" s="8">
        <f t="shared" si="7"/>
        <v>0.63466596218338234</v>
      </c>
      <c r="E24" s="8">
        <f t="shared" si="7"/>
        <v>0.6083201943835409</v>
      </c>
      <c r="F24" s="8">
        <f t="shared" si="7"/>
        <v>0.70052785765847925</v>
      </c>
      <c r="G24" s="8">
        <f t="shared" si="7"/>
        <v>1.239861414227758</v>
      </c>
      <c r="H24" s="8">
        <f t="shared" si="7"/>
        <v>1.1268911253615665</v>
      </c>
      <c r="I24" s="8">
        <f t="shared" si="7"/>
        <v>0.86009163891641971</v>
      </c>
      <c r="J24" s="8">
        <f t="shared" si="7"/>
        <v>1.0407764572455489</v>
      </c>
      <c r="K24" s="8">
        <f t="shared" si="7"/>
        <v>4.2656720888322006</v>
      </c>
      <c r="L24" s="8">
        <f t="shared" si="7"/>
        <v>4.5205177952141131</v>
      </c>
      <c r="M24" s="8">
        <f t="shared" si="7"/>
        <v>3.5654723543595797</v>
      </c>
    </row>
    <row r="26" spans="1:17" ht="15" x14ac:dyDescent="0.2">
      <c r="A26" s="10" t="s">
        <v>201</v>
      </c>
    </row>
    <row r="27" spans="1:17" ht="15" x14ac:dyDescent="0.2">
      <c r="A27" s="9" t="s">
        <v>63</v>
      </c>
      <c r="C27" s="16">
        <v>555.43399999999997</v>
      </c>
      <c r="D27" s="16">
        <v>355.47699999999998</v>
      </c>
      <c r="E27" s="16">
        <v>260.98399999999998</v>
      </c>
      <c r="F27" s="16">
        <v>393</v>
      </c>
      <c r="G27" s="16">
        <v>329.27699999999999</v>
      </c>
      <c r="H27" s="16">
        <v>478.78500000000003</v>
      </c>
      <c r="I27" s="16">
        <v>583.91399999999999</v>
      </c>
      <c r="J27" s="16">
        <v>1799.8440000000001</v>
      </c>
      <c r="K27" s="16">
        <v>749.17200000000003</v>
      </c>
      <c r="L27" s="16">
        <v>1575.66</v>
      </c>
      <c r="M27" s="16">
        <v>942.72299999999996</v>
      </c>
      <c r="N27" s="16">
        <v>371.78100000000001</v>
      </c>
      <c r="O27" s="16">
        <v>293.19499999999999</v>
      </c>
      <c r="P27" s="16">
        <v>647.59400000000005</v>
      </c>
      <c r="Q27" s="16">
        <v>327.88299999999998</v>
      </c>
    </row>
    <row r="28" spans="1:17" ht="15" x14ac:dyDescent="0.2">
      <c r="A28" s="9" t="s">
        <v>62</v>
      </c>
      <c r="C28" s="16">
        <f t="shared" ref="C28:Q28" si="8">C27-$B$7</f>
        <v>340.78</v>
      </c>
      <c r="D28" s="16">
        <f t="shared" si="8"/>
        <v>140.82299999999998</v>
      </c>
      <c r="E28" s="16">
        <f t="shared" si="8"/>
        <v>46.329999999999984</v>
      </c>
      <c r="F28" s="16">
        <f t="shared" si="8"/>
        <v>178.346</v>
      </c>
      <c r="G28" s="16">
        <f t="shared" si="8"/>
        <v>114.62299999999999</v>
      </c>
      <c r="H28" s="16">
        <f t="shared" si="8"/>
        <v>264.13100000000003</v>
      </c>
      <c r="I28" s="16">
        <f t="shared" si="8"/>
        <v>369.26</v>
      </c>
      <c r="J28" s="16">
        <f t="shared" si="8"/>
        <v>1585.19</v>
      </c>
      <c r="K28" s="16">
        <f t="shared" si="8"/>
        <v>534.51800000000003</v>
      </c>
      <c r="L28" s="16">
        <f t="shared" si="8"/>
        <v>1361.0060000000001</v>
      </c>
      <c r="M28" s="16">
        <f t="shared" si="8"/>
        <v>728.06899999999996</v>
      </c>
      <c r="N28" s="16">
        <f t="shared" si="8"/>
        <v>157.12700000000001</v>
      </c>
      <c r="O28" s="16">
        <f t="shared" si="8"/>
        <v>78.540999999999997</v>
      </c>
      <c r="P28" s="16">
        <f t="shared" si="8"/>
        <v>432.94000000000005</v>
      </c>
      <c r="Q28" s="16">
        <f t="shared" si="8"/>
        <v>113.22899999999998</v>
      </c>
    </row>
    <row r="29" spans="1:17" ht="15" x14ac:dyDescent="0.2">
      <c r="A29" s="9" t="s">
        <v>61</v>
      </c>
      <c r="C29" s="16">
        <v>2.5390000000000001</v>
      </c>
      <c r="D29" s="16">
        <v>2.2120000000000002</v>
      </c>
      <c r="E29" s="16">
        <v>8.577</v>
      </c>
      <c r="F29" s="16">
        <v>2</v>
      </c>
      <c r="G29" s="16">
        <v>2.1110000000000002</v>
      </c>
      <c r="H29" s="16">
        <v>3.0190000000000001</v>
      </c>
      <c r="I29" s="16">
        <v>0.878</v>
      </c>
      <c r="J29" s="16">
        <v>1.1379999999999999</v>
      </c>
      <c r="K29" s="16">
        <v>2.1030000000000002</v>
      </c>
      <c r="L29" s="16">
        <v>1.2210000000000001</v>
      </c>
      <c r="M29" s="16">
        <v>1.4259999999999999</v>
      </c>
      <c r="N29" s="16">
        <v>5.4740000000000002</v>
      </c>
      <c r="O29" s="16">
        <v>4.8810000000000002</v>
      </c>
      <c r="P29" s="16">
        <v>7.6059999999999999</v>
      </c>
      <c r="Q29" s="16">
        <v>6.6550000000000002</v>
      </c>
    </row>
    <row r="30" spans="1:17" ht="15" x14ac:dyDescent="0.2">
      <c r="A30" s="9" t="s">
        <v>60</v>
      </c>
      <c r="C30" s="8">
        <f t="shared" ref="C30:Q30" si="9">SQRT((C29^2)+1)</f>
        <v>2.7288314348819718</v>
      </c>
      <c r="D30" s="8">
        <f t="shared" si="9"/>
        <v>2.427538671164684</v>
      </c>
      <c r="E30" s="8">
        <f t="shared" si="9"/>
        <v>8.6350986676470569</v>
      </c>
      <c r="F30" s="8">
        <f t="shared" si="9"/>
        <v>2.2360679774997898</v>
      </c>
      <c r="G30" s="8">
        <f t="shared" si="9"/>
        <v>2.3358769231275867</v>
      </c>
      <c r="H30" s="8">
        <f t="shared" si="9"/>
        <v>3.1803083183867566</v>
      </c>
      <c r="I30" s="8">
        <f t="shared" si="9"/>
        <v>1.3307456556382216</v>
      </c>
      <c r="J30" s="8">
        <f t="shared" si="9"/>
        <v>1.5149402628486708</v>
      </c>
      <c r="K30" s="8">
        <f t="shared" si="9"/>
        <v>2.3286496086788153</v>
      </c>
      <c r="L30" s="8">
        <f t="shared" si="9"/>
        <v>1.5782398423560344</v>
      </c>
      <c r="M30" s="8">
        <f t="shared" si="9"/>
        <v>1.7416876872734675</v>
      </c>
      <c r="N30" s="8">
        <f t="shared" si="9"/>
        <v>5.5645912698058968</v>
      </c>
      <c r="O30" s="8">
        <f t="shared" si="9"/>
        <v>4.9823850714291451</v>
      </c>
      <c r="P30" s="8">
        <f t="shared" si="9"/>
        <v>7.6714559243992273</v>
      </c>
      <c r="Q30" s="8">
        <f t="shared" si="9"/>
        <v>6.7297121037976062</v>
      </c>
    </row>
    <row r="31" spans="1:17" ht="15" x14ac:dyDescent="0.2">
      <c r="A31" s="9" t="s">
        <v>59</v>
      </c>
      <c r="C31" s="8">
        <f t="shared" ref="C31:Q31" si="10">C28/$E$4</f>
        <v>1.7202741427150763</v>
      </c>
      <c r="D31" s="8">
        <f t="shared" si="10"/>
        <v>0.7108814061845331</v>
      </c>
      <c r="E31" s="8">
        <f t="shared" si="10"/>
        <v>0.23387611078111822</v>
      </c>
      <c r="F31" s="8">
        <f t="shared" si="10"/>
        <v>0.90029934930648225</v>
      </c>
      <c r="G31" s="8">
        <f t="shared" si="10"/>
        <v>0.5786225220389406</v>
      </c>
      <c r="H31" s="8">
        <f t="shared" si="10"/>
        <v>1.333346233903034</v>
      </c>
      <c r="I31" s="8">
        <f t="shared" si="10"/>
        <v>1.8640425786107433</v>
      </c>
      <c r="J31" s="8">
        <f t="shared" si="10"/>
        <v>8.0021168152195319</v>
      </c>
      <c r="K31" s="8">
        <f t="shared" si="10"/>
        <v>2.6982730624325879</v>
      </c>
      <c r="L31" s="8">
        <f t="shared" si="10"/>
        <v>6.8704249952464211</v>
      </c>
      <c r="M31" s="8">
        <f t="shared" si="10"/>
        <v>3.675327996984632</v>
      </c>
      <c r="N31" s="8">
        <f t="shared" si="10"/>
        <v>0.79318479729559199</v>
      </c>
      <c r="O31" s="8">
        <f t="shared" si="10"/>
        <v>0.39647881754499914</v>
      </c>
      <c r="P31" s="8">
        <f t="shared" si="10"/>
        <v>2.1855023397707178</v>
      </c>
      <c r="Q31" s="8">
        <f t="shared" si="10"/>
        <v>0.571585541714553</v>
      </c>
    </row>
    <row r="33" spans="1:24" ht="15" x14ac:dyDescent="0.2">
      <c r="A33" s="10" t="s">
        <v>200</v>
      </c>
      <c r="C33" s="8">
        <v>1</v>
      </c>
      <c r="D33" s="8"/>
    </row>
    <row r="34" spans="1:24" ht="15" x14ac:dyDescent="0.2">
      <c r="A34" s="9" t="s">
        <v>63</v>
      </c>
      <c r="C34" s="8">
        <v>414.55099999999999</v>
      </c>
      <c r="D34" s="8">
        <v>409.39800000000002</v>
      </c>
      <c r="E34" s="8">
        <v>1137.0429999999999</v>
      </c>
      <c r="F34" s="8">
        <v>931.66399999999999</v>
      </c>
      <c r="G34" s="8">
        <v>737.77300000000002</v>
      </c>
      <c r="H34" s="8">
        <v>1403.0550000000001</v>
      </c>
      <c r="I34" s="8">
        <v>318.91000000000003</v>
      </c>
    </row>
    <row r="35" spans="1:24" ht="15" x14ac:dyDescent="0.2">
      <c r="A35" s="9" t="s">
        <v>62</v>
      </c>
      <c r="C35" s="8">
        <f t="shared" ref="C35:I35" si="11">C34-$B$7</f>
        <v>199.89699999999999</v>
      </c>
      <c r="D35" s="8">
        <f t="shared" si="11"/>
        <v>194.74400000000003</v>
      </c>
      <c r="E35" s="8">
        <f t="shared" si="11"/>
        <v>922.3889999999999</v>
      </c>
      <c r="F35" s="8">
        <f t="shared" si="11"/>
        <v>717.01</v>
      </c>
      <c r="G35" s="8">
        <f t="shared" si="11"/>
        <v>523.11900000000003</v>
      </c>
      <c r="H35" s="8">
        <f t="shared" si="11"/>
        <v>1188.4010000000001</v>
      </c>
      <c r="I35" s="8">
        <f t="shared" si="11"/>
        <v>104.25600000000003</v>
      </c>
    </row>
    <row r="36" spans="1:24" ht="15" x14ac:dyDescent="0.2">
      <c r="A36" s="9" t="s">
        <v>61</v>
      </c>
      <c r="C36" s="8">
        <v>2.1019999999999999</v>
      </c>
      <c r="D36" s="8">
        <v>1.204</v>
      </c>
      <c r="E36" s="8">
        <v>1.5229999999999999</v>
      </c>
      <c r="F36" s="8">
        <v>1.23</v>
      </c>
      <c r="G36" s="8">
        <v>2.016</v>
      </c>
      <c r="H36" s="8">
        <v>0.67700000000000005</v>
      </c>
      <c r="I36" s="8">
        <v>3.4079999999999999</v>
      </c>
    </row>
    <row r="37" spans="1:24" ht="15" x14ac:dyDescent="0.2">
      <c r="A37" s="9" t="s">
        <v>60</v>
      </c>
      <c r="C37" s="8">
        <f t="shared" ref="C37:I37" si="12">SQRT((C36^2)+4)</f>
        <v>2.9014486037150475</v>
      </c>
      <c r="D37" s="8">
        <f t="shared" si="12"/>
        <v>2.3344412607731213</v>
      </c>
      <c r="E37" s="8">
        <f t="shared" si="12"/>
        <v>2.5138673393797055</v>
      </c>
      <c r="F37" s="8">
        <f t="shared" si="12"/>
        <v>2.3479565583715556</v>
      </c>
      <c r="G37" s="8">
        <f t="shared" si="12"/>
        <v>2.8397633704236696</v>
      </c>
      <c r="H37" s="8">
        <f t="shared" si="12"/>
        <v>2.1114755504149225</v>
      </c>
      <c r="I37" s="8">
        <f t="shared" si="12"/>
        <v>3.9515141401746243</v>
      </c>
    </row>
    <row r="38" spans="1:24" ht="15" x14ac:dyDescent="0.2">
      <c r="A38" s="9" t="s">
        <v>59</v>
      </c>
      <c r="D38" s="8">
        <f t="shared" ref="D38:I38" si="13">D35/$E$4</f>
        <v>0.9830772570247811</v>
      </c>
      <c r="E38" s="8">
        <f t="shared" si="13"/>
        <v>4.6562648812278198</v>
      </c>
      <c r="F38" s="8">
        <f t="shared" si="13"/>
        <v>3.6195016229477579</v>
      </c>
      <c r="G38" s="8">
        <f t="shared" si="13"/>
        <v>2.6407303517312286</v>
      </c>
      <c r="H38" s="8">
        <f t="shared" si="13"/>
        <v>5.999106495324666</v>
      </c>
      <c r="I38" s="8">
        <f t="shared" si="13"/>
        <v>0.52628939791919438</v>
      </c>
    </row>
    <row r="40" spans="1:24" ht="15" x14ac:dyDescent="0.2">
      <c r="A40" s="10" t="s">
        <v>199</v>
      </c>
    </row>
    <row r="41" spans="1:24" ht="15" x14ac:dyDescent="0.2">
      <c r="A41" s="9" t="s">
        <v>63</v>
      </c>
      <c r="C41" s="16">
        <v>587.89499999999998</v>
      </c>
      <c r="D41" s="16">
        <v>387.71499999999997</v>
      </c>
      <c r="E41" s="8">
        <v>388.11700000000002</v>
      </c>
      <c r="F41" s="8">
        <v>402.32</v>
      </c>
    </row>
    <row r="42" spans="1:24" ht="15" x14ac:dyDescent="0.2">
      <c r="A42" s="9" t="s">
        <v>62</v>
      </c>
      <c r="C42" s="16">
        <f>C41-$B$7</f>
        <v>373.24099999999999</v>
      </c>
      <c r="D42" s="16">
        <f>D41-$B$7</f>
        <v>173.06099999999998</v>
      </c>
      <c r="E42" s="16">
        <f>E41-$B$7</f>
        <v>173.46300000000002</v>
      </c>
      <c r="F42" s="16">
        <f>F41-$B$7</f>
        <v>187.666</v>
      </c>
    </row>
    <row r="43" spans="1:24" ht="15" x14ac:dyDescent="0.2">
      <c r="A43" s="9" t="s">
        <v>61</v>
      </c>
      <c r="C43" s="16">
        <v>0.69</v>
      </c>
      <c r="D43" s="16">
        <v>0.74399999999999999</v>
      </c>
      <c r="E43" s="8">
        <v>6.34</v>
      </c>
      <c r="F43" s="8">
        <v>1.365</v>
      </c>
    </row>
    <row r="44" spans="1:24" ht="15" x14ac:dyDescent="0.2">
      <c r="A44" s="9" t="s">
        <v>60</v>
      </c>
      <c r="C44" s="8">
        <f>SQRT((C43^2)+9)</f>
        <v>3.0783274679604835</v>
      </c>
      <c r="D44" s="8">
        <f>SQRT((D43^2)+9)</f>
        <v>3.0908794864892419</v>
      </c>
      <c r="E44" s="8">
        <f>SQRT((E43^2)+9)</f>
        <v>7.0139575134156606</v>
      </c>
      <c r="F44" s="8">
        <f>SQRT((F43^2)+9)</f>
        <v>3.2959406851458963</v>
      </c>
    </row>
    <row r="45" spans="1:24" ht="15" x14ac:dyDescent="0.2">
      <c r="A45" s="9" t="s">
        <v>59</v>
      </c>
      <c r="C45" s="8">
        <f>C42/$E$4</f>
        <v>1.884138861732255</v>
      </c>
      <c r="D45" s="8">
        <f>D42/$E$4</f>
        <v>0.87362041027177006</v>
      </c>
      <c r="E45" s="8">
        <f>E42/$E$4</f>
        <v>0.87564972597507296</v>
      </c>
      <c r="F45" s="8">
        <f>F42/$E$4</f>
        <v>0.94734716610941816</v>
      </c>
    </row>
    <row r="47" spans="1:24" ht="15" x14ac:dyDescent="0.2">
      <c r="A47" s="10" t="s">
        <v>198</v>
      </c>
    </row>
    <row r="48" spans="1:24" ht="15" x14ac:dyDescent="0.2">
      <c r="A48" s="9" t="s">
        <v>63</v>
      </c>
      <c r="C48" s="8">
        <v>323.11700000000002</v>
      </c>
      <c r="V48" s="8">
        <v>251.10900000000001</v>
      </c>
      <c r="W48" s="8">
        <v>242.47300000000001</v>
      </c>
      <c r="X48" s="8">
        <v>258.83999999999997</v>
      </c>
    </row>
    <row r="49" spans="1:24" ht="15" x14ac:dyDescent="0.2">
      <c r="A49" s="9" t="s">
        <v>62</v>
      </c>
      <c r="C49" s="8">
        <f>C48-$B$7</f>
        <v>108.46300000000002</v>
      </c>
      <c r="V49" s="8">
        <f>V48-$B$7</f>
        <v>36.455000000000013</v>
      </c>
      <c r="W49" s="8">
        <f>W48-$B$7</f>
        <v>27.819000000000017</v>
      </c>
      <c r="X49" s="8">
        <f>X48-$B$7</f>
        <v>44.185999999999979</v>
      </c>
    </row>
    <row r="50" spans="1:24" ht="15" x14ac:dyDescent="0.2">
      <c r="A50" s="9" t="s">
        <v>61</v>
      </c>
      <c r="C50" s="8">
        <v>1.323</v>
      </c>
      <c r="V50" s="8">
        <v>3.1789999999999998</v>
      </c>
      <c r="W50" s="8">
        <v>9.7810000000000006</v>
      </c>
      <c r="X50" s="8">
        <v>3.1469999999999998</v>
      </c>
    </row>
    <row r="51" spans="1:24" ht="15" x14ac:dyDescent="0.2">
      <c r="A51" s="9" t="s">
        <v>60</v>
      </c>
      <c r="C51" s="8">
        <f>SQRT((C50^2)+16)</f>
        <v>4.2131139315238082</v>
      </c>
      <c r="V51" s="8">
        <f>SQRT((V50^2)+1)</f>
        <v>3.3325727298890269</v>
      </c>
      <c r="W51" s="8">
        <f>SQRT((W50^2)+1)</f>
        <v>9.8319866252960288</v>
      </c>
      <c r="X51" s="8">
        <f>SQRT((X50^2)+1)</f>
        <v>3.3020613258993237</v>
      </c>
    </row>
    <row r="52" spans="1:24" ht="15" x14ac:dyDescent="0.2">
      <c r="A52" s="9" t="s">
        <v>59</v>
      </c>
      <c r="C52" s="8">
        <f>C49/$E$4</f>
        <v>0.54752654011768698</v>
      </c>
      <c r="V52" s="8">
        <f>V49/$E$4</f>
        <v>0.18402662677586165</v>
      </c>
      <c r="W52" s="8">
        <f>W49/$E$4</f>
        <v>0.14043167549794805</v>
      </c>
      <c r="X52" s="8">
        <f>X49/$E$4</f>
        <v>0.22305309369683765</v>
      </c>
    </row>
    <row r="54" spans="1:24" ht="15" x14ac:dyDescent="0.2">
      <c r="A54" s="9"/>
    </row>
    <row r="55" spans="1:24" ht="15" x14ac:dyDescent="0.2">
      <c r="A55" s="9"/>
    </row>
    <row r="56" spans="1:24" ht="15" x14ac:dyDescent="0.2">
      <c r="A56" s="9"/>
    </row>
    <row r="57" spans="1:24" ht="15" x14ac:dyDescent="0.2">
      <c r="A57" s="9"/>
    </row>
    <row r="58" spans="1:24" ht="15" x14ac:dyDescent="0.2">
      <c r="A58" s="9"/>
    </row>
    <row r="59" spans="1:24" ht="15" x14ac:dyDescent="0.2">
      <c r="A59" s="9"/>
    </row>
    <row r="61" spans="1:24" ht="15" x14ac:dyDescent="0.2">
      <c r="A61" s="9"/>
    </row>
    <row r="62" spans="1:24" ht="15" x14ac:dyDescent="0.2">
      <c r="A62" s="9"/>
    </row>
    <row r="63" spans="1:24" ht="15" x14ac:dyDescent="0.2">
      <c r="A63" s="9"/>
    </row>
    <row r="64" spans="1:24" ht="15" x14ac:dyDescent="0.2">
      <c r="A64" s="9"/>
    </row>
    <row r="65" spans="1:4" ht="15" x14ac:dyDescent="0.2">
      <c r="A65" s="9"/>
    </row>
    <row r="66" spans="1:4" ht="15" x14ac:dyDescent="0.2">
      <c r="A66" s="9"/>
    </row>
    <row r="68" spans="1:4" ht="15" x14ac:dyDescent="0.2">
      <c r="A68" s="9"/>
    </row>
    <row r="69" spans="1:4" ht="15" x14ac:dyDescent="0.2">
      <c r="A69" s="9"/>
      <c r="D69" s="11"/>
    </row>
    <row r="70" spans="1:4" ht="15" x14ac:dyDescent="0.2">
      <c r="A70" s="9"/>
    </row>
    <row r="71" spans="1:4" ht="15" x14ac:dyDescent="0.2">
      <c r="A71" s="9"/>
    </row>
    <row r="72" spans="1:4" ht="15" x14ac:dyDescent="0.2">
      <c r="A72" s="9"/>
    </row>
    <row r="73" spans="1:4" ht="15" x14ac:dyDescent="0.2">
      <c r="A73" s="9"/>
    </row>
    <row r="75" spans="1:4" ht="15" x14ac:dyDescent="0.2">
      <c r="A75" s="9"/>
    </row>
    <row r="76" spans="1:4" ht="15" x14ac:dyDescent="0.2">
      <c r="A76" s="9"/>
    </row>
    <row r="77" spans="1:4" ht="15" x14ac:dyDescent="0.2">
      <c r="A77" s="9"/>
    </row>
    <row r="78" spans="1:4" ht="15" x14ac:dyDescent="0.2">
      <c r="A78" s="9"/>
    </row>
    <row r="79" spans="1:4" ht="15" x14ac:dyDescent="0.2">
      <c r="A79" s="9"/>
    </row>
    <row r="80" spans="1:4" ht="15" x14ac:dyDescent="0.2">
      <c r="A80" s="9"/>
    </row>
  </sheetData>
  <mergeCells count="1">
    <mergeCell ref="G4:H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5E6D-7B0B-F349-97AE-87184513FE22}">
  <sheetPr>
    <outlinePr summaryBelow="0" summaryRight="0"/>
  </sheetPr>
  <dimension ref="A1:X80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1" ht="16" x14ac:dyDescent="0.2">
      <c r="A1" s="12" t="s">
        <v>75</v>
      </c>
      <c r="B1" s="12"/>
      <c r="C1" s="15">
        <v>45166</v>
      </c>
      <c r="D1" s="12"/>
      <c r="E1" s="12"/>
      <c r="F1" s="12"/>
      <c r="G1" s="12"/>
      <c r="H1" s="12"/>
    </row>
    <row r="2" spans="1:11" ht="16" x14ac:dyDescent="0.2">
      <c r="A2" s="12"/>
      <c r="B2" s="12"/>
      <c r="C2" s="12"/>
      <c r="D2" s="12"/>
      <c r="E2" s="12"/>
      <c r="F2" s="12"/>
      <c r="G2" s="12"/>
      <c r="H2" s="12"/>
    </row>
    <row r="3" spans="1:11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1" ht="16" x14ac:dyDescent="0.2">
      <c r="A4" s="12" t="s">
        <v>27</v>
      </c>
      <c r="B4" s="13">
        <v>36.08</v>
      </c>
      <c r="C4" s="12"/>
      <c r="D4" s="12" t="s">
        <v>73</v>
      </c>
      <c r="E4" s="13">
        <f>AVERAGE(C14,C21,C35,C56,D56,C63,D63)</f>
        <v>377.94042857142858</v>
      </c>
      <c r="F4" s="12"/>
      <c r="G4" s="55" t="s">
        <v>72</v>
      </c>
      <c r="H4" s="56"/>
    </row>
    <row r="5" spans="1:11" ht="16" x14ac:dyDescent="0.2">
      <c r="A5" s="12"/>
      <c r="B5" s="12"/>
      <c r="C5" s="12"/>
      <c r="D5" s="12"/>
      <c r="E5" s="12"/>
      <c r="F5" s="12"/>
      <c r="G5" s="12"/>
      <c r="H5" s="12"/>
    </row>
    <row r="6" spans="1:11" ht="15" x14ac:dyDescent="0.2">
      <c r="A6" s="10" t="s">
        <v>213</v>
      </c>
      <c r="B6" s="14" t="s">
        <v>70</v>
      </c>
      <c r="C6" s="8"/>
    </row>
    <row r="7" spans="1:11" ht="16" x14ac:dyDescent="0.2">
      <c r="A7" s="9" t="s">
        <v>63</v>
      </c>
      <c r="B7" s="12">
        <v>217.80799999999999</v>
      </c>
      <c r="C7" s="8">
        <v>489.16</v>
      </c>
      <c r="D7" s="8">
        <v>681.94899999999996</v>
      </c>
      <c r="E7" s="8">
        <v>653.45000000000005</v>
      </c>
      <c r="F7" s="8">
        <v>1017.932</v>
      </c>
      <c r="G7" s="8">
        <v>1261.174</v>
      </c>
      <c r="H7" s="8">
        <v>1309.5150000000001</v>
      </c>
      <c r="I7" s="8">
        <v>700.00400000000002</v>
      </c>
      <c r="J7" s="8">
        <v>665.02700000000004</v>
      </c>
      <c r="K7" s="8">
        <v>362.21899999999999</v>
      </c>
    </row>
    <row r="8" spans="1:11" ht="15" x14ac:dyDescent="0.2">
      <c r="A8" s="9" t="s">
        <v>62</v>
      </c>
      <c r="C8" s="8">
        <f t="shared" ref="C8:K8" si="0">C7-$B$7</f>
        <v>271.35200000000003</v>
      </c>
      <c r="D8" s="8">
        <f t="shared" si="0"/>
        <v>464.14099999999996</v>
      </c>
      <c r="E8" s="8">
        <f t="shared" si="0"/>
        <v>435.64200000000005</v>
      </c>
      <c r="F8" s="8">
        <f t="shared" si="0"/>
        <v>800.12400000000002</v>
      </c>
      <c r="G8" s="8">
        <f t="shared" si="0"/>
        <v>1043.366</v>
      </c>
      <c r="H8" s="8">
        <f t="shared" si="0"/>
        <v>1091.7070000000001</v>
      </c>
      <c r="I8" s="8">
        <f t="shared" si="0"/>
        <v>482.19600000000003</v>
      </c>
      <c r="J8" s="8">
        <f t="shared" si="0"/>
        <v>447.21900000000005</v>
      </c>
      <c r="K8" s="8">
        <f t="shared" si="0"/>
        <v>144.411</v>
      </c>
    </row>
    <row r="9" spans="1:11" ht="16" x14ac:dyDescent="0.2">
      <c r="A9" s="9" t="s">
        <v>61</v>
      </c>
      <c r="B9" s="12"/>
      <c r="C9" s="8">
        <v>5.0449999999999999</v>
      </c>
      <c r="D9" s="8">
        <v>3.786</v>
      </c>
      <c r="E9" s="8">
        <v>4.657</v>
      </c>
      <c r="F9" s="8">
        <v>2.9750000000000001</v>
      </c>
      <c r="G9" s="8">
        <v>2.2650000000000001</v>
      </c>
      <c r="H9" s="8">
        <v>1.7330000000000001</v>
      </c>
      <c r="I9" s="8">
        <v>1.375</v>
      </c>
      <c r="J9" s="8">
        <v>2.117</v>
      </c>
      <c r="K9" s="8">
        <v>3.5640000000000001</v>
      </c>
    </row>
    <row r="10" spans="1:11" ht="16" x14ac:dyDescent="0.2">
      <c r="A10" s="9" t="s">
        <v>59</v>
      </c>
      <c r="B10" s="12"/>
      <c r="C10" s="8">
        <f t="shared" ref="C10:K10" si="1">C8/$E$4</f>
        <v>0.71797558420960528</v>
      </c>
      <c r="D10" s="8">
        <f t="shared" si="1"/>
        <v>1.2280797843046314</v>
      </c>
      <c r="E10" s="8">
        <f t="shared" si="1"/>
        <v>1.1526737206884079</v>
      </c>
      <c r="F10" s="8">
        <f t="shared" si="1"/>
        <v>2.1170638003041296</v>
      </c>
      <c r="G10" s="8">
        <f t="shared" si="1"/>
        <v>2.7606625836346845</v>
      </c>
      <c r="H10" s="8">
        <f t="shared" si="1"/>
        <v>2.8885689846056617</v>
      </c>
      <c r="I10" s="8">
        <f t="shared" si="1"/>
        <v>1.2758518632755049</v>
      </c>
      <c r="J10" s="8">
        <f t="shared" si="1"/>
        <v>1.1833055322777626</v>
      </c>
      <c r="K10" s="8">
        <f t="shared" si="1"/>
        <v>0.38209990009763445</v>
      </c>
    </row>
    <row r="12" spans="1:11" ht="15" x14ac:dyDescent="0.2">
      <c r="A12" s="10" t="s">
        <v>212</v>
      </c>
      <c r="C12" s="8">
        <v>1</v>
      </c>
    </row>
    <row r="13" spans="1:11" ht="15" x14ac:dyDescent="0.2">
      <c r="A13" s="9" t="s">
        <v>63</v>
      </c>
      <c r="C13" s="8">
        <v>629.40599999999995</v>
      </c>
      <c r="D13" s="8">
        <v>527.44100000000003</v>
      </c>
      <c r="E13" s="8">
        <v>429.75</v>
      </c>
      <c r="F13" s="8">
        <v>1603.9259999999999</v>
      </c>
      <c r="G13" s="8">
        <v>668.33199999999999</v>
      </c>
      <c r="H13" s="8">
        <v>1462.25</v>
      </c>
      <c r="I13" s="8">
        <v>727.84799999999996</v>
      </c>
      <c r="J13" s="8">
        <v>1719.0119999999999</v>
      </c>
      <c r="K13" s="8">
        <v>904.26199999999994</v>
      </c>
    </row>
    <row r="14" spans="1:11" ht="15" x14ac:dyDescent="0.2">
      <c r="A14" s="9" t="s">
        <v>62</v>
      </c>
      <c r="C14" s="8">
        <f t="shared" ref="C14:K14" si="2">C13-$B$7</f>
        <v>411.59799999999996</v>
      </c>
      <c r="D14" s="8">
        <f t="shared" si="2"/>
        <v>309.63300000000004</v>
      </c>
      <c r="E14" s="8">
        <f t="shared" si="2"/>
        <v>211.94200000000001</v>
      </c>
      <c r="F14" s="8">
        <f t="shared" si="2"/>
        <v>1386.1179999999999</v>
      </c>
      <c r="G14" s="8">
        <f t="shared" si="2"/>
        <v>450.524</v>
      </c>
      <c r="H14" s="8">
        <f t="shared" si="2"/>
        <v>1244.442</v>
      </c>
      <c r="I14" s="8">
        <f t="shared" si="2"/>
        <v>510.03999999999996</v>
      </c>
      <c r="J14" s="8">
        <f t="shared" si="2"/>
        <v>1501.204</v>
      </c>
      <c r="K14" s="8">
        <f t="shared" si="2"/>
        <v>686.45399999999995</v>
      </c>
    </row>
    <row r="15" spans="1:11" ht="15" x14ac:dyDescent="0.2">
      <c r="A15" s="9" t="s">
        <v>61</v>
      </c>
      <c r="C15" s="8">
        <v>2.2690000000000001</v>
      </c>
      <c r="D15" s="8">
        <v>1.615</v>
      </c>
      <c r="E15" s="8">
        <v>1.131</v>
      </c>
      <c r="F15" s="8">
        <v>2.1259999999999999</v>
      </c>
      <c r="G15" s="8">
        <v>1.321</v>
      </c>
      <c r="H15" s="8">
        <v>1.982</v>
      </c>
      <c r="I15" s="8">
        <v>2.8839999999999999</v>
      </c>
      <c r="J15" s="8">
        <v>3.819</v>
      </c>
      <c r="K15" s="8">
        <v>4.5410000000000004</v>
      </c>
    </row>
    <row r="16" spans="1:11" ht="15" x14ac:dyDescent="0.2">
      <c r="A16" s="9" t="s">
        <v>60</v>
      </c>
      <c r="C16" s="8">
        <f t="shared" ref="C16:K16" si="3">SQRT((C15^2)+1)</f>
        <v>2.4795888772133177</v>
      </c>
      <c r="D16" s="8">
        <f t="shared" si="3"/>
        <v>1.8995328373050042</v>
      </c>
      <c r="E16" s="8">
        <f t="shared" si="3"/>
        <v>1.5096890408292696</v>
      </c>
      <c r="F16" s="8">
        <f t="shared" si="3"/>
        <v>2.3494416357934917</v>
      </c>
      <c r="G16" s="8">
        <f t="shared" si="3"/>
        <v>1.6568165257505127</v>
      </c>
      <c r="H16" s="8">
        <f t="shared" si="3"/>
        <v>2.2199828828168924</v>
      </c>
      <c r="I16" s="8">
        <f t="shared" si="3"/>
        <v>3.0524508186046178</v>
      </c>
      <c r="J16" s="8">
        <f t="shared" si="3"/>
        <v>3.9477539183692794</v>
      </c>
      <c r="K16" s="8">
        <f t="shared" si="3"/>
        <v>4.6498044044884299</v>
      </c>
    </row>
    <row r="17" spans="1:12" ht="15" x14ac:dyDescent="0.2">
      <c r="A17" s="9" t="s">
        <v>59</v>
      </c>
      <c r="D17" s="8">
        <f t="shared" ref="D17:K17" si="4">D14/$E$4</f>
        <v>0.81926403367424128</v>
      </c>
      <c r="E17" s="8">
        <f t="shared" si="4"/>
        <v>0.56078149882275474</v>
      </c>
      <c r="F17" s="8">
        <f t="shared" si="4"/>
        <v>3.6675568296288565</v>
      </c>
      <c r="G17" s="8">
        <f t="shared" si="4"/>
        <v>1.1920502966642892</v>
      </c>
      <c r="H17" s="8">
        <f t="shared" si="4"/>
        <v>3.2926935197270319</v>
      </c>
      <c r="I17" s="8">
        <f t="shared" si="4"/>
        <v>1.3495248495322201</v>
      </c>
      <c r="J17" s="8">
        <f t="shared" si="4"/>
        <v>3.9720651364935438</v>
      </c>
      <c r="K17" s="8">
        <f t="shared" si="4"/>
        <v>1.8163021156395394</v>
      </c>
    </row>
    <row r="19" spans="1:12" ht="15" x14ac:dyDescent="0.2">
      <c r="A19" s="10" t="s">
        <v>211</v>
      </c>
      <c r="C19" s="8">
        <v>1</v>
      </c>
    </row>
    <row r="20" spans="1:12" ht="15" x14ac:dyDescent="0.2">
      <c r="A20" s="9" t="s">
        <v>63</v>
      </c>
      <c r="C20" s="8">
        <v>458.08199999999999</v>
      </c>
      <c r="D20" s="16">
        <v>591.76599999999996</v>
      </c>
      <c r="E20" s="16">
        <v>1067.855</v>
      </c>
      <c r="F20" s="16">
        <v>946.39499999999998</v>
      </c>
      <c r="G20" s="16">
        <v>366.88299999999998</v>
      </c>
      <c r="H20" s="16">
        <v>1148.297</v>
      </c>
      <c r="I20" s="16">
        <v>1291.9259999999999</v>
      </c>
      <c r="J20" s="16">
        <v>303</v>
      </c>
      <c r="K20" s="16">
        <v>697.31200000000001</v>
      </c>
      <c r="L20" s="8">
        <v>463.50400000000002</v>
      </c>
    </row>
    <row r="21" spans="1:12" ht="15" x14ac:dyDescent="0.2">
      <c r="A21" s="9" t="s">
        <v>62</v>
      </c>
      <c r="C21" s="8">
        <f t="shared" ref="C21:L21" si="5">C20-$B$7</f>
        <v>240.274</v>
      </c>
      <c r="D21" s="16">
        <f t="shared" si="5"/>
        <v>373.95799999999997</v>
      </c>
      <c r="E21" s="16">
        <f t="shared" si="5"/>
        <v>850.04700000000003</v>
      </c>
      <c r="F21" s="16">
        <f t="shared" si="5"/>
        <v>728.58699999999999</v>
      </c>
      <c r="G21" s="16">
        <f t="shared" si="5"/>
        <v>149.07499999999999</v>
      </c>
      <c r="H21" s="16">
        <f t="shared" si="5"/>
        <v>930.48900000000003</v>
      </c>
      <c r="I21" s="16">
        <f t="shared" si="5"/>
        <v>1074.1179999999999</v>
      </c>
      <c r="J21" s="16">
        <f t="shared" si="5"/>
        <v>85.192000000000007</v>
      </c>
      <c r="K21" s="16">
        <f t="shared" si="5"/>
        <v>479.50400000000002</v>
      </c>
      <c r="L21" s="8">
        <f t="shared" si="5"/>
        <v>245.69600000000003</v>
      </c>
    </row>
    <row r="22" spans="1:12" ht="15" x14ac:dyDescent="0.2">
      <c r="A22" s="9" t="s">
        <v>61</v>
      </c>
      <c r="C22" s="8">
        <v>11.526</v>
      </c>
      <c r="D22" s="16">
        <v>1.411</v>
      </c>
      <c r="E22" s="16">
        <v>1.6439999999999999</v>
      </c>
      <c r="F22" s="16">
        <v>2.4089999999999998</v>
      </c>
      <c r="G22" s="16">
        <v>2.5009999999999999</v>
      </c>
      <c r="H22" s="16">
        <v>1.7509999999999999</v>
      </c>
      <c r="I22" s="16">
        <v>2.5710000000000002</v>
      </c>
      <c r="J22" s="16">
        <v>5.8129999999999997</v>
      </c>
      <c r="K22" s="16">
        <v>4.0179999999999998</v>
      </c>
      <c r="L22" s="8">
        <v>6.5629999999999997</v>
      </c>
    </row>
    <row r="23" spans="1:12" ht="15" x14ac:dyDescent="0.2">
      <c r="A23" s="9" t="s">
        <v>60</v>
      </c>
      <c r="C23" s="8">
        <f t="shared" ref="C23:L23" si="6">SQRT((C22^2)+4)</f>
        <v>11.698233883796306</v>
      </c>
      <c r="D23" s="16">
        <f t="shared" si="6"/>
        <v>2.4476357980712735</v>
      </c>
      <c r="E23" s="16">
        <f t="shared" si="6"/>
        <v>2.5889642716731336</v>
      </c>
      <c r="F23" s="16">
        <f t="shared" si="6"/>
        <v>3.1310191631479993</v>
      </c>
      <c r="G23" s="16">
        <f t="shared" si="6"/>
        <v>3.2023430484568638</v>
      </c>
      <c r="H23" s="16">
        <f t="shared" si="6"/>
        <v>2.658195064324663</v>
      </c>
      <c r="I23" s="16">
        <f t="shared" si="6"/>
        <v>3.2573057885313745</v>
      </c>
      <c r="J23" s="16">
        <f t="shared" si="6"/>
        <v>6.1474359695730056</v>
      </c>
      <c r="K23" s="16">
        <f t="shared" si="6"/>
        <v>4.4882428633040794</v>
      </c>
      <c r="L23" s="8">
        <f t="shared" si="6"/>
        <v>6.8609743477147616</v>
      </c>
    </row>
    <row r="24" spans="1:12" ht="15" x14ac:dyDescent="0.2">
      <c r="A24" s="9" t="s">
        <v>59</v>
      </c>
      <c r="D24" s="8">
        <f t="shared" ref="D24:L24" si="7">D21/$E$4</f>
        <v>0.98946281405648573</v>
      </c>
      <c r="E24" s="8">
        <f t="shared" si="7"/>
        <v>2.2491560461342548</v>
      </c>
      <c r="F24" s="8">
        <f t="shared" si="7"/>
        <v>1.9277826475298638</v>
      </c>
      <c r="G24" s="8">
        <f t="shared" si="7"/>
        <v>0.3944404692651865</v>
      </c>
      <c r="H24" s="8">
        <f t="shared" si="7"/>
        <v>2.4619991132389343</v>
      </c>
      <c r="I24" s="8">
        <f t="shared" si="7"/>
        <v>2.8420299041836903</v>
      </c>
      <c r="J24" s="8">
        <f t="shared" si="7"/>
        <v>0.22541118536065588</v>
      </c>
      <c r="K24" s="8">
        <f t="shared" si="7"/>
        <v>1.2687290476239075</v>
      </c>
      <c r="L24" s="8">
        <f t="shared" si="7"/>
        <v>0.6500918701095374</v>
      </c>
    </row>
    <row r="26" spans="1:12" ht="15" x14ac:dyDescent="0.2">
      <c r="A26" s="10" t="s">
        <v>210</v>
      </c>
    </row>
    <row r="27" spans="1:12" ht="15" x14ac:dyDescent="0.2">
      <c r="A27" s="9" t="s">
        <v>63</v>
      </c>
      <c r="C27" s="8">
        <v>546.60900000000004</v>
      </c>
      <c r="D27" s="8">
        <v>628.46500000000003</v>
      </c>
      <c r="E27" s="8">
        <v>1460.184</v>
      </c>
      <c r="F27" s="8">
        <v>659.30499999999995</v>
      </c>
    </row>
    <row r="28" spans="1:12" ht="15" x14ac:dyDescent="0.2">
      <c r="A28" s="9" t="s">
        <v>62</v>
      </c>
      <c r="C28" s="8">
        <f>C27-$B$7</f>
        <v>328.80100000000004</v>
      </c>
      <c r="D28" s="8">
        <f>D27-$B$7</f>
        <v>410.65700000000004</v>
      </c>
      <c r="E28" s="8">
        <f>E27-$B$7</f>
        <v>1242.376</v>
      </c>
      <c r="F28" s="8">
        <f>F27-$B$7</f>
        <v>441.49699999999996</v>
      </c>
    </row>
    <row r="29" spans="1:12" ht="15" x14ac:dyDescent="0.2">
      <c r="A29" s="9" t="s">
        <v>61</v>
      </c>
      <c r="C29" s="8">
        <v>1.42</v>
      </c>
      <c r="D29" s="8">
        <v>2.484</v>
      </c>
      <c r="E29" s="8">
        <v>6.5640000000000001</v>
      </c>
      <c r="F29" s="8">
        <v>5.7409999999999997</v>
      </c>
    </row>
    <row r="30" spans="1:12" ht="15" x14ac:dyDescent="0.2">
      <c r="A30" s="9" t="s">
        <v>60</v>
      </c>
      <c r="C30" s="8">
        <f>SQRT((C29^2)+9)</f>
        <v>3.3190962625389462</v>
      </c>
      <c r="D30" s="8">
        <f>SQRT((D29^2)+9)</f>
        <v>3.8949012824460647</v>
      </c>
      <c r="E30" s="8">
        <f>SQRT((E29^2)+9)</f>
        <v>7.2170697654934717</v>
      </c>
      <c r="F30" s="8">
        <f>SQRT((F29^2)+9)</f>
        <v>6.477582959715761</v>
      </c>
    </row>
    <row r="31" spans="1:12" ht="15" x14ac:dyDescent="0.2">
      <c r="A31" s="9" t="s">
        <v>59</v>
      </c>
      <c r="C31" s="8">
        <f>C28/$E$4</f>
        <v>0.86998102119646226</v>
      </c>
      <c r="D31" s="8">
        <f>D28/$E$4</f>
        <v>1.0865654186619735</v>
      </c>
      <c r="E31" s="8">
        <f>E28/$E$4</f>
        <v>3.2872270497655904</v>
      </c>
      <c r="F31" s="8">
        <f>F28/$E$4</f>
        <v>1.1681655801386688</v>
      </c>
    </row>
    <row r="33" spans="1:24" ht="15" x14ac:dyDescent="0.2">
      <c r="A33" s="10" t="s">
        <v>209</v>
      </c>
      <c r="C33" s="8">
        <v>1</v>
      </c>
    </row>
    <row r="34" spans="1:24" ht="15" x14ac:dyDescent="0.2">
      <c r="A34" s="9" t="s">
        <v>63</v>
      </c>
      <c r="C34" s="8">
        <v>557.95699999999999</v>
      </c>
      <c r="D34" s="16">
        <v>377.84</v>
      </c>
      <c r="E34" s="8">
        <v>799.62099999999998</v>
      </c>
      <c r="F34" s="8">
        <v>892.39099999999996</v>
      </c>
    </row>
    <row r="35" spans="1:24" ht="15" x14ac:dyDescent="0.2">
      <c r="A35" s="9" t="s">
        <v>62</v>
      </c>
      <c r="C35" s="8">
        <f>C34-$B$7</f>
        <v>340.149</v>
      </c>
      <c r="D35" s="8">
        <f>D34-$B$7</f>
        <v>160.03199999999998</v>
      </c>
      <c r="E35" s="8">
        <f>E34-$B$7</f>
        <v>581.81299999999999</v>
      </c>
      <c r="F35" s="8">
        <f>F34-$B$7</f>
        <v>674.58299999999997</v>
      </c>
    </row>
    <row r="36" spans="1:24" ht="15" x14ac:dyDescent="0.2">
      <c r="A36" s="9" t="s">
        <v>61</v>
      </c>
      <c r="C36" s="8">
        <v>9.266</v>
      </c>
      <c r="D36" s="16">
        <v>3.2280000000000002</v>
      </c>
      <c r="E36" s="8">
        <v>6.1589999999999998</v>
      </c>
      <c r="F36" s="8">
        <v>6.8390000000000004</v>
      </c>
    </row>
    <row r="37" spans="1:24" ht="15" x14ac:dyDescent="0.2">
      <c r="A37" s="9" t="s">
        <v>60</v>
      </c>
      <c r="C37" s="8">
        <f>SQRT((C36^2)+16)</f>
        <v>10.092509895957496</v>
      </c>
      <c r="D37" s="8">
        <f>SQRT((D36^2)+16)</f>
        <v>5.1400373539498716</v>
      </c>
      <c r="E37" s="8">
        <f>SQRT((E36^2)+16)</f>
        <v>7.3439281723066978</v>
      </c>
      <c r="F37" s="8">
        <f>SQRT((F36^2)+16)</f>
        <v>7.922873279309723</v>
      </c>
    </row>
    <row r="38" spans="1:24" ht="15" x14ac:dyDescent="0.2">
      <c r="A38" s="9" t="s">
        <v>59</v>
      </c>
      <c r="D38" s="8">
        <f>D35/$E$4</f>
        <v>0.42343181068218227</v>
      </c>
      <c r="E38" s="8">
        <f>E35/$E$4</f>
        <v>1.5394304393398355</v>
      </c>
      <c r="F38" s="8">
        <f>F35/$E$4</f>
        <v>1.7848924036781306</v>
      </c>
    </row>
    <row r="40" spans="1:24" ht="15" x14ac:dyDescent="0.2">
      <c r="A40" s="10" t="s">
        <v>208</v>
      </c>
    </row>
    <row r="41" spans="1:24" ht="15" x14ac:dyDescent="0.2">
      <c r="A41" s="9" t="s">
        <v>63</v>
      </c>
      <c r="C41" s="16">
        <v>970.44899999999996</v>
      </c>
      <c r="D41" s="16">
        <v>324.44099999999997</v>
      </c>
      <c r="E41" s="8">
        <v>333.43400000000003</v>
      </c>
    </row>
    <row r="42" spans="1:24" ht="15" x14ac:dyDescent="0.2">
      <c r="A42" s="9" t="s">
        <v>62</v>
      </c>
      <c r="C42" s="16">
        <f>C41-$B$7</f>
        <v>752.64099999999996</v>
      </c>
      <c r="D42" s="16">
        <f>D41-$B$7</f>
        <v>106.63299999999998</v>
      </c>
      <c r="E42" s="16">
        <f>E41-$B$7</f>
        <v>115.62600000000003</v>
      </c>
    </row>
    <row r="43" spans="1:24" ht="15" x14ac:dyDescent="0.2">
      <c r="A43" s="9" t="s">
        <v>61</v>
      </c>
      <c r="C43" s="16">
        <v>3.3250000000000002</v>
      </c>
      <c r="D43" s="16">
        <v>9.2249999999999996</v>
      </c>
      <c r="E43" s="8">
        <v>6.5389999999999997</v>
      </c>
    </row>
    <row r="44" spans="1:24" ht="15" x14ac:dyDescent="0.2">
      <c r="A44" s="9" t="s">
        <v>60</v>
      </c>
      <c r="C44" s="8">
        <f>SQRT((C43^2)+25)</f>
        <v>6.0046336274580483</v>
      </c>
      <c r="D44" s="8">
        <f>SQRT((D43^2)+25)</f>
        <v>10.492884493789113</v>
      </c>
      <c r="E44" s="8">
        <f>SQRT((E43^2)+25)</f>
        <v>8.2315564141904538</v>
      </c>
    </row>
    <row r="45" spans="1:24" ht="15" x14ac:dyDescent="0.2">
      <c r="A45" s="9" t="s">
        <v>59</v>
      </c>
      <c r="C45" s="8">
        <f>C42/$E$4</f>
        <v>1.9914275983781267</v>
      </c>
      <c r="D45" s="8">
        <f>D42/$E$4</f>
        <v>0.28214234820831546</v>
      </c>
      <c r="E45" s="8">
        <f>E42/$E$4</f>
        <v>0.30593710346641939</v>
      </c>
    </row>
    <row r="47" spans="1:24" ht="15" x14ac:dyDescent="0.2">
      <c r="A47" s="10" t="s">
        <v>207</v>
      </c>
    </row>
    <row r="48" spans="1:24" ht="15" x14ac:dyDescent="0.2">
      <c r="A48" s="9" t="s">
        <v>63</v>
      </c>
      <c r="C48" s="8">
        <v>301.79300000000001</v>
      </c>
      <c r="D48" s="8">
        <v>290.262</v>
      </c>
      <c r="E48" s="8">
        <v>381.32799999999997</v>
      </c>
      <c r="F48" s="8">
        <v>427.87900000000002</v>
      </c>
      <c r="V48" s="8">
        <v>251.10900000000001</v>
      </c>
      <c r="W48" s="8">
        <v>242.47300000000001</v>
      </c>
      <c r="X48" s="8">
        <v>258.83999999999997</v>
      </c>
    </row>
    <row r="49" spans="1:24" ht="15" x14ac:dyDescent="0.2">
      <c r="A49" s="9" t="s">
        <v>62</v>
      </c>
      <c r="C49" s="8">
        <f>C48-$B$7</f>
        <v>83.985000000000014</v>
      </c>
      <c r="D49" s="8">
        <f>D48-$B$7</f>
        <v>72.454000000000008</v>
      </c>
      <c r="E49" s="8">
        <f>E48-$B$7</f>
        <v>163.51999999999998</v>
      </c>
      <c r="F49" s="8">
        <f>F48-$B$7</f>
        <v>210.07100000000003</v>
      </c>
      <c r="V49" s="8" t="e">
        <f>V48-#REF!</f>
        <v>#REF!</v>
      </c>
      <c r="W49" s="8" t="e">
        <f>W48-#REF!</f>
        <v>#REF!</v>
      </c>
      <c r="X49" s="8" t="e">
        <f>X48-#REF!</f>
        <v>#REF!</v>
      </c>
    </row>
    <row r="50" spans="1:24" ht="15" x14ac:dyDescent="0.2">
      <c r="A50" s="9" t="s">
        <v>61</v>
      </c>
      <c r="C50" s="8">
        <v>5.1509999999999998</v>
      </c>
      <c r="D50" s="8">
        <v>5.609</v>
      </c>
      <c r="E50" s="8">
        <v>2.5449999999999999</v>
      </c>
      <c r="F50" s="8">
        <v>3.4260000000000002</v>
      </c>
      <c r="V50" s="8">
        <v>3.1789999999999998</v>
      </c>
      <c r="W50" s="8">
        <v>9.7810000000000006</v>
      </c>
      <c r="X50" s="8">
        <v>3.1469999999999998</v>
      </c>
    </row>
    <row r="51" spans="1:24" ht="15" x14ac:dyDescent="0.2">
      <c r="A51" s="9" t="s">
        <v>60</v>
      </c>
      <c r="C51" s="8">
        <f>SQRT((C50^2)+36)</f>
        <v>7.9077683956979925</v>
      </c>
      <c r="D51" s="8">
        <f>SQRT((D50^2)+36)</f>
        <v>8.2134573110231717</v>
      </c>
      <c r="E51" s="8">
        <f>SQRT((E50^2)+36)</f>
        <v>6.5174400649334707</v>
      </c>
      <c r="F51" s="8">
        <f>SQRT((F50^2)+36)</f>
        <v>6.9092312162786973</v>
      </c>
      <c r="V51" s="8">
        <f>SQRT((V50^2)+1)</f>
        <v>3.3325727298890269</v>
      </c>
      <c r="W51" s="8">
        <f>SQRT((W50^2)+1)</f>
        <v>9.8319866252960288</v>
      </c>
      <c r="X51" s="8">
        <f>SQRT((X50^2)+1)</f>
        <v>3.3020613258993237</v>
      </c>
    </row>
    <row r="52" spans="1:24" ht="15" x14ac:dyDescent="0.2">
      <c r="A52" s="9" t="s">
        <v>59</v>
      </c>
      <c r="C52" s="8">
        <f>C49/$E$4</f>
        <v>0.22221756036382154</v>
      </c>
      <c r="D52" s="8">
        <f>D49/$E$4</f>
        <v>0.19170746107757725</v>
      </c>
      <c r="E52" s="8">
        <f>E49/$E$4</f>
        <v>0.43266077836151801</v>
      </c>
      <c r="F52" s="8">
        <f>F49/$E$4</f>
        <v>0.55583098318971669</v>
      </c>
      <c r="V52" s="8" t="e">
        <f>V49/$E$4</f>
        <v>#REF!</v>
      </c>
      <c r="W52" s="8" t="e">
        <f>W49/$E$4</f>
        <v>#REF!</v>
      </c>
      <c r="X52" s="8" t="e">
        <f>X49/$E$4</f>
        <v>#REF!</v>
      </c>
    </row>
    <row r="54" spans="1:24" ht="15" x14ac:dyDescent="0.2">
      <c r="A54" s="10" t="s">
        <v>206</v>
      </c>
      <c r="C54" s="8">
        <v>1</v>
      </c>
      <c r="D54" s="8">
        <v>1</v>
      </c>
    </row>
    <row r="55" spans="1:24" ht="15" x14ac:dyDescent="0.2">
      <c r="A55" s="9" t="s">
        <v>63</v>
      </c>
      <c r="C55" s="8">
        <v>461.71499999999997</v>
      </c>
      <c r="D55" s="8">
        <v>846.66399999999999</v>
      </c>
      <c r="E55" s="8">
        <v>1540.4880000000001</v>
      </c>
      <c r="F55" s="8">
        <v>508.69099999999997</v>
      </c>
      <c r="G55" s="8">
        <v>1119.595</v>
      </c>
      <c r="H55" s="8">
        <v>361.93799999999999</v>
      </c>
    </row>
    <row r="56" spans="1:24" ht="15" x14ac:dyDescent="0.2">
      <c r="A56" s="9" t="s">
        <v>62</v>
      </c>
      <c r="C56" s="8">
        <f t="shared" ref="C56:H56" si="8">C55-$B$7</f>
        <v>243.90699999999998</v>
      </c>
      <c r="D56" s="8">
        <f t="shared" si="8"/>
        <v>628.85599999999999</v>
      </c>
      <c r="E56" s="8">
        <f t="shared" si="8"/>
        <v>1322.68</v>
      </c>
      <c r="F56" s="8">
        <f t="shared" si="8"/>
        <v>290.88299999999998</v>
      </c>
      <c r="G56" s="8">
        <f t="shared" si="8"/>
        <v>901.78700000000003</v>
      </c>
      <c r="H56" s="8">
        <f t="shared" si="8"/>
        <v>144.13</v>
      </c>
    </row>
    <row r="57" spans="1:24" ht="15" x14ac:dyDescent="0.2">
      <c r="A57" s="9" t="s">
        <v>61</v>
      </c>
      <c r="C57" s="8">
        <v>4.8940000000000001</v>
      </c>
      <c r="D57" s="8">
        <v>2.2229999999999999</v>
      </c>
      <c r="E57" s="8">
        <v>2.8959999999999999</v>
      </c>
      <c r="F57" s="8">
        <v>1.81</v>
      </c>
      <c r="G57" s="8">
        <v>2.9860000000000002</v>
      </c>
      <c r="H57" s="8">
        <v>3.3140000000000001</v>
      </c>
    </row>
    <row r="58" spans="1:24" ht="15" x14ac:dyDescent="0.2">
      <c r="A58" s="9" t="s">
        <v>60</v>
      </c>
      <c r="C58" s="8">
        <f t="shared" ref="C58:H58" si="9">SQRT((C57^2)+1)</f>
        <v>4.9951212197503274</v>
      </c>
      <c r="D58" s="8">
        <f t="shared" si="9"/>
        <v>2.4375662042291282</v>
      </c>
      <c r="E58" s="8">
        <f t="shared" si="9"/>
        <v>3.0637911155951869</v>
      </c>
      <c r="F58" s="8">
        <f t="shared" si="9"/>
        <v>2.067873303662485</v>
      </c>
      <c r="G58" s="8">
        <f t="shared" si="9"/>
        <v>3.148999206097074</v>
      </c>
      <c r="H58" s="8">
        <f t="shared" si="9"/>
        <v>3.4615886526275768</v>
      </c>
    </row>
    <row r="59" spans="1:24" ht="15" x14ac:dyDescent="0.2">
      <c r="A59" s="9" t="s">
        <v>59</v>
      </c>
      <c r="E59" s="8">
        <f>E56/$E$4</f>
        <v>3.4997049799609385</v>
      </c>
      <c r="F59" s="8">
        <f>F56/$E$4</f>
        <v>0.769653040558546</v>
      </c>
      <c r="G59" s="8">
        <f>G56/$E$4</f>
        <v>2.3860559279372446</v>
      </c>
      <c r="H59" s="8">
        <f>H56/$E$4</f>
        <v>0.38135639668080717</v>
      </c>
    </row>
    <row r="61" spans="1:24" ht="15" x14ac:dyDescent="0.2">
      <c r="A61" s="10" t="s">
        <v>205</v>
      </c>
      <c r="C61" s="8">
        <v>1</v>
      </c>
      <c r="D61" s="8">
        <v>1</v>
      </c>
    </row>
    <row r="62" spans="1:24" ht="15" x14ac:dyDescent="0.2">
      <c r="A62" s="9" t="s">
        <v>63</v>
      </c>
      <c r="C62" s="8">
        <v>611.97699999999998</v>
      </c>
      <c r="D62" s="8">
        <v>604.43799999999999</v>
      </c>
      <c r="E62" s="8">
        <v>456.57799999999997</v>
      </c>
      <c r="F62" s="8">
        <v>464.18400000000003</v>
      </c>
    </row>
    <row r="63" spans="1:24" ht="15" x14ac:dyDescent="0.2">
      <c r="A63" s="9" t="s">
        <v>62</v>
      </c>
      <c r="C63" s="8">
        <f>C62-$B$7</f>
        <v>394.16899999999998</v>
      </c>
      <c r="D63" s="8">
        <f>D62-$B$7</f>
        <v>386.63</v>
      </c>
      <c r="E63" s="8">
        <f>E62-$B$7</f>
        <v>238.76999999999998</v>
      </c>
      <c r="F63" s="8">
        <f>F62-$B$7</f>
        <v>246.37600000000003</v>
      </c>
    </row>
    <row r="64" spans="1:24" ht="15" x14ac:dyDescent="0.2">
      <c r="A64" s="9" t="s">
        <v>61</v>
      </c>
      <c r="C64" s="8">
        <v>2.7349999999999999</v>
      </c>
      <c r="D64" s="8">
        <v>3.0939999999999999</v>
      </c>
      <c r="E64" s="8">
        <v>3.202</v>
      </c>
      <c r="F64" s="8">
        <v>2.8490000000000002</v>
      </c>
    </row>
    <row r="65" spans="1:6" ht="15" x14ac:dyDescent="0.2">
      <c r="A65" s="9" t="s">
        <v>60</v>
      </c>
      <c r="C65" s="8">
        <f>SQRT((C64^2)+4)</f>
        <v>3.3882480723819497</v>
      </c>
      <c r="D65" s="8">
        <f>SQRT((D64^2)+4)</f>
        <v>3.6841330051994592</v>
      </c>
      <c r="E65" s="8">
        <f>SQRT((E64^2)+4)</f>
        <v>3.7752885982398747</v>
      </c>
      <c r="F65" s="8">
        <f>SQRT((F64^2)+4)</f>
        <v>3.4809195624145066</v>
      </c>
    </row>
    <row r="66" spans="1:6" ht="15" x14ac:dyDescent="0.2">
      <c r="A66" s="9" t="s">
        <v>59</v>
      </c>
      <c r="E66" s="8">
        <f>E63/$E$4</f>
        <v>0.63176623073250771</v>
      </c>
      <c r="F66" s="8">
        <f>F63/$E$4</f>
        <v>0.65189109545986657</v>
      </c>
    </row>
    <row r="68" spans="1:6" ht="15" x14ac:dyDescent="0.2">
      <c r="A68" s="9"/>
    </row>
    <row r="69" spans="1:6" ht="15" x14ac:dyDescent="0.2">
      <c r="A69" s="9"/>
      <c r="D69" s="11"/>
    </row>
    <row r="70" spans="1:6" ht="15" x14ac:dyDescent="0.2">
      <c r="A70" s="9"/>
    </row>
    <row r="71" spans="1:6" ht="15" x14ac:dyDescent="0.2">
      <c r="A71" s="9"/>
    </row>
    <row r="72" spans="1:6" ht="15" x14ac:dyDescent="0.2">
      <c r="A72" s="9"/>
    </row>
    <row r="73" spans="1:6" ht="15" x14ac:dyDescent="0.2">
      <c r="A73" s="9"/>
    </row>
    <row r="75" spans="1:6" ht="15" x14ac:dyDescent="0.2">
      <c r="A75" s="9"/>
    </row>
    <row r="76" spans="1:6" ht="15" x14ac:dyDescent="0.2">
      <c r="A76" s="9"/>
    </row>
    <row r="77" spans="1:6" ht="15" x14ac:dyDescent="0.2">
      <c r="A77" s="9"/>
    </row>
    <row r="78" spans="1:6" ht="15" x14ac:dyDescent="0.2">
      <c r="A78" s="9"/>
    </row>
    <row r="79" spans="1:6" ht="15" x14ac:dyDescent="0.2">
      <c r="A79" s="9"/>
    </row>
    <row r="80" spans="1:6" ht="15" x14ac:dyDescent="0.2">
      <c r="A80" s="9"/>
    </row>
  </sheetData>
  <mergeCells count="1">
    <mergeCell ref="G4:H4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466F-F8D4-B14B-BB4F-840F1E132164}">
  <sheetPr>
    <outlinePr summaryBelow="0" summaryRight="0"/>
  </sheetPr>
  <dimension ref="A1:AB80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28" ht="16" x14ac:dyDescent="0.2">
      <c r="A1" s="12" t="s">
        <v>75</v>
      </c>
      <c r="B1" s="12"/>
      <c r="C1" s="15">
        <v>45166</v>
      </c>
      <c r="D1" s="12"/>
      <c r="E1" s="12"/>
      <c r="F1" s="12"/>
      <c r="G1" s="12"/>
      <c r="H1" s="12"/>
    </row>
    <row r="2" spans="1:28" ht="16" x14ac:dyDescent="0.2">
      <c r="A2" s="12"/>
      <c r="B2" s="12"/>
      <c r="C2" s="12"/>
      <c r="D2" s="12"/>
      <c r="E2" s="12"/>
      <c r="F2" s="12"/>
      <c r="G2" s="12"/>
      <c r="H2" s="12"/>
    </row>
    <row r="3" spans="1:28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28" ht="16" x14ac:dyDescent="0.2">
      <c r="A4" s="12" t="s">
        <v>27</v>
      </c>
      <c r="B4" s="13">
        <v>44.850999999999999</v>
      </c>
      <c r="C4" s="12"/>
      <c r="D4" s="12" t="s">
        <v>73</v>
      </c>
      <c r="E4" s="13">
        <f>AVERAGE(C8,D8,E8,F8,G8,H8,C14,D14,E14,F14,G14,H14,I14,C21,D21,E21,C28)</f>
        <v>1005.5372941176472</v>
      </c>
      <c r="F4" s="12"/>
      <c r="G4" s="55" t="s">
        <v>72</v>
      </c>
      <c r="H4" s="56"/>
    </row>
    <row r="5" spans="1:28" ht="16" x14ac:dyDescent="0.2">
      <c r="A5" s="12"/>
      <c r="B5" s="12"/>
      <c r="C5" s="12"/>
      <c r="D5" s="12"/>
      <c r="E5" s="12"/>
      <c r="F5" s="12"/>
      <c r="G5" s="12"/>
      <c r="H5" s="12"/>
    </row>
    <row r="6" spans="1:28" ht="15" x14ac:dyDescent="0.2">
      <c r="A6" s="10" t="s">
        <v>189</v>
      </c>
      <c r="B6" s="14" t="s">
        <v>70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28" ht="16" x14ac:dyDescent="0.2">
      <c r="A7" s="9" t="s">
        <v>63</v>
      </c>
      <c r="B7" s="13">
        <v>228.095</v>
      </c>
      <c r="C7" s="8">
        <v>629.34400000000005</v>
      </c>
      <c r="D7" s="8">
        <v>540.74199999999996</v>
      </c>
      <c r="E7" s="8">
        <v>951.91800000000001</v>
      </c>
      <c r="F7" s="8">
        <v>2482.7620000000002</v>
      </c>
      <c r="G7" s="8">
        <v>2597.605</v>
      </c>
      <c r="H7" s="8">
        <v>2537.9259999999999</v>
      </c>
      <c r="I7" s="16">
        <v>1269.4059999999999</v>
      </c>
      <c r="J7" s="16">
        <v>2252.395</v>
      </c>
      <c r="K7" s="16">
        <v>3336.75</v>
      </c>
      <c r="L7" s="16">
        <v>3246.3009999999999</v>
      </c>
      <c r="M7" s="16">
        <v>1389.492</v>
      </c>
      <c r="N7" s="16">
        <v>3639.1329999999998</v>
      </c>
      <c r="O7" s="16">
        <v>2334.4609999999998</v>
      </c>
      <c r="P7" s="16">
        <v>1781.2850000000001</v>
      </c>
      <c r="Q7" s="16">
        <v>2014.1759999999999</v>
      </c>
      <c r="R7" s="16">
        <v>2161.3870000000002</v>
      </c>
      <c r="S7" s="8">
        <v>2789.1640000000002</v>
      </c>
      <c r="T7" s="8">
        <v>1597.566</v>
      </c>
      <c r="U7" s="8">
        <v>3216.547</v>
      </c>
      <c r="V7" s="8">
        <v>1616.078</v>
      </c>
      <c r="W7" s="8">
        <v>1155.8589999999999</v>
      </c>
      <c r="X7" s="8">
        <v>989.62900000000002</v>
      </c>
    </row>
    <row r="8" spans="1:28" ht="16" x14ac:dyDescent="0.2">
      <c r="A8" s="9" t="s">
        <v>62</v>
      </c>
      <c r="B8" s="12"/>
      <c r="C8" s="8">
        <f t="shared" ref="C8:X8" si="0">C7-$B$7</f>
        <v>401.24900000000002</v>
      </c>
      <c r="D8" s="8">
        <f t="shared" si="0"/>
        <v>312.64699999999993</v>
      </c>
      <c r="E8" s="8">
        <f t="shared" si="0"/>
        <v>723.82299999999998</v>
      </c>
      <c r="F8" s="8">
        <f t="shared" si="0"/>
        <v>2254.6670000000004</v>
      </c>
      <c r="G8" s="8">
        <f t="shared" si="0"/>
        <v>2369.5100000000002</v>
      </c>
      <c r="H8" s="8">
        <f t="shared" si="0"/>
        <v>2309.8310000000001</v>
      </c>
      <c r="I8" s="8">
        <f t="shared" si="0"/>
        <v>1041.3109999999999</v>
      </c>
      <c r="J8" s="8">
        <f t="shared" si="0"/>
        <v>2024.3</v>
      </c>
      <c r="K8" s="8">
        <f t="shared" si="0"/>
        <v>3108.6550000000002</v>
      </c>
      <c r="L8" s="8">
        <f t="shared" si="0"/>
        <v>3018.2060000000001</v>
      </c>
      <c r="M8" s="8">
        <f t="shared" si="0"/>
        <v>1161.3969999999999</v>
      </c>
      <c r="N8" s="8">
        <f t="shared" si="0"/>
        <v>3411.038</v>
      </c>
      <c r="O8" s="8">
        <f t="shared" si="0"/>
        <v>2106.366</v>
      </c>
      <c r="P8" s="8">
        <f t="shared" si="0"/>
        <v>1553.19</v>
      </c>
      <c r="Q8" s="8">
        <f t="shared" si="0"/>
        <v>1786.0809999999999</v>
      </c>
      <c r="R8" s="8">
        <f t="shared" si="0"/>
        <v>1933.2920000000001</v>
      </c>
      <c r="S8" s="8">
        <f t="shared" si="0"/>
        <v>2561.0690000000004</v>
      </c>
      <c r="T8" s="8">
        <f t="shared" si="0"/>
        <v>1369.471</v>
      </c>
      <c r="U8" s="8">
        <f t="shared" si="0"/>
        <v>2988.4520000000002</v>
      </c>
      <c r="V8" s="8">
        <f t="shared" si="0"/>
        <v>1387.9829999999999</v>
      </c>
      <c r="W8" s="8">
        <f t="shared" si="0"/>
        <v>927.7639999999999</v>
      </c>
      <c r="X8" s="8">
        <f t="shared" si="0"/>
        <v>761.53399999999999</v>
      </c>
    </row>
    <row r="9" spans="1:28" ht="16" x14ac:dyDescent="0.2">
      <c r="A9" s="9" t="s">
        <v>61</v>
      </c>
      <c r="B9" s="12"/>
      <c r="C9" s="8">
        <v>6.7030000000000003</v>
      </c>
      <c r="D9" s="8">
        <v>3.2389999999999999</v>
      </c>
      <c r="E9" s="8">
        <v>1.9550000000000001</v>
      </c>
      <c r="F9" s="8">
        <v>2.9009999999999998</v>
      </c>
      <c r="G9" s="8">
        <v>3.4060000000000001</v>
      </c>
      <c r="H9" s="8">
        <v>2.34</v>
      </c>
      <c r="I9" s="16">
        <v>2.8029999999999999</v>
      </c>
      <c r="J9" s="16">
        <v>3.367</v>
      </c>
      <c r="K9" s="16">
        <v>2.3889999999999998</v>
      </c>
      <c r="L9" s="16">
        <v>2.1739999999999999</v>
      </c>
      <c r="M9" s="16">
        <v>1.627</v>
      </c>
      <c r="N9" s="16">
        <v>3.165</v>
      </c>
      <c r="O9" s="16">
        <v>2.0259999999999998</v>
      </c>
      <c r="P9" s="16">
        <v>2.0990000000000002</v>
      </c>
      <c r="Q9" s="16">
        <v>2.73</v>
      </c>
      <c r="R9" s="16">
        <v>3.4009999999999998</v>
      </c>
      <c r="S9" s="8">
        <v>4.24</v>
      </c>
      <c r="T9" s="8">
        <v>3.8519999999999999</v>
      </c>
      <c r="U9" s="8">
        <v>4.4160000000000004</v>
      </c>
      <c r="V9" s="8">
        <v>4.17</v>
      </c>
      <c r="W9" s="8">
        <v>4.8179999999999996</v>
      </c>
      <c r="X9" s="8">
        <v>5.0289999999999999</v>
      </c>
    </row>
    <row r="10" spans="1:28" ht="16" x14ac:dyDescent="0.2">
      <c r="A10" s="9" t="s">
        <v>59</v>
      </c>
      <c r="B10" s="12"/>
      <c r="I10" s="17">
        <f t="shared" ref="I10:X10" si="1">I8/$E$4</f>
        <v>1.0355767071908992</v>
      </c>
      <c r="J10" s="17">
        <f t="shared" si="1"/>
        <v>2.0131525820494911</v>
      </c>
      <c r="K10" s="17">
        <f t="shared" si="1"/>
        <v>3.0915362544835552</v>
      </c>
      <c r="L10" s="17">
        <f t="shared" si="1"/>
        <v>3.0015853391578653</v>
      </c>
      <c r="M10" s="17">
        <f t="shared" si="1"/>
        <v>1.1550014174453058</v>
      </c>
      <c r="N10" s="17">
        <f t="shared" si="1"/>
        <v>3.3922540913742685</v>
      </c>
      <c r="O10" s="17">
        <f t="shared" si="1"/>
        <v>2.094766660890806</v>
      </c>
      <c r="P10" s="17">
        <f t="shared" si="1"/>
        <v>1.5446368912283006</v>
      </c>
      <c r="Q10" s="17">
        <f t="shared" si="1"/>
        <v>1.7762454067576627</v>
      </c>
      <c r="R10" s="17">
        <f t="shared" si="1"/>
        <v>1.9226457450257497</v>
      </c>
      <c r="S10" s="17">
        <f t="shared" si="1"/>
        <v>2.5469657018015655</v>
      </c>
      <c r="T10" s="17">
        <f t="shared" si="1"/>
        <v>1.3619295952634978</v>
      </c>
      <c r="U10" s="17">
        <f t="shared" si="1"/>
        <v>2.9719951885249056</v>
      </c>
      <c r="V10" s="17">
        <f t="shared" si="1"/>
        <v>1.3803396533571104</v>
      </c>
      <c r="W10" s="17">
        <f t="shared" si="1"/>
        <v>0.92265498796253709</v>
      </c>
      <c r="X10" s="17">
        <f t="shared" si="1"/>
        <v>0.75734038354911681</v>
      </c>
    </row>
    <row r="11" spans="1:28" ht="15.75" customHeight="1" x14ac:dyDescent="0.2">
      <c r="J11" s="17"/>
      <c r="K11" s="17"/>
      <c r="L11" s="17"/>
      <c r="M11" s="17"/>
      <c r="N11" s="17"/>
      <c r="O11" s="17"/>
      <c r="P11" s="17"/>
      <c r="Q11" s="17"/>
      <c r="R11" s="17"/>
    </row>
    <row r="12" spans="1:28" ht="15" x14ac:dyDescent="0.2">
      <c r="A12" s="10" t="s">
        <v>188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</row>
    <row r="13" spans="1:28" ht="15" x14ac:dyDescent="0.2">
      <c r="A13" s="9" t="s">
        <v>63</v>
      </c>
      <c r="C13" s="8">
        <v>1093.2850000000001</v>
      </c>
      <c r="D13" s="8">
        <v>1352.0619999999999</v>
      </c>
      <c r="E13" s="8">
        <v>1416.5740000000001</v>
      </c>
      <c r="F13" s="8">
        <v>783.55100000000004</v>
      </c>
      <c r="G13" s="8">
        <v>961.57399999999996</v>
      </c>
      <c r="H13" s="8">
        <v>1032.277</v>
      </c>
      <c r="I13" s="8">
        <v>939.25400000000002</v>
      </c>
      <c r="J13" s="8">
        <v>573.88699999999994</v>
      </c>
      <c r="K13" s="8">
        <v>1499.0119999999999</v>
      </c>
      <c r="L13" s="8">
        <v>2990.9059999999999</v>
      </c>
      <c r="M13" s="8">
        <v>2618.0940000000001</v>
      </c>
      <c r="N13" s="8">
        <v>2075.3090000000002</v>
      </c>
      <c r="O13" s="8">
        <v>1717.355</v>
      </c>
      <c r="P13" s="8">
        <v>1646.7339999999999</v>
      </c>
      <c r="Q13" s="8">
        <v>2048.4650000000001</v>
      </c>
      <c r="R13" s="8">
        <v>2168.348</v>
      </c>
      <c r="S13" s="8">
        <v>2188.5700000000002</v>
      </c>
      <c r="T13" s="8">
        <v>1138.961</v>
      </c>
      <c r="U13" s="8">
        <v>2722.0309999999999</v>
      </c>
      <c r="V13" s="8">
        <v>2062.7269999999999</v>
      </c>
      <c r="W13" s="8">
        <v>1724.9059999999999</v>
      </c>
      <c r="X13" s="8">
        <v>2002.289</v>
      </c>
      <c r="Y13" s="8">
        <v>3167.7190000000001</v>
      </c>
      <c r="Z13" s="8">
        <v>2159.348</v>
      </c>
      <c r="AA13" s="8">
        <v>1444.9380000000001</v>
      </c>
      <c r="AB13" s="8"/>
    </row>
    <row r="14" spans="1:28" ht="15" x14ac:dyDescent="0.2">
      <c r="A14" s="9" t="s">
        <v>62</v>
      </c>
      <c r="C14" s="8">
        <f t="shared" ref="C14:AA14" si="2">C13-$B$7</f>
        <v>865.19</v>
      </c>
      <c r="D14" s="8">
        <f t="shared" si="2"/>
        <v>1123.9669999999999</v>
      </c>
      <c r="E14" s="8">
        <f t="shared" si="2"/>
        <v>1188.479</v>
      </c>
      <c r="F14" s="8">
        <f t="shared" si="2"/>
        <v>555.45600000000002</v>
      </c>
      <c r="G14" s="8">
        <f t="shared" si="2"/>
        <v>733.47899999999993</v>
      </c>
      <c r="H14" s="8">
        <f t="shared" si="2"/>
        <v>804.18200000000002</v>
      </c>
      <c r="I14" s="8">
        <f t="shared" si="2"/>
        <v>711.15899999999999</v>
      </c>
      <c r="J14" s="8">
        <f t="shared" si="2"/>
        <v>345.79199999999992</v>
      </c>
      <c r="K14" s="8">
        <f t="shared" si="2"/>
        <v>1270.9169999999999</v>
      </c>
      <c r="L14" s="8">
        <f t="shared" si="2"/>
        <v>2762.8110000000001</v>
      </c>
      <c r="M14" s="8">
        <f t="shared" si="2"/>
        <v>2389.9990000000003</v>
      </c>
      <c r="N14" s="8">
        <f t="shared" si="2"/>
        <v>1847.2140000000002</v>
      </c>
      <c r="O14" s="8">
        <f t="shared" si="2"/>
        <v>1489.26</v>
      </c>
      <c r="P14" s="8">
        <f t="shared" si="2"/>
        <v>1418.6389999999999</v>
      </c>
      <c r="Q14" s="8">
        <f t="shared" si="2"/>
        <v>1820.3700000000001</v>
      </c>
      <c r="R14" s="8">
        <f t="shared" si="2"/>
        <v>1940.2529999999999</v>
      </c>
      <c r="S14" s="8">
        <f t="shared" si="2"/>
        <v>1960.4750000000001</v>
      </c>
      <c r="T14" s="8">
        <f t="shared" si="2"/>
        <v>910.86599999999999</v>
      </c>
      <c r="U14" s="8">
        <f t="shared" si="2"/>
        <v>2493.9360000000001</v>
      </c>
      <c r="V14" s="8">
        <f t="shared" si="2"/>
        <v>1834.6319999999998</v>
      </c>
      <c r="W14" s="8">
        <f t="shared" si="2"/>
        <v>1496.8109999999999</v>
      </c>
      <c r="X14" s="8">
        <f t="shared" si="2"/>
        <v>1774.194</v>
      </c>
      <c r="Y14" s="8">
        <f t="shared" si="2"/>
        <v>2939.6240000000003</v>
      </c>
      <c r="Z14" s="8">
        <f t="shared" si="2"/>
        <v>1931.2529999999999</v>
      </c>
      <c r="AA14" s="8">
        <f t="shared" si="2"/>
        <v>1216.8430000000001</v>
      </c>
    </row>
    <row r="15" spans="1:28" ht="15" x14ac:dyDescent="0.2">
      <c r="A15" s="9" t="s">
        <v>61</v>
      </c>
      <c r="C15" s="8">
        <v>3.968</v>
      </c>
      <c r="D15" s="8">
        <v>4.6689999999999996</v>
      </c>
      <c r="E15" s="8">
        <v>4.9379999999999997</v>
      </c>
      <c r="F15" s="8">
        <v>1.861</v>
      </c>
      <c r="G15" s="8">
        <v>1.63</v>
      </c>
      <c r="H15" s="8">
        <v>2.0009999999999999</v>
      </c>
      <c r="I15" s="8">
        <v>2.36</v>
      </c>
      <c r="J15" s="8">
        <v>2.1080000000000001</v>
      </c>
      <c r="K15" s="8">
        <v>2.13</v>
      </c>
      <c r="L15" s="8">
        <v>2.4929999999999999</v>
      </c>
      <c r="M15" s="8">
        <v>3.1619999999999999</v>
      </c>
      <c r="N15" s="8">
        <v>2.605</v>
      </c>
      <c r="O15" s="8">
        <v>2.4239999999999999</v>
      </c>
      <c r="P15" s="8">
        <v>1.774</v>
      </c>
      <c r="Q15" s="8">
        <v>1.994</v>
      </c>
      <c r="R15" s="8">
        <v>1.8240000000000001</v>
      </c>
      <c r="S15" s="8">
        <v>4.4370000000000003</v>
      </c>
      <c r="T15" s="8">
        <v>3.8180000000000001</v>
      </c>
      <c r="U15" s="8">
        <v>4.1790000000000003</v>
      </c>
      <c r="V15" s="8">
        <v>4.4569999999999999</v>
      </c>
      <c r="W15" s="8">
        <v>5.4420000000000002</v>
      </c>
      <c r="X15" s="8">
        <v>4.7839999999999998</v>
      </c>
      <c r="Y15" s="8">
        <v>3.7879999999999998</v>
      </c>
      <c r="Z15" s="8">
        <v>3.2509999999999999</v>
      </c>
      <c r="AA15" s="8">
        <v>2.7320000000000002</v>
      </c>
      <c r="AB15" s="8"/>
    </row>
    <row r="16" spans="1:28" ht="15" x14ac:dyDescent="0.2">
      <c r="A16" s="9" t="s">
        <v>60</v>
      </c>
      <c r="C16" s="8">
        <f t="shared" ref="C16:AA16" si="3">SQRT((C15^2)+1)</f>
        <v>4.0920684256253583</v>
      </c>
      <c r="D16" s="8">
        <f t="shared" si="3"/>
        <v>4.7748885850876137</v>
      </c>
      <c r="E16" s="8">
        <f t="shared" si="3"/>
        <v>5.0382381841274633</v>
      </c>
      <c r="F16" s="8">
        <f t="shared" si="3"/>
        <v>2.1126573314193671</v>
      </c>
      <c r="G16" s="8">
        <f t="shared" si="3"/>
        <v>1.9123022773609823</v>
      </c>
      <c r="H16" s="8">
        <f t="shared" si="3"/>
        <v>2.2369624493942672</v>
      </c>
      <c r="I16" s="8">
        <f t="shared" si="3"/>
        <v>2.563123094976127</v>
      </c>
      <c r="J16" s="8">
        <f t="shared" si="3"/>
        <v>2.3331660892443984</v>
      </c>
      <c r="K16" s="8">
        <f t="shared" si="3"/>
        <v>2.3530618351416095</v>
      </c>
      <c r="L16" s="8">
        <f t="shared" si="3"/>
        <v>2.6860843248118624</v>
      </c>
      <c r="M16" s="8">
        <f t="shared" si="3"/>
        <v>3.3163600528290047</v>
      </c>
      <c r="N16" s="8">
        <f t="shared" si="3"/>
        <v>2.7903449607530608</v>
      </c>
      <c r="O16" s="8">
        <f t="shared" si="3"/>
        <v>2.6221700936438124</v>
      </c>
      <c r="P16" s="8">
        <f t="shared" si="3"/>
        <v>2.0364370847143793</v>
      </c>
      <c r="Q16" s="8">
        <f t="shared" si="3"/>
        <v>2.2307030281953715</v>
      </c>
      <c r="R16" s="8">
        <f t="shared" si="3"/>
        <v>2.0801384569302113</v>
      </c>
      <c r="S16" s="8">
        <f t="shared" si="3"/>
        <v>4.5482929764912905</v>
      </c>
      <c r="T16" s="8">
        <f t="shared" si="3"/>
        <v>3.9467865409722882</v>
      </c>
      <c r="U16" s="8">
        <f t="shared" si="3"/>
        <v>4.296980451433309</v>
      </c>
      <c r="V16" s="8">
        <f t="shared" si="3"/>
        <v>4.5678057095283728</v>
      </c>
      <c r="W16" s="8">
        <f t="shared" si="3"/>
        <v>5.533115216584596</v>
      </c>
      <c r="X16" s="8">
        <f t="shared" si="3"/>
        <v>4.8873976715630576</v>
      </c>
      <c r="Y16" s="8">
        <f t="shared" si="3"/>
        <v>3.9177728367019951</v>
      </c>
      <c r="Z16" s="8">
        <f t="shared" si="3"/>
        <v>3.4013234189062351</v>
      </c>
      <c r="AA16" s="8">
        <f t="shared" si="3"/>
        <v>2.9092651993243934</v>
      </c>
    </row>
    <row r="17" spans="1:27" ht="15" x14ac:dyDescent="0.2">
      <c r="A17" s="9" t="s">
        <v>59</v>
      </c>
      <c r="J17" s="8">
        <f t="shared" ref="J17:AA17" si="4">J14/$E$4</f>
        <v>0.34388779215138932</v>
      </c>
      <c r="K17" s="8">
        <f t="shared" si="4"/>
        <v>1.2639183125626601</v>
      </c>
      <c r="L17" s="8">
        <f t="shared" si="4"/>
        <v>2.7475967486858357</v>
      </c>
      <c r="M17" s="8">
        <f t="shared" si="4"/>
        <v>2.3768377503066254</v>
      </c>
      <c r="N17" s="8">
        <f t="shared" si="4"/>
        <v>1.8370417594714068</v>
      </c>
      <c r="O17" s="8">
        <f t="shared" si="4"/>
        <v>1.481058941037902</v>
      </c>
      <c r="P17" s="8">
        <f t="shared" si="4"/>
        <v>1.4108268368552623</v>
      </c>
      <c r="Q17" s="8">
        <f t="shared" si="4"/>
        <v>1.8103455840465505</v>
      </c>
      <c r="R17" s="8">
        <f t="shared" si="4"/>
        <v>1.9295684121816288</v>
      </c>
      <c r="S17" s="8">
        <f t="shared" si="4"/>
        <v>1.949679053644952</v>
      </c>
      <c r="T17" s="8">
        <f t="shared" si="4"/>
        <v>0.90585004189156337</v>
      </c>
      <c r="U17" s="8">
        <f t="shared" si="4"/>
        <v>2.4802023898958554</v>
      </c>
      <c r="V17" s="8">
        <f t="shared" si="4"/>
        <v>1.8245290460458536</v>
      </c>
      <c r="W17" s="8">
        <f t="shared" si="4"/>
        <v>1.4885683591809913</v>
      </c>
      <c r="X17" s="8">
        <f t="shared" si="4"/>
        <v>1.7644238661051794</v>
      </c>
      <c r="Y17" s="8">
        <f t="shared" si="4"/>
        <v>2.9234360746206853</v>
      </c>
      <c r="Z17" s="8">
        <f t="shared" si="4"/>
        <v>1.9206179733936797</v>
      </c>
      <c r="AA17" s="8">
        <f t="shared" si="4"/>
        <v>1.2101420873382647</v>
      </c>
    </row>
    <row r="19" spans="1:27" ht="15" x14ac:dyDescent="0.2">
      <c r="A19" s="10" t="s">
        <v>187</v>
      </c>
      <c r="C19" s="8">
        <v>1</v>
      </c>
      <c r="D19" s="8">
        <v>1</v>
      </c>
      <c r="E19" s="8">
        <v>1</v>
      </c>
    </row>
    <row r="20" spans="1:27" ht="15" x14ac:dyDescent="0.2">
      <c r="A20" s="9" t="s">
        <v>63</v>
      </c>
      <c r="C20" s="8">
        <v>1271.8869999999999</v>
      </c>
      <c r="D20" s="8">
        <v>1242.4570000000001</v>
      </c>
      <c r="E20" s="8">
        <v>565.70699999999999</v>
      </c>
      <c r="F20" s="16">
        <v>1244.4380000000001</v>
      </c>
      <c r="G20" s="16">
        <v>1679.8240000000001</v>
      </c>
      <c r="H20" s="16">
        <v>1634.6089999999999</v>
      </c>
      <c r="I20" s="16">
        <v>880.16399999999999</v>
      </c>
      <c r="J20" s="16">
        <v>734.50699999999995</v>
      </c>
      <c r="K20" s="16">
        <v>2294.6950000000002</v>
      </c>
      <c r="L20" s="16">
        <v>2011.5229999999999</v>
      </c>
      <c r="M20" s="16">
        <v>682.42200000000003</v>
      </c>
      <c r="N20" s="16">
        <v>978.17600000000004</v>
      </c>
    </row>
    <row r="21" spans="1:27" ht="15" x14ac:dyDescent="0.2">
      <c r="A21" s="9" t="s">
        <v>62</v>
      </c>
      <c r="C21" s="8">
        <f t="shared" ref="C21:N21" si="5">C20-$B$7</f>
        <v>1043.7919999999999</v>
      </c>
      <c r="D21" s="8">
        <f t="shared" si="5"/>
        <v>1014.3620000000001</v>
      </c>
      <c r="E21" s="8">
        <f t="shared" si="5"/>
        <v>337.61199999999997</v>
      </c>
      <c r="F21" s="16">
        <f t="shared" si="5"/>
        <v>1016.3430000000001</v>
      </c>
      <c r="G21" s="16">
        <f t="shared" si="5"/>
        <v>1451.729</v>
      </c>
      <c r="H21" s="16">
        <f t="shared" si="5"/>
        <v>1406.5139999999999</v>
      </c>
      <c r="I21" s="16">
        <f t="shared" si="5"/>
        <v>652.06899999999996</v>
      </c>
      <c r="J21" s="16">
        <f t="shared" si="5"/>
        <v>506.41199999999992</v>
      </c>
      <c r="K21" s="16">
        <f t="shared" si="5"/>
        <v>2066.6000000000004</v>
      </c>
      <c r="L21" s="16">
        <f t="shared" si="5"/>
        <v>1783.4279999999999</v>
      </c>
      <c r="M21" s="16">
        <f t="shared" si="5"/>
        <v>454.327</v>
      </c>
      <c r="N21" s="16">
        <f t="shared" si="5"/>
        <v>750.08100000000002</v>
      </c>
    </row>
    <row r="22" spans="1:27" ht="15" x14ac:dyDescent="0.2">
      <c r="A22" s="9" t="s">
        <v>61</v>
      </c>
      <c r="C22" s="8">
        <v>5.0389999999999997</v>
      </c>
      <c r="D22" s="8">
        <v>3.1640000000000001</v>
      </c>
      <c r="E22" s="8">
        <v>10.145</v>
      </c>
      <c r="F22" s="16">
        <v>4.5279999999999996</v>
      </c>
      <c r="G22" s="16">
        <v>3.5880000000000001</v>
      </c>
      <c r="H22" s="16">
        <v>4.3209999999999997</v>
      </c>
      <c r="I22" s="16">
        <v>4.6360000000000001</v>
      </c>
      <c r="J22" s="16">
        <v>4.47</v>
      </c>
      <c r="K22" s="16">
        <v>1.75</v>
      </c>
      <c r="L22" s="16">
        <v>1.9830000000000001</v>
      </c>
      <c r="M22" s="16">
        <v>1.546</v>
      </c>
      <c r="N22" s="16">
        <v>2.1560000000000001</v>
      </c>
    </row>
    <row r="23" spans="1:27" ht="15" x14ac:dyDescent="0.2">
      <c r="A23" s="9" t="s">
        <v>60</v>
      </c>
      <c r="C23" s="8">
        <f t="shared" ref="C23:N23" si="6">SQRT((C22^2)+4)</f>
        <v>5.4213947467418375</v>
      </c>
      <c r="D23" s="8">
        <f t="shared" si="6"/>
        <v>3.7431131428264361</v>
      </c>
      <c r="E23" s="8">
        <f t="shared" si="6"/>
        <v>10.340262327426707</v>
      </c>
      <c r="F23" s="8">
        <f t="shared" si="6"/>
        <v>4.9500286867855623</v>
      </c>
      <c r="G23" s="8">
        <f t="shared" si="6"/>
        <v>4.1077663029924185</v>
      </c>
      <c r="H23" s="8">
        <f t="shared" si="6"/>
        <v>4.7614116604217278</v>
      </c>
      <c r="I23" s="8">
        <f t="shared" si="6"/>
        <v>5.0490094077947614</v>
      </c>
      <c r="J23" s="8">
        <f t="shared" si="6"/>
        <v>4.897029711978476</v>
      </c>
      <c r="K23" s="8">
        <f t="shared" si="6"/>
        <v>2.6575364531836625</v>
      </c>
      <c r="L23" s="8">
        <f t="shared" si="6"/>
        <v>2.816431962608009</v>
      </c>
      <c r="M23" s="8">
        <f t="shared" si="6"/>
        <v>2.5278678762941706</v>
      </c>
      <c r="N23" s="8">
        <f t="shared" si="6"/>
        <v>2.9408053318776477</v>
      </c>
    </row>
    <row r="24" spans="1:27" ht="15" x14ac:dyDescent="0.2">
      <c r="A24" s="9" t="s">
        <v>59</v>
      </c>
      <c r="F24" s="8">
        <f t="shared" ref="F24:N24" si="7">F21/$E$4</f>
        <v>1.0107462010067312</v>
      </c>
      <c r="G24" s="8">
        <f t="shared" si="7"/>
        <v>1.4437346167989555</v>
      </c>
      <c r="H24" s="8">
        <f t="shared" si="7"/>
        <v>1.3987686068214977</v>
      </c>
      <c r="I24" s="8">
        <f t="shared" si="7"/>
        <v>0.64847818555768888</v>
      </c>
      <c r="J24" s="8">
        <f t="shared" si="7"/>
        <v>0.50362328972032144</v>
      </c>
      <c r="K24" s="8">
        <f t="shared" si="7"/>
        <v>2.0552196443528525</v>
      </c>
      <c r="L24" s="8">
        <f t="shared" si="7"/>
        <v>1.7736070163016151</v>
      </c>
      <c r="M24" s="8">
        <f t="shared" si="7"/>
        <v>0.45182511146806259</v>
      </c>
      <c r="N24" s="8">
        <f t="shared" si="7"/>
        <v>0.74595045294485218</v>
      </c>
    </row>
    <row r="26" spans="1:27" ht="15" x14ac:dyDescent="0.2">
      <c r="A26" s="10" t="s">
        <v>186</v>
      </c>
      <c r="C26" s="8">
        <v>1</v>
      </c>
    </row>
    <row r="27" spans="1:27" ht="15" x14ac:dyDescent="0.2">
      <c r="A27" s="9" t="s">
        <v>63</v>
      </c>
      <c r="C27" s="8">
        <v>572.82399999999996</v>
      </c>
      <c r="D27" s="8">
        <v>759.20699999999999</v>
      </c>
    </row>
    <row r="28" spans="1:27" ht="15" x14ac:dyDescent="0.2">
      <c r="A28" s="9" t="s">
        <v>62</v>
      </c>
      <c r="C28" s="8">
        <f>C27-$B$7</f>
        <v>344.72899999999993</v>
      </c>
      <c r="D28" s="8">
        <f>D27-$B$7</f>
        <v>531.11199999999997</v>
      </c>
    </row>
    <row r="29" spans="1:27" ht="15" x14ac:dyDescent="0.2">
      <c r="A29" s="9" t="s">
        <v>61</v>
      </c>
      <c r="C29" s="8">
        <v>10.169</v>
      </c>
      <c r="D29" s="8">
        <v>1.873</v>
      </c>
    </row>
    <row r="30" spans="1:27" ht="15" x14ac:dyDescent="0.2">
      <c r="A30" s="9" t="s">
        <v>60</v>
      </c>
      <c r="C30" s="8">
        <f>SQRT((C29^2)+9)</f>
        <v>10.602290365765315</v>
      </c>
      <c r="D30" s="8">
        <f>SQRT((D29^2)+9)</f>
        <v>3.5366833332940626</v>
      </c>
    </row>
    <row r="31" spans="1:27" ht="15" x14ac:dyDescent="0.2">
      <c r="A31" s="9" t="s">
        <v>59</v>
      </c>
      <c r="D31" s="8">
        <f>D28/$E$4</f>
        <v>0.52818727172724855</v>
      </c>
    </row>
    <row r="33" spans="1:1" ht="15" x14ac:dyDescent="0.2">
      <c r="A33" s="9"/>
    </row>
    <row r="34" spans="1:1" ht="15" x14ac:dyDescent="0.2">
      <c r="A34" s="9"/>
    </row>
    <row r="35" spans="1:1" ht="15" x14ac:dyDescent="0.2">
      <c r="A35" s="9"/>
    </row>
    <row r="36" spans="1:1" ht="15" x14ac:dyDescent="0.2">
      <c r="A36" s="9"/>
    </row>
    <row r="37" spans="1:1" ht="15" x14ac:dyDescent="0.2">
      <c r="A37" s="9"/>
    </row>
    <row r="38" spans="1:1" ht="15" x14ac:dyDescent="0.2">
      <c r="A38" s="9"/>
    </row>
    <row r="40" spans="1:1" ht="15" x14ac:dyDescent="0.2">
      <c r="A40" s="9"/>
    </row>
    <row r="41" spans="1:1" ht="15" x14ac:dyDescent="0.2">
      <c r="A41" s="9"/>
    </row>
    <row r="42" spans="1:1" ht="15" x14ac:dyDescent="0.2">
      <c r="A42" s="9"/>
    </row>
    <row r="43" spans="1:1" ht="15" x14ac:dyDescent="0.2">
      <c r="A43" s="9"/>
    </row>
    <row r="44" spans="1:1" ht="15" x14ac:dyDescent="0.2">
      <c r="A44" s="9"/>
    </row>
    <row r="45" spans="1:1" ht="15" x14ac:dyDescent="0.2">
      <c r="A45" s="9"/>
    </row>
    <row r="47" spans="1:1" ht="15" x14ac:dyDescent="0.2">
      <c r="A47" s="9"/>
    </row>
    <row r="48" spans="1:1" ht="15" x14ac:dyDescent="0.2">
      <c r="A48" s="9"/>
    </row>
    <row r="49" spans="1:1" ht="15" x14ac:dyDescent="0.2">
      <c r="A49" s="9"/>
    </row>
    <row r="50" spans="1:1" ht="15" x14ac:dyDescent="0.2">
      <c r="A50" s="9"/>
    </row>
    <row r="51" spans="1:1" ht="15" x14ac:dyDescent="0.2">
      <c r="A51" s="9"/>
    </row>
    <row r="52" spans="1:1" ht="15" x14ac:dyDescent="0.2">
      <c r="A52" s="9"/>
    </row>
    <row r="54" spans="1:1" ht="15" x14ac:dyDescent="0.2">
      <c r="A54" s="9"/>
    </row>
    <row r="55" spans="1:1" ht="15" x14ac:dyDescent="0.2">
      <c r="A55" s="9"/>
    </row>
    <row r="56" spans="1:1" ht="15" x14ac:dyDescent="0.2">
      <c r="A56" s="9"/>
    </row>
    <row r="57" spans="1:1" ht="15" x14ac:dyDescent="0.2">
      <c r="A57" s="9"/>
    </row>
    <row r="58" spans="1:1" ht="15" x14ac:dyDescent="0.2">
      <c r="A58" s="9"/>
    </row>
    <row r="59" spans="1:1" ht="15" x14ac:dyDescent="0.2">
      <c r="A59" s="9"/>
    </row>
    <row r="61" spans="1:1" ht="15" x14ac:dyDescent="0.2">
      <c r="A61" s="9"/>
    </row>
    <row r="62" spans="1:1" ht="15" x14ac:dyDescent="0.2">
      <c r="A62" s="9"/>
    </row>
    <row r="63" spans="1:1" ht="15" x14ac:dyDescent="0.2">
      <c r="A63" s="9"/>
    </row>
    <row r="64" spans="1:1" ht="15" x14ac:dyDescent="0.2">
      <c r="A64" s="9"/>
    </row>
    <row r="65" spans="1:13" ht="15" x14ac:dyDescent="0.2">
      <c r="A65" s="9"/>
    </row>
    <row r="66" spans="1:13" ht="15" x14ac:dyDescent="0.2">
      <c r="A66" s="9"/>
      <c r="J66" s="8">
        <f>J63/$E$4</f>
        <v>0</v>
      </c>
      <c r="K66" s="8">
        <f>K63/$E$4</f>
        <v>0</v>
      </c>
      <c r="L66" s="8">
        <f>L63/$E$4</f>
        <v>0</v>
      </c>
      <c r="M66" s="8">
        <f>M63/$E$4</f>
        <v>0</v>
      </c>
    </row>
    <row r="68" spans="1:13" ht="15" x14ac:dyDescent="0.2">
      <c r="A68" s="9"/>
    </row>
    <row r="69" spans="1:13" ht="15" x14ac:dyDescent="0.2">
      <c r="A69" s="9"/>
      <c r="D69" s="11"/>
    </row>
    <row r="70" spans="1:13" ht="15" x14ac:dyDescent="0.2">
      <c r="A70" s="9"/>
    </row>
    <row r="71" spans="1:13" ht="15" x14ac:dyDescent="0.2">
      <c r="A71" s="9"/>
    </row>
    <row r="72" spans="1:13" ht="15" x14ac:dyDescent="0.2">
      <c r="A72" s="9"/>
    </row>
    <row r="73" spans="1:13" ht="15" x14ac:dyDescent="0.2">
      <c r="A73" s="9"/>
    </row>
    <row r="75" spans="1:13" ht="15" x14ac:dyDescent="0.2">
      <c r="A75" s="9"/>
    </row>
    <row r="76" spans="1:13" ht="15" x14ac:dyDescent="0.2">
      <c r="A76" s="9"/>
    </row>
    <row r="77" spans="1:13" ht="15" x14ac:dyDescent="0.2">
      <c r="A77" s="9"/>
    </row>
    <row r="78" spans="1:13" ht="15" x14ac:dyDescent="0.2">
      <c r="A78" s="9"/>
    </row>
    <row r="79" spans="1:13" ht="15" x14ac:dyDescent="0.2">
      <c r="A79" s="9"/>
    </row>
    <row r="80" spans="1:13" ht="15" x14ac:dyDescent="0.2">
      <c r="A80" s="9"/>
    </row>
  </sheetData>
  <mergeCells count="1">
    <mergeCell ref="G4:H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9CC7-D186-E84C-8001-81E91CEC05D5}">
  <sheetPr>
    <outlinePr summaryBelow="0" summaryRight="0"/>
  </sheetPr>
  <dimension ref="A1:AG80"/>
  <sheetViews>
    <sheetView workbookViewId="0">
      <selection activeCell="E67" sqref="E67"/>
    </sheetView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33" ht="16" x14ac:dyDescent="0.2">
      <c r="A1" s="12" t="s">
        <v>75</v>
      </c>
      <c r="B1" s="12"/>
      <c r="C1" s="15">
        <v>45166</v>
      </c>
      <c r="D1" s="12"/>
      <c r="E1" s="12"/>
      <c r="F1" s="12"/>
      <c r="G1" s="12"/>
      <c r="H1" s="12"/>
    </row>
    <row r="2" spans="1:33" ht="16" x14ac:dyDescent="0.2">
      <c r="A2" s="12"/>
      <c r="B2" s="12"/>
      <c r="C2" s="12"/>
      <c r="D2" s="12"/>
      <c r="E2" s="12"/>
      <c r="F2" s="12"/>
      <c r="G2" s="12"/>
      <c r="H2" s="12"/>
    </row>
    <row r="3" spans="1:33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33" ht="16" x14ac:dyDescent="0.2">
      <c r="A4" s="12" t="s">
        <v>27</v>
      </c>
      <c r="B4" s="13">
        <v>43.725999999999999</v>
      </c>
      <c r="C4" s="12"/>
      <c r="D4" s="12" t="s">
        <v>73</v>
      </c>
      <c r="E4" s="13">
        <f>AVERAGE(C8,D8,E8,F8,G8,H8,C14,D14,C21,C42,D42,C49,D49,E49,C56)</f>
        <v>218.03166666666664</v>
      </c>
      <c r="F4" s="12"/>
      <c r="G4" s="55" t="s">
        <v>72</v>
      </c>
      <c r="H4" s="56"/>
      <c r="J4" s="17"/>
      <c r="K4" s="17"/>
      <c r="L4" s="17"/>
      <c r="M4" s="17"/>
      <c r="N4" s="17"/>
      <c r="O4" s="17"/>
      <c r="P4" s="17"/>
    </row>
    <row r="5" spans="1:33" ht="16" x14ac:dyDescent="0.2">
      <c r="A5" s="12"/>
      <c r="B5" s="12"/>
      <c r="C5" s="12"/>
      <c r="D5" s="12"/>
      <c r="E5" s="12"/>
      <c r="F5" s="12"/>
      <c r="G5" s="17"/>
      <c r="H5" s="16"/>
      <c r="I5" s="21"/>
      <c r="J5" s="17"/>
      <c r="K5" s="17"/>
      <c r="L5" s="17"/>
      <c r="M5" s="17"/>
      <c r="N5" s="17"/>
      <c r="O5" s="17"/>
      <c r="P5" s="17"/>
    </row>
    <row r="6" spans="1:33" ht="15" x14ac:dyDescent="0.2">
      <c r="A6" s="10" t="s">
        <v>197</v>
      </c>
      <c r="B6" s="14" t="s">
        <v>70</v>
      </c>
      <c r="C6" s="8">
        <v>1</v>
      </c>
      <c r="D6" s="8">
        <v>1</v>
      </c>
      <c r="E6" s="8">
        <v>1</v>
      </c>
      <c r="F6" s="8">
        <v>1</v>
      </c>
      <c r="G6" s="16">
        <v>1</v>
      </c>
      <c r="H6" s="16">
        <v>1</v>
      </c>
      <c r="J6" s="16"/>
      <c r="K6" s="16"/>
      <c r="L6" s="16"/>
      <c r="M6" s="16"/>
      <c r="N6" s="16"/>
      <c r="O6" s="16"/>
      <c r="P6" s="16"/>
    </row>
    <row r="7" spans="1:33" ht="16" x14ac:dyDescent="0.2">
      <c r="A7" s="9" t="s">
        <v>63</v>
      </c>
      <c r="B7" s="13">
        <v>215.72800000000001</v>
      </c>
      <c r="C7" s="8">
        <v>424.41399999999999</v>
      </c>
      <c r="D7" s="8">
        <v>370.68</v>
      </c>
      <c r="E7" s="8">
        <v>448.77</v>
      </c>
      <c r="F7" s="8">
        <v>444.91800000000001</v>
      </c>
      <c r="G7" s="16">
        <v>418.70699999999999</v>
      </c>
      <c r="H7" s="16">
        <v>414.53100000000001</v>
      </c>
      <c r="I7" s="16">
        <v>331.71899999999999</v>
      </c>
      <c r="J7" s="16">
        <v>753.77</v>
      </c>
      <c r="K7" s="16">
        <v>589.17999999999995</v>
      </c>
      <c r="L7" s="16">
        <v>816.86699999999996</v>
      </c>
      <c r="M7" s="16">
        <v>370.21899999999999</v>
      </c>
      <c r="N7" s="16">
        <v>303.21899999999999</v>
      </c>
      <c r="O7" s="16">
        <v>541.92999999999995</v>
      </c>
      <c r="P7" s="16">
        <v>825.20699999999999</v>
      </c>
      <c r="Q7" s="8">
        <v>1216.8240000000001</v>
      </c>
      <c r="R7" s="8">
        <v>1286.57</v>
      </c>
      <c r="S7" s="8">
        <v>800.21100000000001</v>
      </c>
      <c r="T7" s="8">
        <v>1838.07</v>
      </c>
      <c r="U7" s="8">
        <v>1467.9770000000001</v>
      </c>
      <c r="V7" s="8">
        <v>789.32</v>
      </c>
      <c r="W7" s="8">
        <v>585.64099999999996</v>
      </c>
      <c r="X7" s="8">
        <v>434.52699999999999</v>
      </c>
    </row>
    <row r="8" spans="1:33" ht="16" x14ac:dyDescent="0.2">
      <c r="A8" s="9" t="s">
        <v>62</v>
      </c>
      <c r="B8" s="12"/>
      <c r="C8" s="8">
        <f t="shared" ref="C8:X8" si="0">C7-$B$7</f>
        <v>208.68599999999998</v>
      </c>
      <c r="D8" s="8">
        <f t="shared" si="0"/>
        <v>154.952</v>
      </c>
      <c r="E8" s="8">
        <f t="shared" si="0"/>
        <v>233.04199999999997</v>
      </c>
      <c r="F8" s="8">
        <f t="shared" si="0"/>
        <v>229.19</v>
      </c>
      <c r="G8" s="16">
        <f t="shared" si="0"/>
        <v>202.97899999999998</v>
      </c>
      <c r="H8" s="16">
        <f t="shared" si="0"/>
        <v>198.803</v>
      </c>
      <c r="I8" s="16">
        <f t="shared" si="0"/>
        <v>115.99099999999999</v>
      </c>
      <c r="J8" s="8">
        <f t="shared" si="0"/>
        <v>538.04199999999992</v>
      </c>
      <c r="K8" s="8">
        <f t="shared" si="0"/>
        <v>373.45199999999994</v>
      </c>
      <c r="L8" s="8">
        <f t="shared" si="0"/>
        <v>601.1389999999999</v>
      </c>
      <c r="M8" s="8">
        <f t="shared" si="0"/>
        <v>154.49099999999999</v>
      </c>
      <c r="N8" s="8">
        <f t="shared" si="0"/>
        <v>87.490999999999985</v>
      </c>
      <c r="O8" s="8">
        <f t="shared" si="0"/>
        <v>326.20199999999994</v>
      </c>
      <c r="P8" s="8">
        <f t="shared" si="0"/>
        <v>609.47900000000004</v>
      </c>
      <c r="Q8" s="8">
        <f t="shared" si="0"/>
        <v>1001.096</v>
      </c>
      <c r="R8" s="8">
        <f t="shared" si="0"/>
        <v>1070.8419999999999</v>
      </c>
      <c r="S8" s="8">
        <f t="shared" si="0"/>
        <v>584.48299999999995</v>
      </c>
      <c r="T8" s="8">
        <f t="shared" si="0"/>
        <v>1622.3419999999999</v>
      </c>
      <c r="U8" s="8">
        <f t="shared" si="0"/>
        <v>1252.249</v>
      </c>
      <c r="V8" s="8">
        <f t="shared" si="0"/>
        <v>573.5920000000001</v>
      </c>
      <c r="W8" s="8">
        <f t="shared" si="0"/>
        <v>369.91299999999995</v>
      </c>
      <c r="X8" s="8">
        <f t="shared" si="0"/>
        <v>218.79899999999998</v>
      </c>
    </row>
    <row r="9" spans="1:33" ht="16" x14ac:dyDescent="0.2">
      <c r="A9" s="9" t="s">
        <v>61</v>
      </c>
      <c r="B9" s="12"/>
      <c r="C9" s="8">
        <v>4.9279999999999999</v>
      </c>
      <c r="D9" s="8">
        <v>3.593</v>
      </c>
      <c r="E9" s="8">
        <v>15.893000000000001</v>
      </c>
      <c r="F9" s="8">
        <v>6.8440000000000003</v>
      </c>
      <c r="G9" s="16">
        <v>11.34</v>
      </c>
      <c r="H9" s="16">
        <v>2.9740000000000002</v>
      </c>
      <c r="I9" s="16">
        <v>5.7030000000000003</v>
      </c>
      <c r="J9" s="16">
        <v>1.175</v>
      </c>
      <c r="K9" s="16">
        <v>2.61</v>
      </c>
      <c r="L9" s="16">
        <v>5.2320000000000002</v>
      </c>
      <c r="M9" s="16">
        <v>6.36</v>
      </c>
      <c r="N9" s="16">
        <v>7.0069999999999997</v>
      </c>
      <c r="O9" s="16">
        <v>7.8049999999999997</v>
      </c>
      <c r="P9" s="16">
        <v>8.1340000000000003</v>
      </c>
      <c r="Q9" s="8">
        <v>2.0289999999999999</v>
      </c>
      <c r="R9" s="8">
        <v>2.2559999999999998</v>
      </c>
      <c r="S9" s="8">
        <v>1.486</v>
      </c>
      <c r="T9" s="8">
        <v>2.798</v>
      </c>
      <c r="U9" s="8">
        <v>2.319</v>
      </c>
      <c r="V9" s="8">
        <v>3.2469999999999999</v>
      </c>
      <c r="W9" s="8">
        <v>4.9169999999999998</v>
      </c>
      <c r="X9" s="8">
        <v>5.4470000000000001</v>
      </c>
    </row>
    <row r="10" spans="1:33" ht="16" x14ac:dyDescent="0.2">
      <c r="A10" s="9" t="s">
        <v>59</v>
      </c>
      <c r="B10" s="12"/>
      <c r="I10" s="17">
        <f t="shared" ref="I10:X10" si="1">I8/$E$4</f>
        <v>0.5319915302822984</v>
      </c>
      <c r="J10" s="17">
        <f t="shared" si="1"/>
        <v>2.467724107354436</v>
      </c>
      <c r="K10" s="17">
        <f t="shared" si="1"/>
        <v>1.712833762679733</v>
      </c>
      <c r="L10" s="17">
        <f t="shared" si="1"/>
        <v>2.7571178498536146</v>
      </c>
      <c r="M10" s="17">
        <f t="shared" si="1"/>
        <v>0.70857138489057403</v>
      </c>
      <c r="N10" s="17">
        <f t="shared" si="1"/>
        <v>0.40127657297487368</v>
      </c>
      <c r="O10" s="17">
        <f t="shared" si="1"/>
        <v>1.4961221229332129</v>
      </c>
      <c r="P10" s="17">
        <f t="shared" si="1"/>
        <v>2.7953691742025248</v>
      </c>
      <c r="Q10" s="17">
        <f t="shared" si="1"/>
        <v>4.5915165228292532</v>
      </c>
      <c r="R10" s="17">
        <f t="shared" si="1"/>
        <v>4.9114058355437669</v>
      </c>
      <c r="S10" s="17">
        <f t="shared" si="1"/>
        <v>2.6807252769093175</v>
      </c>
      <c r="T10" s="17">
        <f t="shared" si="1"/>
        <v>7.4408549216856885</v>
      </c>
      <c r="U10" s="17">
        <f t="shared" si="1"/>
        <v>5.7434271780093118</v>
      </c>
      <c r="V10" s="17">
        <f t="shared" si="1"/>
        <v>2.6307738172589619</v>
      </c>
      <c r="W10" s="17">
        <f t="shared" si="1"/>
        <v>1.6966021755249621</v>
      </c>
      <c r="X10" s="17">
        <f t="shared" si="1"/>
        <v>1.0035193664528854</v>
      </c>
    </row>
    <row r="11" spans="1:33" ht="15.75" customHeight="1" x14ac:dyDescent="0.2">
      <c r="J11" s="16"/>
      <c r="K11" s="17"/>
      <c r="L11" s="17"/>
      <c r="M11" s="17"/>
      <c r="N11" s="17"/>
      <c r="O11" s="17"/>
      <c r="P11" s="17"/>
    </row>
    <row r="12" spans="1:33" ht="15" x14ac:dyDescent="0.2">
      <c r="A12" s="10" t="s">
        <v>196</v>
      </c>
      <c r="C12" s="8">
        <v>1</v>
      </c>
      <c r="D12" s="8">
        <v>1</v>
      </c>
      <c r="F12" s="21"/>
      <c r="G12" s="21"/>
      <c r="J12" s="16"/>
      <c r="P12" s="17"/>
      <c r="Q12" s="17"/>
      <c r="R12" s="17"/>
      <c r="S12" s="17"/>
      <c r="T12" s="17"/>
      <c r="U12" s="17"/>
      <c r="V12" s="17"/>
    </row>
    <row r="13" spans="1:33" ht="15" x14ac:dyDescent="0.2">
      <c r="A13" s="9" t="s">
        <v>63</v>
      </c>
      <c r="C13" s="8">
        <v>418.34399999999999</v>
      </c>
      <c r="D13" s="8">
        <v>385.24599999999998</v>
      </c>
      <c r="E13" s="8">
        <v>673.89499999999998</v>
      </c>
      <c r="F13" s="8">
        <v>643.57000000000005</v>
      </c>
      <c r="G13" s="8">
        <v>331.75</v>
      </c>
      <c r="H13" s="8">
        <v>945.63300000000004</v>
      </c>
      <c r="I13" s="8">
        <v>820.02</v>
      </c>
      <c r="J13" s="16">
        <v>825.52700000000004</v>
      </c>
      <c r="K13" s="8">
        <v>426.07799999999997</v>
      </c>
      <c r="L13" s="8">
        <v>673.21500000000003</v>
      </c>
      <c r="M13" s="8">
        <v>1098.6880000000001</v>
      </c>
      <c r="N13" s="8">
        <v>1381.1880000000001</v>
      </c>
      <c r="O13" s="8">
        <v>919.00800000000004</v>
      </c>
      <c r="P13" s="17">
        <v>549.89499999999998</v>
      </c>
      <c r="Q13" s="17">
        <v>550.82000000000005</v>
      </c>
      <c r="R13" s="17">
        <v>721.07799999999997</v>
      </c>
      <c r="S13" s="16">
        <v>648.37099999999998</v>
      </c>
      <c r="T13" s="17">
        <v>389.60899999999998</v>
      </c>
      <c r="U13" s="17">
        <v>403.35199999999998</v>
      </c>
      <c r="V13" s="17">
        <v>421.38299999999998</v>
      </c>
      <c r="W13" s="8">
        <v>472.9</v>
      </c>
      <c r="X13" s="8">
        <v>953.46500000000003</v>
      </c>
      <c r="Y13" s="8">
        <v>1218.3440000000001</v>
      </c>
      <c r="Z13" s="8">
        <v>1954.8910000000001</v>
      </c>
      <c r="AA13" s="8">
        <v>743.36699999999996</v>
      </c>
      <c r="AB13" s="8">
        <v>653.92999999999995</v>
      </c>
      <c r="AC13" s="8">
        <v>645.81200000000001</v>
      </c>
      <c r="AD13" s="8">
        <v>713.71900000000005</v>
      </c>
      <c r="AE13" s="8">
        <v>483.12099999999998</v>
      </c>
      <c r="AF13" s="8">
        <v>330.91399999999999</v>
      </c>
      <c r="AG13" s="8">
        <v>350.75</v>
      </c>
    </row>
    <row r="14" spans="1:33" ht="15" x14ac:dyDescent="0.2">
      <c r="A14" s="9" t="s">
        <v>62</v>
      </c>
      <c r="C14" s="8">
        <f t="shared" ref="C14:AG14" si="2">C13-$B$7</f>
        <v>202.61599999999999</v>
      </c>
      <c r="D14" s="8">
        <f t="shared" si="2"/>
        <v>169.51799999999997</v>
      </c>
      <c r="E14" s="8">
        <f t="shared" si="2"/>
        <v>458.16699999999997</v>
      </c>
      <c r="F14" s="8">
        <f t="shared" si="2"/>
        <v>427.84200000000004</v>
      </c>
      <c r="G14" s="8">
        <f t="shared" si="2"/>
        <v>116.02199999999999</v>
      </c>
      <c r="H14" s="8">
        <f t="shared" si="2"/>
        <v>729.90499999999997</v>
      </c>
      <c r="I14" s="8">
        <f t="shared" si="2"/>
        <v>604.29199999999992</v>
      </c>
      <c r="J14" s="8">
        <f t="shared" si="2"/>
        <v>609.79899999999998</v>
      </c>
      <c r="K14" s="8">
        <f t="shared" si="2"/>
        <v>210.34999999999997</v>
      </c>
      <c r="L14" s="8">
        <f t="shared" si="2"/>
        <v>457.48700000000002</v>
      </c>
      <c r="M14" s="8">
        <f t="shared" si="2"/>
        <v>882.96</v>
      </c>
      <c r="N14" s="8">
        <f t="shared" si="2"/>
        <v>1165.46</v>
      </c>
      <c r="O14" s="8">
        <f t="shared" si="2"/>
        <v>703.28</v>
      </c>
      <c r="P14" s="8">
        <f t="shared" si="2"/>
        <v>334.16699999999997</v>
      </c>
      <c r="Q14" s="8">
        <f t="shared" si="2"/>
        <v>335.09200000000004</v>
      </c>
      <c r="R14" s="8">
        <f t="shared" si="2"/>
        <v>505.34999999999997</v>
      </c>
      <c r="S14" s="8">
        <f t="shared" si="2"/>
        <v>432.64299999999997</v>
      </c>
      <c r="T14" s="8">
        <f t="shared" si="2"/>
        <v>173.88099999999997</v>
      </c>
      <c r="U14" s="8">
        <f t="shared" si="2"/>
        <v>187.62399999999997</v>
      </c>
      <c r="V14" s="8">
        <f t="shared" si="2"/>
        <v>205.65499999999997</v>
      </c>
      <c r="W14" s="8">
        <f t="shared" si="2"/>
        <v>257.17199999999997</v>
      </c>
      <c r="X14" s="8">
        <f t="shared" si="2"/>
        <v>737.73700000000008</v>
      </c>
      <c r="Y14" s="8">
        <f t="shared" si="2"/>
        <v>1002.616</v>
      </c>
      <c r="Z14" s="8">
        <f t="shared" si="2"/>
        <v>1739.163</v>
      </c>
      <c r="AA14" s="8">
        <f t="shared" si="2"/>
        <v>527.6389999999999</v>
      </c>
      <c r="AB14" s="8">
        <f t="shared" si="2"/>
        <v>438.20199999999994</v>
      </c>
      <c r="AC14" s="8">
        <f t="shared" si="2"/>
        <v>430.084</v>
      </c>
      <c r="AD14" s="8">
        <f t="shared" si="2"/>
        <v>497.99100000000004</v>
      </c>
      <c r="AE14" s="8">
        <f t="shared" si="2"/>
        <v>267.39299999999997</v>
      </c>
      <c r="AF14" s="8">
        <f t="shared" si="2"/>
        <v>115.18599999999998</v>
      </c>
      <c r="AG14" s="8">
        <f t="shared" si="2"/>
        <v>135.02199999999999</v>
      </c>
    </row>
    <row r="15" spans="1:33" ht="15" x14ac:dyDescent="0.2">
      <c r="A15" s="9" t="s">
        <v>61</v>
      </c>
      <c r="C15" s="8">
        <v>8.0830000000000002</v>
      </c>
      <c r="D15" s="8">
        <v>11.384</v>
      </c>
      <c r="E15" s="8">
        <v>16.026</v>
      </c>
      <c r="F15" s="8">
        <v>9.3309999999999995</v>
      </c>
      <c r="G15" s="8">
        <v>3.7120000000000002</v>
      </c>
      <c r="H15" s="8">
        <v>5.7240000000000002</v>
      </c>
      <c r="I15" s="8">
        <v>6.407</v>
      </c>
      <c r="J15" s="8">
        <v>7.0229999999999997</v>
      </c>
      <c r="K15" s="8">
        <v>1.9370000000000001</v>
      </c>
      <c r="L15" s="8">
        <v>1.1519999999999999</v>
      </c>
      <c r="M15" s="8">
        <v>5.2050000000000001</v>
      </c>
      <c r="N15" s="8">
        <v>5.4480000000000004</v>
      </c>
      <c r="O15" s="8">
        <v>4.7039999999999997</v>
      </c>
      <c r="P15" s="17">
        <v>1.2270000000000001</v>
      </c>
      <c r="Q15" s="17">
        <v>1.5029999999999999</v>
      </c>
      <c r="R15" s="17">
        <v>0.72199999999999998</v>
      </c>
      <c r="S15" s="16">
        <v>0.25700000000000001</v>
      </c>
      <c r="T15" s="17">
        <v>1.976</v>
      </c>
      <c r="U15" s="17">
        <v>7.77</v>
      </c>
      <c r="V15" s="17">
        <v>8.0779999999999994</v>
      </c>
      <c r="W15" s="8">
        <v>3.008</v>
      </c>
      <c r="X15" s="8">
        <v>2.8159999999999998</v>
      </c>
      <c r="Y15" s="8">
        <v>2.2229999999999999</v>
      </c>
      <c r="Z15" s="8">
        <v>2.3879999999999999</v>
      </c>
      <c r="AA15" s="8">
        <v>2.2309999999999999</v>
      </c>
      <c r="AB15" s="8">
        <v>3.004</v>
      </c>
      <c r="AC15" s="8">
        <v>3.3879999999999999</v>
      </c>
      <c r="AD15" s="8">
        <v>3.306</v>
      </c>
      <c r="AE15" s="8">
        <v>1.91</v>
      </c>
      <c r="AF15" s="8">
        <v>1.8029999999999999</v>
      </c>
      <c r="AG15" s="8">
        <v>1.161</v>
      </c>
    </row>
    <row r="16" spans="1:33" ht="15" x14ac:dyDescent="0.2">
      <c r="A16" s="9" t="s">
        <v>60</v>
      </c>
      <c r="C16" s="8">
        <f t="shared" ref="C16:AG16" si="3">SQRT((C15^2)+1)</f>
        <v>8.1446233184844097</v>
      </c>
      <c r="D16" s="8">
        <f t="shared" si="3"/>
        <v>11.427836890680581</v>
      </c>
      <c r="E16" s="8">
        <f t="shared" si="3"/>
        <v>16.057168990827741</v>
      </c>
      <c r="F16" s="8">
        <f t="shared" si="3"/>
        <v>9.3844318421521926</v>
      </c>
      <c r="G16" s="8">
        <f t="shared" si="3"/>
        <v>3.8443392150017148</v>
      </c>
      <c r="H16" s="8">
        <f t="shared" si="3"/>
        <v>5.8106949670413774</v>
      </c>
      <c r="I16" s="8">
        <f t="shared" si="3"/>
        <v>6.4845700705598057</v>
      </c>
      <c r="J16" s="8">
        <f t="shared" si="3"/>
        <v>7.0938373959374061</v>
      </c>
      <c r="K16" s="8">
        <f t="shared" si="3"/>
        <v>2.1799011445476149</v>
      </c>
      <c r="L16" s="8">
        <f t="shared" si="3"/>
        <v>1.5254848409604076</v>
      </c>
      <c r="M16" s="8">
        <f t="shared" si="3"/>
        <v>5.3001910342930092</v>
      </c>
      <c r="N16" s="8">
        <f t="shared" si="3"/>
        <v>5.539016519202665</v>
      </c>
      <c r="O16" s="8">
        <f t="shared" si="3"/>
        <v>4.80911800645399</v>
      </c>
      <c r="P16" s="8">
        <f t="shared" si="3"/>
        <v>1.5828862877667493</v>
      </c>
      <c r="Q16" s="8">
        <f t="shared" si="3"/>
        <v>1.8052725555992923</v>
      </c>
      <c r="R16" s="8">
        <f t="shared" si="3"/>
        <v>1.2334034214319336</v>
      </c>
      <c r="S16" s="8">
        <f t="shared" si="3"/>
        <v>1.032496489098147</v>
      </c>
      <c r="T16" s="8">
        <f t="shared" si="3"/>
        <v>2.2146277339544</v>
      </c>
      <c r="U16" s="8">
        <f t="shared" si="3"/>
        <v>7.8340857794639955</v>
      </c>
      <c r="V16" s="8">
        <f t="shared" si="3"/>
        <v>8.1396611723093244</v>
      </c>
      <c r="W16" s="8">
        <f t="shared" si="3"/>
        <v>3.1698681360586596</v>
      </c>
      <c r="X16" s="8">
        <f t="shared" si="3"/>
        <v>2.9882864655183243</v>
      </c>
      <c r="Y16" s="8">
        <f t="shared" si="3"/>
        <v>2.4375662042291282</v>
      </c>
      <c r="Z16" s="8">
        <f t="shared" si="3"/>
        <v>2.5889271909422251</v>
      </c>
      <c r="AA16" s="8">
        <f t="shared" si="3"/>
        <v>2.4448642089081347</v>
      </c>
      <c r="AB16" s="8">
        <f t="shared" si="3"/>
        <v>3.1660726460395692</v>
      </c>
      <c r="AC16" s="8">
        <f t="shared" si="3"/>
        <v>3.5324982661000699</v>
      </c>
      <c r="AD16" s="8">
        <f t="shared" si="3"/>
        <v>3.4539305146455974</v>
      </c>
      <c r="AE16" s="8">
        <f t="shared" si="3"/>
        <v>2.1559452683219953</v>
      </c>
      <c r="AF16" s="8">
        <f t="shared" si="3"/>
        <v>2.0617490147930226</v>
      </c>
      <c r="AG16" s="8">
        <f t="shared" si="3"/>
        <v>1.5322927266028512</v>
      </c>
    </row>
    <row r="17" spans="1:33" ht="15" x14ac:dyDescent="0.2">
      <c r="A17" s="9" t="s">
        <v>59</v>
      </c>
      <c r="E17" s="8">
        <f t="shared" ref="E17:AG17" si="4">E14/$E$4</f>
        <v>2.1013782401638905</v>
      </c>
      <c r="F17" s="8">
        <f t="shared" si="4"/>
        <v>1.9622929390990609</v>
      </c>
      <c r="G17" s="8">
        <f t="shared" si="4"/>
        <v>0.53213371146393107</v>
      </c>
      <c r="H17" s="8">
        <f t="shared" si="4"/>
        <v>3.3477017864377503</v>
      </c>
      <c r="I17" s="8">
        <f t="shared" si="4"/>
        <v>2.7715790519725729</v>
      </c>
      <c r="J17" s="8">
        <f t="shared" si="4"/>
        <v>2.7968368509161516</v>
      </c>
      <c r="K17" s="8">
        <f t="shared" si="4"/>
        <v>0.96476811472339641</v>
      </c>
      <c r="L17" s="8">
        <f t="shared" si="4"/>
        <v>2.0982594271474331</v>
      </c>
      <c r="M17" s="8">
        <f t="shared" si="4"/>
        <v>4.0496869720759223</v>
      </c>
      <c r="N17" s="8">
        <f t="shared" si="4"/>
        <v>5.3453703208249577</v>
      </c>
      <c r="O17" s="8">
        <f t="shared" si="4"/>
        <v>3.225586497374235</v>
      </c>
      <c r="P17" s="8">
        <f t="shared" si="4"/>
        <v>1.5326535136333408</v>
      </c>
      <c r="Q17" s="8">
        <f t="shared" si="4"/>
        <v>1.5368960166336698</v>
      </c>
      <c r="R17" s="8">
        <f t="shared" si="4"/>
        <v>2.3177825850984952</v>
      </c>
      <c r="S17" s="8">
        <f t="shared" si="4"/>
        <v>1.9843126762931991</v>
      </c>
      <c r="T17" s="8">
        <f t="shared" si="4"/>
        <v>0.79750342075692371</v>
      </c>
      <c r="U17" s="8">
        <f t="shared" si="4"/>
        <v>0.86053554911748287</v>
      </c>
      <c r="V17" s="8">
        <f t="shared" si="4"/>
        <v>0.943234545440647</v>
      </c>
      <c r="W17" s="8">
        <f t="shared" si="4"/>
        <v>1.17951673686544</v>
      </c>
      <c r="X17" s="8">
        <f t="shared" si="4"/>
        <v>3.3836231740037772</v>
      </c>
      <c r="Y17" s="8">
        <f t="shared" si="4"/>
        <v>4.5984879872189826</v>
      </c>
      <c r="Z17" s="8">
        <f t="shared" si="4"/>
        <v>7.9766532384439577</v>
      </c>
      <c r="AA17" s="8">
        <f t="shared" si="4"/>
        <v>2.4200108546923609</v>
      </c>
      <c r="AB17" s="8">
        <f t="shared" si="4"/>
        <v>2.0098089727027419</v>
      </c>
      <c r="AC17" s="8">
        <f t="shared" si="4"/>
        <v>1.9725758490739116</v>
      </c>
      <c r="AD17" s="8">
        <f t="shared" si="4"/>
        <v>2.2840306071747993</v>
      </c>
      <c r="AE17" s="8">
        <f t="shared" si="4"/>
        <v>1.2263952483966396</v>
      </c>
      <c r="AF17" s="8">
        <f t="shared" si="4"/>
        <v>0.52829940604957992</v>
      </c>
      <c r="AG17" s="8">
        <f t="shared" si="4"/>
        <v>0.61927701633554766</v>
      </c>
    </row>
    <row r="18" spans="1:33" ht="15.75" customHeight="1" x14ac:dyDescent="0.2">
      <c r="P18" s="17"/>
      <c r="Q18" s="17"/>
      <c r="R18" s="17"/>
      <c r="S18" s="17"/>
      <c r="T18" s="17"/>
      <c r="U18" s="17"/>
      <c r="V18" s="17"/>
    </row>
    <row r="19" spans="1:33" ht="15" x14ac:dyDescent="0.2">
      <c r="A19" s="10" t="s">
        <v>195</v>
      </c>
      <c r="C19" s="8">
        <v>1</v>
      </c>
      <c r="P19" s="17"/>
      <c r="Q19" s="17"/>
      <c r="R19" s="17"/>
      <c r="S19" s="17"/>
      <c r="T19" s="17"/>
      <c r="U19" s="17"/>
      <c r="V19" s="17"/>
    </row>
    <row r="20" spans="1:33" ht="15" x14ac:dyDescent="0.2">
      <c r="A20" s="9" t="s">
        <v>63</v>
      </c>
      <c r="C20" s="8">
        <v>566.16</v>
      </c>
      <c r="D20" s="8">
        <v>372.238</v>
      </c>
      <c r="E20" s="8">
        <v>1194.672</v>
      </c>
      <c r="F20" s="8">
        <v>1161.1369999999999</v>
      </c>
      <c r="G20" s="8">
        <v>1025.8440000000001</v>
      </c>
      <c r="H20" s="8">
        <v>1047.0550000000001</v>
      </c>
      <c r="I20" s="8">
        <v>1328.4880000000001</v>
      </c>
      <c r="J20" s="8">
        <v>1142.8589999999999</v>
      </c>
      <c r="K20" s="8">
        <v>1533.1679999999999</v>
      </c>
      <c r="L20" s="8">
        <v>1010.191</v>
      </c>
      <c r="M20" s="8">
        <v>712.33600000000001</v>
      </c>
      <c r="N20" s="8">
        <v>429.12900000000002</v>
      </c>
      <c r="O20" s="8">
        <v>437.80900000000003</v>
      </c>
      <c r="P20" s="8">
        <v>354.63299999999998</v>
      </c>
      <c r="Q20" s="8">
        <v>1071.0550000000001</v>
      </c>
      <c r="R20" s="8">
        <v>1126.711</v>
      </c>
      <c r="S20" s="8">
        <v>987.81200000000001</v>
      </c>
      <c r="T20" s="8">
        <v>858.125</v>
      </c>
      <c r="U20" s="8">
        <v>1258.8789999999999</v>
      </c>
    </row>
    <row r="21" spans="1:33" ht="15" x14ac:dyDescent="0.2">
      <c r="A21" s="9" t="s">
        <v>62</v>
      </c>
      <c r="C21" s="8">
        <f t="shared" ref="C21:U21" si="5">C20-$B$7</f>
        <v>350.43199999999996</v>
      </c>
      <c r="D21" s="8">
        <f t="shared" si="5"/>
        <v>156.51</v>
      </c>
      <c r="E21" s="8">
        <f t="shared" si="5"/>
        <v>978.94399999999996</v>
      </c>
      <c r="F21" s="8">
        <f t="shared" si="5"/>
        <v>945.40899999999988</v>
      </c>
      <c r="G21" s="8">
        <f t="shared" si="5"/>
        <v>810.11599999999999</v>
      </c>
      <c r="H21" s="8">
        <f t="shared" si="5"/>
        <v>831.327</v>
      </c>
      <c r="I21" s="8">
        <f t="shared" si="5"/>
        <v>1112.76</v>
      </c>
      <c r="J21" s="8">
        <f t="shared" si="5"/>
        <v>927.13099999999986</v>
      </c>
      <c r="K21" s="8">
        <f t="shared" si="5"/>
        <v>1317.4399999999998</v>
      </c>
      <c r="L21" s="8">
        <f t="shared" si="5"/>
        <v>794.46299999999997</v>
      </c>
      <c r="M21" s="8">
        <f t="shared" si="5"/>
        <v>496.608</v>
      </c>
      <c r="N21" s="8">
        <f t="shared" si="5"/>
        <v>213.40100000000001</v>
      </c>
      <c r="O21" s="8">
        <f t="shared" si="5"/>
        <v>222.08100000000002</v>
      </c>
      <c r="P21" s="8">
        <f t="shared" si="5"/>
        <v>138.90499999999997</v>
      </c>
      <c r="Q21" s="8">
        <f t="shared" si="5"/>
        <v>855.327</v>
      </c>
      <c r="R21" s="8">
        <f t="shared" si="5"/>
        <v>910.98299999999995</v>
      </c>
      <c r="S21" s="8">
        <f t="shared" si="5"/>
        <v>772.08400000000006</v>
      </c>
      <c r="T21" s="8">
        <f t="shared" si="5"/>
        <v>642.39699999999993</v>
      </c>
      <c r="U21" s="8">
        <f t="shared" si="5"/>
        <v>1043.1509999999998</v>
      </c>
    </row>
    <row r="22" spans="1:33" ht="15" x14ac:dyDescent="0.2">
      <c r="A22" s="9" t="s">
        <v>61</v>
      </c>
      <c r="C22" s="8">
        <v>1.099</v>
      </c>
      <c r="D22" s="8">
        <v>9.2159999999999993</v>
      </c>
      <c r="E22" s="8">
        <v>5.1980000000000004</v>
      </c>
      <c r="F22" s="8">
        <v>5.4660000000000002</v>
      </c>
      <c r="G22" s="8">
        <v>4.6680000000000001</v>
      </c>
      <c r="H22" s="8">
        <v>1.855</v>
      </c>
      <c r="I22" s="8">
        <v>1.0720000000000001</v>
      </c>
      <c r="J22" s="8">
        <v>0.57999999999999996</v>
      </c>
      <c r="K22" s="8">
        <v>1.5309999999999999</v>
      </c>
      <c r="L22" s="8">
        <v>1.923</v>
      </c>
      <c r="M22" s="8">
        <v>0.92500000000000004</v>
      </c>
      <c r="N22" s="8">
        <v>5.702</v>
      </c>
      <c r="O22" s="8">
        <v>6.0970000000000004</v>
      </c>
      <c r="P22" s="8">
        <v>7.0570000000000004</v>
      </c>
      <c r="Q22" s="8">
        <v>2.181</v>
      </c>
      <c r="R22" s="8">
        <v>2.968</v>
      </c>
      <c r="S22" s="8">
        <v>3.024</v>
      </c>
      <c r="T22" s="8">
        <v>2.4169999999999998</v>
      </c>
      <c r="U22" s="8">
        <v>2.823</v>
      </c>
    </row>
    <row r="23" spans="1:33" ht="15" x14ac:dyDescent="0.2">
      <c r="A23" s="9" t="s">
        <v>60</v>
      </c>
      <c r="C23" s="8">
        <f t="shared" ref="C23:U23" si="6">SQRT((C22^2)+4)</f>
        <v>2.2820606915680397</v>
      </c>
      <c r="D23" s="8">
        <f t="shared" si="6"/>
        <v>9.4305172710726737</v>
      </c>
      <c r="E23" s="8">
        <f t="shared" si="6"/>
        <v>5.5694886659369374</v>
      </c>
      <c r="F23" s="8">
        <f t="shared" si="6"/>
        <v>5.8204085767238025</v>
      </c>
      <c r="G23" s="8">
        <f t="shared" si="6"/>
        <v>5.0784076244429217</v>
      </c>
      <c r="H23" s="8">
        <f t="shared" si="6"/>
        <v>2.7278242245423368</v>
      </c>
      <c r="I23" s="8">
        <f t="shared" si="6"/>
        <v>2.2691813501789584</v>
      </c>
      <c r="J23" s="8">
        <f t="shared" si="6"/>
        <v>2.0824024587000469</v>
      </c>
      <c r="K23" s="8">
        <f t="shared" si="6"/>
        <v>2.5187220966196331</v>
      </c>
      <c r="L23" s="8">
        <f t="shared" si="6"/>
        <v>2.7745141917099652</v>
      </c>
      <c r="M23" s="8">
        <f t="shared" si="6"/>
        <v>2.203548274942031</v>
      </c>
      <c r="N23" s="8">
        <f t="shared" si="6"/>
        <v>6.0425825604620416</v>
      </c>
      <c r="O23" s="8">
        <f t="shared" si="6"/>
        <v>6.4166509177295916</v>
      </c>
      <c r="P23" s="8">
        <f t="shared" si="6"/>
        <v>7.3349334693642589</v>
      </c>
      <c r="Q23" s="8">
        <f t="shared" si="6"/>
        <v>2.9591824884585947</v>
      </c>
      <c r="R23" s="8">
        <f t="shared" si="6"/>
        <v>3.578969684140954</v>
      </c>
      <c r="S23" s="8">
        <f t="shared" si="6"/>
        <v>3.6255449245596174</v>
      </c>
      <c r="T23" s="8">
        <f t="shared" si="6"/>
        <v>3.1371785094253082</v>
      </c>
      <c r="U23" s="8">
        <f t="shared" si="6"/>
        <v>3.4596718052439597</v>
      </c>
    </row>
    <row r="24" spans="1:33" ht="15" x14ac:dyDescent="0.2">
      <c r="A24" s="9" t="s">
        <v>59</v>
      </c>
      <c r="D24" s="8">
        <f t="shared" ref="D24:U24" si="7">D21/$E$4</f>
        <v>0.71783150765561587</v>
      </c>
      <c r="E24" s="8">
        <f t="shared" si="7"/>
        <v>4.4899166023284085</v>
      </c>
      <c r="F24" s="8">
        <f t="shared" si="7"/>
        <v>4.336108669230005</v>
      </c>
      <c r="G24" s="8">
        <f t="shared" si="7"/>
        <v>3.7155887141776045</v>
      </c>
      <c r="H24" s="8">
        <f t="shared" si="7"/>
        <v>3.8128727478424391</v>
      </c>
      <c r="I24" s="8">
        <f t="shared" si="7"/>
        <v>5.1036623120494733</v>
      </c>
      <c r="J24" s="8">
        <f t="shared" si="7"/>
        <v>4.2522768099435098</v>
      </c>
      <c r="K24" s="8">
        <f t="shared" si="7"/>
        <v>6.0424250300032867</v>
      </c>
      <c r="L24" s="8">
        <f t="shared" si="7"/>
        <v>3.6437963904325827</v>
      </c>
      <c r="M24" s="8">
        <f t="shared" si="7"/>
        <v>2.2776874918780914</v>
      </c>
      <c r="N24" s="8">
        <f t="shared" si="7"/>
        <v>0.97876149488988617</v>
      </c>
      <c r="O24" s="8">
        <f t="shared" si="7"/>
        <v>1.0185722257470247</v>
      </c>
      <c r="P24" s="8">
        <f t="shared" si="7"/>
        <v>0.63708635595746788</v>
      </c>
      <c r="Q24" s="8">
        <f t="shared" si="7"/>
        <v>3.9229485013644814</v>
      </c>
      <c r="R24" s="8">
        <f t="shared" si="7"/>
        <v>4.1782141737820959</v>
      </c>
      <c r="S24" s="8">
        <f t="shared" si="7"/>
        <v>3.5411553367630093</v>
      </c>
      <c r="T24" s="8">
        <f t="shared" si="7"/>
        <v>2.9463472431374647</v>
      </c>
      <c r="U24" s="8">
        <f t="shared" si="7"/>
        <v>4.7844013484279806</v>
      </c>
    </row>
    <row r="26" spans="1:33" ht="15" x14ac:dyDescent="0.2">
      <c r="A26" s="10" t="s">
        <v>194</v>
      </c>
    </row>
    <row r="27" spans="1:33" ht="15" x14ac:dyDescent="0.2">
      <c r="A27" s="9" t="s">
        <v>63</v>
      </c>
      <c r="C27" s="16">
        <v>654.96100000000001</v>
      </c>
      <c r="D27" s="16">
        <v>678.23400000000004</v>
      </c>
      <c r="E27" s="8">
        <v>407.06599999999997</v>
      </c>
      <c r="F27" s="8">
        <v>360.34399999999999</v>
      </c>
      <c r="G27" s="8">
        <v>409.35199999999998</v>
      </c>
      <c r="H27" s="8">
        <v>415.875</v>
      </c>
      <c r="I27" s="8">
        <v>385.46100000000001</v>
      </c>
      <c r="J27" s="8">
        <v>379.52</v>
      </c>
      <c r="K27" s="8">
        <v>349.97699999999998</v>
      </c>
    </row>
    <row r="28" spans="1:33" ht="15" x14ac:dyDescent="0.2">
      <c r="A28" s="9" t="s">
        <v>62</v>
      </c>
      <c r="C28" s="17">
        <f t="shared" ref="C28:K28" si="8">C27-$B$7</f>
        <v>439.233</v>
      </c>
      <c r="D28" s="17">
        <f t="shared" si="8"/>
        <v>462.50600000000003</v>
      </c>
      <c r="E28" s="17">
        <f t="shared" si="8"/>
        <v>191.33799999999997</v>
      </c>
      <c r="F28" s="17">
        <f t="shared" si="8"/>
        <v>144.61599999999999</v>
      </c>
      <c r="G28" s="17">
        <f t="shared" si="8"/>
        <v>193.62399999999997</v>
      </c>
      <c r="H28" s="17">
        <f t="shared" si="8"/>
        <v>200.14699999999999</v>
      </c>
      <c r="I28" s="17">
        <f t="shared" si="8"/>
        <v>169.733</v>
      </c>
      <c r="J28" s="17">
        <f t="shared" si="8"/>
        <v>163.79199999999997</v>
      </c>
      <c r="K28" s="17">
        <f t="shared" si="8"/>
        <v>134.24899999999997</v>
      </c>
    </row>
    <row r="29" spans="1:33" ht="15" x14ac:dyDescent="0.2">
      <c r="A29" s="9" t="s">
        <v>61</v>
      </c>
      <c r="C29" s="16">
        <v>1.427</v>
      </c>
      <c r="D29" s="16">
        <v>1.923</v>
      </c>
      <c r="E29" s="8">
        <v>1.7270000000000001</v>
      </c>
      <c r="F29" s="8">
        <v>1.1539999999999999</v>
      </c>
      <c r="G29" s="8">
        <v>2.4780000000000002</v>
      </c>
      <c r="H29" s="8">
        <v>2.456</v>
      </c>
      <c r="I29" s="8">
        <v>3.0539999999999998</v>
      </c>
      <c r="J29" s="8">
        <v>5.3140000000000001</v>
      </c>
      <c r="K29" s="8">
        <v>5.6950000000000003</v>
      </c>
    </row>
    <row r="30" spans="1:33" ht="15" x14ac:dyDescent="0.2">
      <c r="A30" s="9" t="s">
        <v>60</v>
      </c>
      <c r="C30" s="8">
        <f t="shared" ref="C30:K30" si="9">SQRT((C29^2)+9)</f>
        <v>3.3220970786537833</v>
      </c>
      <c r="D30" s="8">
        <f t="shared" si="9"/>
        <v>3.5634153560874715</v>
      </c>
      <c r="E30" s="8">
        <f t="shared" si="9"/>
        <v>3.4615789749765931</v>
      </c>
      <c r="F30" s="8">
        <f t="shared" si="9"/>
        <v>3.2142986793389317</v>
      </c>
      <c r="G30" s="8">
        <f t="shared" si="9"/>
        <v>3.8910774857357957</v>
      </c>
      <c r="H30" s="8">
        <f t="shared" si="9"/>
        <v>3.8771040739190896</v>
      </c>
      <c r="I30" s="8">
        <f t="shared" si="9"/>
        <v>4.2809947442154135</v>
      </c>
      <c r="J30" s="8">
        <f t="shared" si="9"/>
        <v>6.1023434842689737</v>
      </c>
      <c r="K30" s="8">
        <f t="shared" si="9"/>
        <v>6.4368489962092479</v>
      </c>
    </row>
    <row r="31" spans="1:33" ht="15" x14ac:dyDescent="0.2">
      <c r="A31" s="9" t="s">
        <v>59</v>
      </c>
      <c r="C31" s="16">
        <f t="shared" ref="C31:K31" si="10">C28/$E$4</f>
        <v>2.0145376436144597</v>
      </c>
      <c r="D31" s="16">
        <f t="shared" si="10"/>
        <v>2.12127901910273</v>
      </c>
      <c r="E31" s="16">
        <f t="shared" si="10"/>
        <v>0.87756977197501884</v>
      </c>
      <c r="F31" s="16">
        <f t="shared" si="10"/>
        <v>0.66327979880598387</v>
      </c>
      <c r="G31" s="16">
        <f t="shared" si="10"/>
        <v>0.88805448749799343</v>
      </c>
      <c r="H31" s="16">
        <f t="shared" si="10"/>
        <v>0.9179721600073385</v>
      </c>
      <c r="I31" s="16">
        <f t="shared" si="10"/>
        <v>0.77847866135653088</v>
      </c>
      <c r="J31" s="16">
        <f t="shared" si="10"/>
        <v>0.75123032587009531</v>
      </c>
      <c r="K31" s="16">
        <f t="shared" si="10"/>
        <v>0.61573165977419175</v>
      </c>
    </row>
    <row r="33" spans="1:20" ht="15" x14ac:dyDescent="0.2">
      <c r="A33" s="10" t="s">
        <v>193</v>
      </c>
    </row>
    <row r="34" spans="1:20" ht="15" x14ac:dyDescent="0.2">
      <c r="A34" s="9" t="s">
        <v>63</v>
      </c>
      <c r="C34" s="8">
        <v>312.46899999999999</v>
      </c>
      <c r="D34" s="8">
        <v>319.23</v>
      </c>
    </row>
    <row r="35" spans="1:20" ht="15" x14ac:dyDescent="0.2">
      <c r="A35" s="9" t="s">
        <v>62</v>
      </c>
      <c r="C35" s="8">
        <f>C34-$B$7</f>
        <v>96.740999999999985</v>
      </c>
      <c r="D35" s="8">
        <f>D34-$B$7</f>
        <v>103.50200000000001</v>
      </c>
    </row>
    <row r="36" spans="1:20" ht="15" x14ac:dyDescent="0.2">
      <c r="A36" s="9" t="s">
        <v>61</v>
      </c>
      <c r="C36" s="8">
        <v>2.2120000000000002</v>
      </c>
      <c r="D36" s="8">
        <v>1.792</v>
      </c>
    </row>
    <row r="37" spans="1:20" ht="15" x14ac:dyDescent="0.2">
      <c r="A37" s="9" t="s">
        <v>60</v>
      </c>
      <c r="C37" s="8">
        <f>SQRT((C36^2)+16)</f>
        <v>4.5708800028003358</v>
      </c>
      <c r="D37" s="8">
        <f>SQRT((D36^2)+16)</f>
        <v>4.3830655938509517</v>
      </c>
    </row>
    <row r="38" spans="1:20" ht="15" x14ac:dyDescent="0.2">
      <c r="A38" s="9" t="s">
        <v>59</v>
      </c>
      <c r="C38" s="8">
        <f>C35/$E$4</f>
        <v>0.44370160297816064</v>
      </c>
      <c r="D38" s="8">
        <f>D35/$E$4</f>
        <v>0.47471086004326601</v>
      </c>
    </row>
    <row r="39" spans="1:20" ht="15.75" customHeight="1" x14ac:dyDescent="0.2">
      <c r="C39" s="21"/>
    </row>
    <row r="40" spans="1:20" ht="15" x14ac:dyDescent="0.2">
      <c r="A40" s="10" t="s">
        <v>192</v>
      </c>
      <c r="B40" s="8"/>
      <c r="C40" s="8">
        <v>1</v>
      </c>
      <c r="D40" s="8">
        <v>1</v>
      </c>
    </row>
    <row r="41" spans="1:20" ht="15" x14ac:dyDescent="0.2">
      <c r="A41" s="9" t="s">
        <v>63</v>
      </c>
      <c r="C41" s="8">
        <v>455.58600000000001</v>
      </c>
      <c r="D41" s="8">
        <v>332.78500000000003</v>
      </c>
      <c r="E41" s="8">
        <v>1446.211</v>
      </c>
      <c r="F41" s="8">
        <v>1560.711</v>
      </c>
      <c r="G41" s="8">
        <v>800.79300000000001</v>
      </c>
      <c r="H41" s="8">
        <v>861.49599999999998</v>
      </c>
      <c r="I41" s="8">
        <v>631.74199999999996</v>
      </c>
      <c r="J41" s="8">
        <v>1037.9449999999999</v>
      </c>
      <c r="K41" s="8">
        <v>628.98800000000006</v>
      </c>
      <c r="L41" s="8">
        <v>662.32799999999997</v>
      </c>
      <c r="M41" s="8">
        <v>741.64099999999996</v>
      </c>
      <c r="N41" s="8">
        <v>649.92600000000004</v>
      </c>
      <c r="O41" s="8">
        <v>271.67200000000003</v>
      </c>
      <c r="P41" s="8">
        <v>896.43799999999999</v>
      </c>
      <c r="Q41" s="8">
        <v>556.89099999999996</v>
      </c>
      <c r="R41" s="8">
        <v>952.20299999999997</v>
      </c>
      <c r="S41" s="8">
        <v>1615.2729999999999</v>
      </c>
      <c r="T41" s="8">
        <v>1043.6679999999999</v>
      </c>
    </row>
    <row r="42" spans="1:20" ht="15" x14ac:dyDescent="0.2">
      <c r="A42" s="9" t="s">
        <v>62</v>
      </c>
      <c r="C42" s="8">
        <f t="shared" ref="C42:T42" si="11">C41-$B$7</f>
        <v>239.858</v>
      </c>
      <c r="D42" s="8">
        <f t="shared" si="11"/>
        <v>117.05700000000002</v>
      </c>
      <c r="E42" s="8">
        <f t="shared" si="11"/>
        <v>1230.4829999999999</v>
      </c>
      <c r="F42" s="8">
        <f t="shared" si="11"/>
        <v>1344.9829999999999</v>
      </c>
      <c r="G42" s="8">
        <f t="shared" si="11"/>
        <v>585.06500000000005</v>
      </c>
      <c r="H42" s="8">
        <f t="shared" si="11"/>
        <v>645.76800000000003</v>
      </c>
      <c r="I42" s="8">
        <f t="shared" si="11"/>
        <v>416.01399999999995</v>
      </c>
      <c r="J42" s="8">
        <f t="shared" si="11"/>
        <v>822.21699999999987</v>
      </c>
      <c r="K42" s="8">
        <f t="shared" si="11"/>
        <v>413.26000000000005</v>
      </c>
      <c r="L42" s="8">
        <f t="shared" si="11"/>
        <v>446.59999999999997</v>
      </c>
      <c r="M42" s="8">
        <f t="shared" si="11"/>
        <v>525.91300000000001</v>
      </c>
      <c r="N42" s="8">
        <f t="shared" si="11"/>
        <v>434.19800000000004</v>
      </c>
      <c r="O42" s="8">
        <f t="shared" si="11"/>
        <v>55.944000000000017</v>
      </c>
      <c r="P42" s="8">
        <f t="shared" si="11"/>
        <v>680.71</v>
      </c>
      <c r="Q42" s="8">
        <f t="shared" si="11"/>
        <v>341.16299999999995</v>
      </c>
      <c r="R42" s="8">
        <f t="shared" si="11"/>
        <v>736.47499999999991</v>
      </c>
      <c r="S42" s="8">
        <f t="shared" si="11"/>
        <v>1399.5449999999998</v>
      </c>
      <c r="T42" s="8">
        <f t="shared" si="11"/>
        <v>827.93999999999983</v>
      </c>
    </row>
    <row r="43" spans="1:20" ht="15" x14ac:dyDescent="0.2">
      <c r="A43" s="9" t="s">
        <v>61</v>
      </c>
      <c r="C43" s="8">
        <v>4.8630000000000004</v>
      </c>
      <c r="D43" s="8">
        <v>8.1080000000000005</v>
      </c>
      <c r="E43" s="8">
        <v>5.8760000000000003</v>
      </c>
      <c r="F43" s="8">
        <v>5.1849999999999996</v>
      </c>
      <c r="G43" s="8">
        <v>4.5069999999999997</v>
      </c>
      <c r="H43" s="8">
        <v>3.4849999999999999</v>
      </c>
      <c r="I43" s="8">
        <v>2.867</v>
      </c>
      <c r="J43" s="8">
        <v>2.5659999999999998</v>
      </c>
      <c r="K43" s="8">
        <v>2.7170000000000001</v>
      </c>
      <c r="L43" s="8">
        <v>6.2329999999999997</v>
      </c>
      <c r="M43" s="8">
        <v>6.0350000000000001</v>
      </c>
      <c r="N43" s="8">
        <v>8.32</v>
      </c>
      <c r="O43" s="8">
        <v>6.7350000000000003</v>
      </c>
      <c r="P43" s="8">
        <v>2.0619999999999998</v>
      </c>
      <c r="Q43" s="8">
        <v>1.365</v>
      </c>
      <c r="R43" s="8">
        <v>2.2309999999999999</v>
      </c>
      <c r="S43" s="8">
        <v>1.641</v>
      </c>
      <c r="T43" s="8">
        <v>2.448</v>
      </c>
    </row>
    <row r="44" spans="1:20" ht="15" x14ac:dyDescent="0.2">
      <c r="A44" s="9" t="s">
        <v>60</v>
      </c>
      <c r="C44" s="8">
        <f t="shared" ref="C44:T44" si="12">SQRT((C43^2)+1)</f>
        <v>4.9647526625200582</v>
      </c>
      <c r="D44" s="8">
        <f t="shared" si="12"/>
        <v>8.169434741767633</v>
      </c>
      <c r="E44" s="8">
        <f t="shared" si="12"/>
        <v>5.9604845440618339</v>
      </c>
      <c r="F44" s="8">
        <f t="shared" si="12"/>
        <v>5.2805515810377228</v>
      </c>
      <c r="G44" s="8">
        <f t="shared" si="12"/>
        <v>4.6166057878055815</v>
      </c>
      <c r="H44" s="8">
        <f t="shared" si="12"/>
        <v>3.6256344272416654</v>
      </c>
      <c r="I44" s="8">
        <f t="shared" si="12"/>
        <v>3.0363940785082559</v>
      </c>
      <c r="J44" s="8">
        <f t="shared" si="12"/>
        <v>2.7539709511902988</v>
      </c>
      <c r="K44" s="8">
        <f t="shared" si="12"/>
        <v>2.8951837592802292</v>
      </c>
      <c r="L44" s="8">
        <f t="shared" si="12"/>
        <v>6.312708531209088</v>
      </c>
      <c r="M44" s="8">
        <f t="shared" si="12"/>
        <v>6.1172890237424618</v>
      </c>
      <c r="N44" s="8">
        <f t="shared" si="12"/>
        <v>8.3798806674080986</v>
      </c>
      <c r="O44" s="8">
        <f t="shared" si="12"/>
        <v>6.8088343348916931</v>
      </c>
      <c r="P44" s="8">
        <f t="shared" si="12"/>
        <v>2.291690205939712</v>
      </c>
      <c r="Q44" s="8">
        <f t="shared" si="12"/>
        <v>1.6921066751242368</v>
      </c>
      <c r="R44" s="8">
        <f t="shared" si="12"/>
        <v>2.4448642089081347</v>
      </c>
      <c r="S44" s="8">
        <f t="shared" si="12"/>
        <v>1.9216870192619817</v>
      </c>
      <c r="T44" s="8">
        <f t="shared" si="12"/>
        <v>2.6443721372000577</v>
      </c>
    </row>
    <row r="45" spans="1:20" ht="15" x14ac:dyDescent="0.2">
      <c r="A45" s="9" t="s">
        <v>59</v>
      </c>
      <c r="E45" s="8">
        <f t="shared" ref="E45:T45" si="13">E42/$E$4</f>
        <v>5.6435976425442789</v>
      </c>
      <c r="F45" s="8">
        <f t="shared" si="13"/>
        <v>6.1687507166390212</v>
      </c>
      <c r="G45" s="8">
        <f t="shared" si="13"/>
        <v>2.6833946139322276</v>
      </c>
      <c r="H45" s="8">
        <f t="shared" si="13"/>
        <v>2.9618083000175819</v>
      </c>
      <c r="I45" s="8">
        <f t="shared" si="13"/>
        <v>1.9080439385716144</v>
      </c>
      <c r="J45" s="8">
        <f t="shared" si="13"/>
        <v>3.7710898264013637</v>
      </c>
      <c r="K45" s="8">
        <f t="shared" si="13"/>
        <v>1.8954127458549603</v>
      </c>
      <c r="L45" s="8">
        <f t="shared" si="13"/>
        <v>2.0483263134559966</v>
      </c>
      <c r="M45" s="8">
        <f t="shared" si="13"/>
        <v>2.4120945734182349</v>
      </c>
      <c r="N45" s="8">
        <f t="shared" si="13"/>
        <v>1.9914446678234816</v>
      </c>
      <c r="O45" s="8">
        <f t="shared" si="13"/>
        <v>0.25658658145987978</v>
      </c>
      <c r="P45" s="8">
        <f t="shared" si="13"/>
        <v>3.1220694241662148</v>
      </c>
      <c r="Q45" s="8">
        <f t="shared" si="13"/>
        <v>1.564740595785016</v>
      </c>
      <c r="R45" s="8">
        <f t="shared" si="13"/>
        <v>3.3778350239644088</v>
      </c>
      <c r="S45" s="8">
        <f t="shared" si="13"/>
        <v>6.4189987692919228</v>
      </c>
      <c r="T45" s="8">
        <f t="shared" si="13"/>
        <v>3.7973383071266404</v>
      </c>
    </row>
    <row r="47" spans="1:20" ht="15" x14ac:dyDescent="0.2">
      <c r="A47" s="10" t="s">
        <v>191</v>
      </c>
      <c r="C47" s="8">
        <v>1</v>
      </c>
      <c r="D47" s="8">
        <v>1</v>
      </c>
      <c r="E47" s="8">
        <v>1</v>
      </c>
    </row>
    <row r="48" spans="1:20" ht="15" x14ac:dyDescent="0.2">
      <c r="A48" s="9" t="s">
        <v>63</v>
      </c>
      <c r="C48" s="8">
        <v>482.29300000000001</v>
      </c>
      <c r="D48" s="8">
        <v>541.28099999999995</v>
      </c>
      <c r="E48" s="8">
        <v>505.80099999999999</v>
      </c>
      <c r="F48" s="8">
        <v>707.92600000000004</v>
      </c>
      <c r="G48" s="8">
        <v>497.46499999999997</v>
      </c>
      <c r="H48" s="8">
        <v>351.77300000000002</v>
      </c>
      <c r="I48" s="8">
        <v>348.21100000000001</v>
      </c>
      <c r="J48" s="8">
        <v>377.19900000000001</v>
      </c>
      <c r="K48" s="8">
        <v>460.12099999999998</v>
      </c>
      <c r="L48" s="8">
        <v>377.35899999999998</v>
      </c>
      <c r="M48" s="8">
        <v>485.41399999999999</v>
      </c>
      <c r="N48" s="8">
        <v>429.05099999999999</v>
      </c>
      <c r="O48" s="8">
        <v>392.22699999999998</v>
      </c>
    </row>
    <row r="49" spans="1:15" ht="15" x14ac:dyDescent="0.2">
      <c r="A49" s="9" t="s">
        <v>62</v>
      </c>
      <c r="C49" s="8">
        <f t="shared" ref="C49:O49" si="14">C48-$B$7</f>
        <v>266.565</v>
      </c>
      <c r="D49" s="8">
        <f t="shared" si="14"/>
        <v>325.55299999999994</v>
      </c>
      <c r="E49" s="8">
        <f t="shared" si="14"/>
        <v>290.07299999999998</v>
      </c>
      <c r="F49" s="8">
        <f t="shared" si="14"/>
        <v>492.19800000000004</v>
      </c>
      <c r="G49" s="8">
        <f t="shared" si="14"/>
        <v>281.73699999999997</v>
      </c>
      <c r="H49" s="8">
        <f t="shared" si="14"/>
        <v>136.04500000000002</v>
      </c>
      <c r="I49" s="8">
        <f t="shared" si="14"/>
        <v>132.483</v>
      </c>
      <c r="J49" s="8">
        <f t="shared" si="14"/>
        <v>161.471</v>
      </c>
      <c r="K49" s="8">
        <f t="shared" si="14"/>
        <v>244.39299999999997</v>
      </c>
      <c r="L49" s="8">
        <f t="shared" si="14"/>
        <v>161.63099999999997</v>
      </c>
      <c r="M49" s="8">
        <f t="shared" si="14"/>
        <v>269.68599999999998</v>
      </c>
      <c r="N49" s="8">
        <f t="shared" si="14"/>
        <v>213.32299999999998</v>
      </c>
      <c r="O49" s="8">
        <f t="shared" si="14"/>
        <v>176.49899999999997</v>
      </c>
    </row>
    <row r="50" spans="1:15" ht="15" x14ac:dyDescent="0.2">
      <c r="A50" s="9" t="s">
        <v>61</v>
      </c>
      <c r="C50" s="8">
        <v>6.22</v>
      </c>
      <c r="D50" s="8">
        <v>6.0709999999999997</v>
      </c>
      <c r="E50" s="8">
        <v>10.013</v>
      </c>
      <c r="F50" s="8">
        <v>5.8239999999999998</v>
      </c>
      <c r="G50" s="8">
        <v>5.1079999999999997</v>
      </c>
      <c r="H50" s="8">
        <v>4.4729999999999999</v>
      </c>
      <c r="I50" s="8">
        <v>3.347</v>
      </c>
      <c r="J50" s="8">
        <v>2.5720000000000001</v>
      </c>
      <c r="K50" s="8">
        <v>8.3930000000000007</v>
      </c>
      <c r="L50" s="8">
        <v>1.444</v>
      </c>
      <c r="M50" s="8">
        <v>1.641</v>
      </c>
      <c r="N50" s="8">
        <v>2.202</v>
      </c>
      <c r="O50" s="8">
        <v>2.6019999999999999</v>
      </c>
    </row>
    <row r="51" spans="1:15" ht="15" x14ac:dyDescent="0.2">
      <c r="A51" s="9" t="s">
        <v>60</v>
      </c>
      <c r="C51" s="8">
        <f t="shared" ref="C51:O51" si="15">SQRT((C50^2)+4)</f>
        <v>6.5336360474088231</v>
      </c>
      <c r="D51" s="8">
        <f t="shared" si="15"/>
        <v>6.3919512670232397</v>
      </c>
      <c r="E51" s="8">
        <f t="shared" si="15"/>
        <v>10.210786894260403</v>
      </c>
      <c r="F51" s="8">
        <f t="shared" si="15"/>
        <v>6.1578385818402221</v>
      </c>
      <c r="G51" s="8">
        <f t="shared" si="15"/>
        <v>5.4855869330455418</v>
      </c>
      <c r="H51" s="8">
        <f t="shared" si="15"/>
        <v>4.899768259826172</v>
      </c>
      <c r="I51" s="8">
        <f t="shared" si="15"/>
        <v>3.8990266734147894</v>
      </c>
      <c r="J51" s="8">
        <f t="shared" si="15"/>
        <v>3.2580951490096171</v>
      </c>
      <c r="K51" s="8">
        <f t="shared" si="15"/>
        <v>8.6280037668049268</v>
      </c>
      <c r="L51" s="8">
        <f t="shared" si="15"/>
        <v>2.4668068428638672</v>
      </c>
      <c r="M51" s="8">
        <f t="shared" si="15"/>
        <v>2.5870603008047568</v>
      </c>
      <c r="N51" s="8">
        <f t="shared" si="15"/>
        <v>2.9746939338358827</v>
      </c>
      <c r="O51" s="8">
        <f t="shared" si="15"/>
        <v>3.2818293678983372</v>
      </c>
    </row>
    <row r="52" spans="1:15" ht="15" x14ac:dyDescent="0.2">
      <c r="A52" s="9" t="s">
        <v>59</v>
      </c>
      <c r="F52" s="8">
        <f t="shared" ref="F52:O52" si="16">F49/$E$4</f>
        <v>2.2574610721684163</v>
      </c>
      <c r="G52" s="8">
        <f t="shared" si="16"/>
        <v>1.29218385708498</v>
      </c>
      <c r="H52" s="8">
        <f t="shared" si="16"/>
        <v>0.62396899532942474</v>
      </c>
      <c r="I52" s="8">
        <f t="shared" si="16"/>
        <v>0.60763191891086166</v>
      </c>
      <c r="J52" s="8">
        <f t="shared" si="16"/>
        <v>0.74058508320656802</v>
      </c>
      <c r="K52" s="8">
        <f t="shared" si="16"/>
        <v>1.1209059846046829</v>
      </c>
      <c r="L52" s="8">
        <f t="shared" si="16"/>
        <v>0.74131892156338142</v>
      </c>
      <c r="M52" s="8">
        <f t="shared" si="16"/>
        <v>1.2369120693477247</v>
      </c>
      <c r="N52" s="8">
        <f t="shared" si="16"/>
        <v>0.97840374869093938</v>
      </c>
      <c r="O52" s="8">
        <f t="shared" si="16"/>
        <v>0.8095108508702864</v>
      </c>
    </row>
    <row r="54" spans="1:15" ht="15" x14ac:dyDescent="0.2">
      <c r="A54" s="10" t="s">
        <v>190</v>
      </c>
      <c r="C54" s="8">
        <v>1</v>
      </c>
    </row>
    <row r="55" spans="1:15" ht="15" x14ac:dyDescent="0.2">
      <c r="A55" s="9" t="s">
        <v>63</v>
      </c>
      <c r="C55" s="8">
        <v>296.87900000000002</v>
      </c>
    </row>
    <row r="56" spans="1:15" ht="15" x14ac:dyDescent="0.2">
      <c r="A56" s="9" t="s">
        <v>62</v>
      </c>
      <c r="C56" s="8">
        <f>C55-$B$7</f>
        <v>81.15100000000001</v>
      </c>
    </row>
    <row r="57" spans="1:15" ht="15" x14ac:dyDescent="0.2">
      <c r="A57" s="9" t="s">
        <v>61</v>
      </c>
      <c r="C57" s="8">
        <v>10.006</v>
      </c>
    </row>
    <row r="58" spans="1:15" ht="15" x14ac:dyDescent="0.2">
      <c r="A58" s="9" t="s">
        <v>60</v>
      </c>
      <c r="C58" s="8">
        <f>SQRT((C57^2)+9)</f>
        <v>10.446053608899392</v>
      </c>
    </row>
    <row r="59" spans="1:15" ht="15" x14ac:dyDescent="0.2">
      <c r="A59" s="9" t="s">
        <v>59</v>
      </c>
      <c r="C59" s="8">
        <f>C56/$E$4</f>
        <v>0.3721982280861344</v>
      </c>
    </row>
    <row r="61" spans="1:15" ht="15" x14ac:dyDescent="0.2">
      <c r="A61" s="9"/>
    </row>
    <row r="62" spans="1:15" ht="15" x14ac:dyDescent="0.2">
      <c r="A62" s="9"/>
    </row>
    <row r="63" spans="1:15" ht="15" x14ac:dyDescent="0.2">
      <c r="A63" s="9"/>
    </row>
    <row r="64" spans="1:15" ht="15" x14ac:dyDescent="0.2">
      <c r="A64" s="9"/>
    </row>
    <row r="65" spans="1:4" ht="15" x14ac:dyDescent="0.2">
      <c r="A65" s="9"/>
    </row>
    <row r="66" spans="1:4" ht="15" x14ac:dyDescent="0.2">
      <c r="A66" s="9"/>
    </row>
    <row r="68" spans="1:4" ht="15" x14ac:dyDescent="0.2">
      <c r="A68" s="9"/>
    </row>
    <row r="69" spans="1:4" ht="15" x14ac:dyDescent="0.2">
      <c r="A69" s="9"/>
      <c r="D69" s="11"/>
    </row>
    <row r="70" spans="1:4" ht="15" x14ac:dyDescent="0.2">
      <c r="A70" s="9"/>
    </row>
    <row r="71" spans="1:4" ht="15" x14ac:dyDescent="0.2">
      <c r="A71" s="9"/>
    </row>
    <row r="72" spans="1:4" ht="15" x14ac:dyDescent="0.2">
      <c r="A72" s="9"/>
    </row>
    <row r="73" spans="1:4" ht="15" x14ac:dyDescent="0.2">
      <c r="A73" s="9"/>
    </row>
    <row r="75" spans="1:4" ht="15" x14ac:dyDescent="0.2">
      <c r="A75" s="9"/>
    </row>
    <row r="76" spans="1:4" ht="15" x14ac:dyDescent="0.2">
      <c r="A76" s="9"/>
    </row>
    <row r="77" spans="1:4" ht="15" x14ac:dyDescent="0.2">
      <c r="A77" s="9"/>
    </row>
    <row r="78" spans="1:4" ht="15" x14ac:dyDescent="0.2">
      <c r="A78" s="9"/>
    </row>
    <row r="79" spans="1:4" ht="15" x14ac:dyDescent="0.2">
      <c r="A79" s="9"/>
    </row>
    <row r="80" spans="1:4" ht="15" x14ac:dyDescent="0.2">
      <c r="A80" s="9"/>
    </row>
  </sheetData>
  <mergeCells count="1">
    <mergeCell ref="G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90DB-A655-5343-84BC-B8F08C2A5AD3}">
  <dimension ref="A1:M57"/>
  <sheetViews>
    <sheetView workbookViewId="0">
      <selection activeCell="J47" sqref="J47"/>
    </sheetView>
  </sheetViews>
  <sheetFormatPr baseColWidth="10" defaultRowHeight="16" x14ac:dyDescent="0.2"/>
  <cols>
    <col min="1" max="1" width="22" style="30" bestFit="1" customWidth="1"/>
    <col min="2" max="2" width="17.5" style="30" bestFit="1" customWidth="1"/>
    <col min="3" max="3" width="10.83203125" style="30"/>
    <col min="4" max="4" width="12" style="30" bestFit="1" customWidth="1"/>
    <col min="5" max="16384" width="10.83203125" style="30"/>
  </cols>
  <sheetData>
    <row r="1" spans="1:11" x14ac:dyDescent="0.2">
      <c r="A1" s="30" t="s">
        <v>518</v>
      </c>
      <c r="B1" s="42">
        <v>45236</v>
      </c>
      <c r="C1" s="30" t="s">
        <v>532</v>
      </c>
    </row>
    <row r="2" spans="1:11" x14ac:dyDescent="0.2">
      <c r="A2" s="30" t="s">
        <v>27</v>
      </c>
      <c r="B2" s="30">
        <v>44.124000000000002</v>
      </c>
      <c r="D2" s="30" t="s">
        <v>73</v>
      </c>
      <c r="E2" s="30">
        <f>AVERAGE(C6:D6,C12:G12,C19,C26:F26,C40,C47)</f>
        <v>1565.4641428571429</v>
      </c>
      <c r="I2" s="30" t="s">
        <v>496</v>
      </c>
      <c r="J2" s="30" t="s">
        <v>495</v>
      </c>
    </row>
    <row r="3" spans="1:11" ht="17" thickBot="1" x14ac:dyDescent="0.25"/>
    <row r="4" spans="1:11" ht="17" thickBot="1" x14ac:dyDescent="0.25">
      <c r="A4" s="41" t="s">
        <v>531</v>
      </c>
      <c r="B4" s="40" t="s">
        <v>70</v>
      </c>
      <c r="C4" s="30">
        <v>1</v>
      </c>
      <c r="D4" s="30">
        <v>1</v>
      </c>
    </row>
    <row r="5" spans="1:11" x14ac:dyDescent="0.2">
      <c r="A5" s="39" t="s">
        <v>63</v>
      </c>
      <c r="B5" s="30">
        <v>275.22399999999999</v>
      </c>
      <c r="C5" s="30">
        <v>1712.923</v>
      </c>
      <c r="D5" s="30">
        <v>1346.885</v>
      </c>
      <c r="E5" s="30">
        <v>2457.442</v>
      </c>
      <c r="F5" s="30">
        <v>2318.9229999999998</v>
      </c>
      <c r="G5" s="30">
        <v>3870.6149999999998</v>
      </c>
      <c r="H5" s="30">
        <v>5328.5770000000002</v>
      </c>
      <c r="I5" s="30">
        <v>6611.3649999999998</v>
      </c>
      <c r="J5" s="30">
        <v>5305.692</v>
      </c>
      <c r="K5" s="30">
        <v>4838.1729999999998</v>
      </c>
    </row>
    <row r="6" spans="1:11" x14ac:dyDescent="0.2">
      <c r="A6" s="39" t="s">
        <v>62</v>
      </c>
      <c r="C6" s="30">
        <f t="shared" ref="C6:K6" si="0">C5-$B$5</f>
        <v>1437.6990000000001</v>
      </c>
      <c r="D6" s="30">
        <f t="shared" si="0"/>
        <v>1071.6610000000001</v>
      </c>
      <c r="E6" s="30">
        <f t="shared" si="0"/>
        <v>2182.2179999999998</v>
      </c>
      <c r="F6" s="30">
        <f t="shared" si="0"/>
        <v>2043.6989999999998</v>
      </c>
      <c r="G6" s="30">
        <f t="shared" si="0"/>
        <v>3595.3909999999996</v>
      </c>
      <c r="H6" s="30">
        <f t="shared" si="0"/>
        <v>5053.3530000000001</v>
      </c>
      <c r="I6" s="30">
        <f t="shared" si="0"/>
        <v>6336.1409999999996</v>
      </c>
      <c r="J6" s="30">
        <f t="shared" si="0"/>
        <v>5030.4679999999998</v>
      </c>
      <c r="K6" s="30">
        <f t="shared" si="0"/>
        <v>4562.9489999999996</v>
      </c>
    </row>
    <row r="7" spans="1:11" x14ac:dyDescent="0.2">
      <c r="A7" s="39" t="s">
        <v>61</v>
      </c>
      <c r="C7" s="30">
        <v>8.6679999999999993</v>
      </c>
      <c r="D7" s="30">
        <v>8.6379999999999999</v>
      </c>
      <c r="E7" s="30">
        <v>4.9539999999999997</v>
      </c>
      <c r="F7" s="30">
        <v>4.37</v>
      </c>
      <c r="G7" s="30">
        <v>1.4410000000000001</v>
      </c>
      <c r="H7" s="30">
        <v>2.2770000000000001</v>
      </c>
      <c r="I7" s="30">
        <v>2.38</v>
      </c>
      <c r="J7" s="30">
        <v>2.0510000000000002</v>
      </c>
      <c r="K7" s="30">
        <v>1.4430000000000001</v>
      </c>
    </row>
    <row r="8" spans="1:11" x14ac:dyDescent="0.2">
      <c r="A8" s="39" t="s">
        <v>59</v>
      </c>
      <c r="E8" s="30">
        <f t="shared" ref="E8:K8" si="1">E6/$E$2</f>
        <v>1.3939750775876691</v>
      </c>
      <c r="F8" s="30">
        <f t="shared" si="1"/>
        <v>1.3054907768567769</v>
      </c>
      <c r="G8" s="30">
        <f t="shared" si="1"/>
        <v>2.2966932947042906</v>
      </c>
      <c r="H8" s="30">
        <f t="shared" si="1"/>
        <v>3.228022195881842</v>
      </c>
      <c r="I8" s="30">
        <f t="shared" si="1"/>
        <v>4.0474520153721638</v>
      </c>
      <c r="J8" s="30">
        <f t="shared" si="1"/>
        <v>3.2134035282461642</v>
      </c>
      <c r="K8" s="30">
        <f t="shared" si="1"/>
        <v>2.9147579143346714</v>
      </c>
    </row>
    <row r="10" spans="1:11" x14ac:dyDescent="0.2">
      <c r="A10" s="39" t="s">
        <v>519</v>
      </c>
      <c r="C10" s="30">
        <v>1</v>
      </c>
      <c r="D10" s="30">
        <v>1</v>
      </c>
      <c r="E10" s="30">
        <v>1</v>
      </c>
      <c r="F10" s="30">
        <v>1</v>
      </c>
      <c r="G10" s="30">
        <v>1</v>
      </c>
    </row>
    <row r="11" spans="1:11" x14ac:dyDescent="0.2">
      <c r="A11" s="39" t="s">
        <v>63</v>
      </c>
      <c r="C11" s="30">
        <v>2447.058</v>
      </c>
      <c r="D11" s="30">
        <v>1528.788</v>
      </c>
      <c r="E11" s="30">
        <v>2357.346</v>
      </c>
      <c r="F11" s="30">
        <v>2377.75</v>
      </c>
      <c r="G11" s="30">
        <v>1737.25</v>
      </c>
      <c r="H11" s="30">
        <v>3930.596</v>
      </c>
      <c r="I11" s="30">
        <v>2411.346</v>
      </c>
      <c r="J11" s="30">
        <v>1570.981</v>
      </c>
      <c r="K11" s="30">
        <v>1374.038</v>
      </c>
    </row>
    <row r="12" spans="1:11" x14ac:dyDescent="0.2">
      <c r="A12" s="39" t="s">
        <v>62</v>
      </c>
      <c r="C12" s="30">
        <f t="shared" ref="C12:K12" si="2">C11-$B$5</f>
        <v>2171.8339999999998</v>
      </c>
      <c r="D12" s="30">
        <f t="shared" si="2"/>
        <v>1253.5640000000001</v>
      </c>
      <c r="E12" s="30">
        <f t="shared" si="2"/>
        <v>2082.1219999999998</v>
      </c>
      <c r="F12" s="30">
        <f t="shared" si="2"/>
        <v>2102.5259999999998</v>
      </c>
      <c r="G12" s="30">
        <f t="shared" si="2"/>
        <v>1462.0260000000001</v>
      </c>
      <c r="H12" s="30">
        <f t="shared" si="2"/>
        <v>3655.3719999999998</v>
      </c>
      <c r="I12" s="30">
        <f t="shared" si="2"/>
        <v>2136.1219999999998</v>
      </c>
      <c r="J12" s="30">
        <f t="shared" si="2"/>
        <v>1295.7570000000001</v>
      </c>
      <c r="K12" s="30">
        <f t="shared" si="2"/>
        <v>1098.8140000000001</v>
      </c>
    </row>
    <row r="13" spans="1:11" x14ac:dyDescent="0.2">
      <c r="A13" s="39" t="s">
        <v>61</v>
      </c>
      <c r="C13" s="30">
        <v>1.544</v>
      </c>
      <c r="D13" s="30">
        <v>2.0059999999999998</v>
      </c>
      <c r="E13" s="30">
        <v>2.5550000000000002</v>
      </c>
      <c r="F13" s="30">
        <v>2.77</v>
      </c>
      <c r="G13" s="30">
        <v>3.2389999999999999</v>
      </c>
      <c r="H13" s="30">
        <v>2.1389999999999998</v>
      </c>
      <c r="I13" s="30">
        <v>1.732</v>
      </c>
      <c r="J13" s="30">
        <v>4.6550000000000002</v>
      </c>
      <c r="K13" s="30">
        <v>5.0949999999999998</v>
      </c>
    </row>
    <row r="14" spans="1:11" x14ac:dyDescent="0.2">
      <c r="A14" s="39" t="s">
        <v>60</v>
      </c>
      <c r="C14" s="30">
        <f t="shared" ref="C14:K14" si="3">SQRT((1+(C13^2)))</f>
        <v>1.8395477705131771</v>
      </c>
      <c r="D14" s="30">
        <f t="shared" si="3"/>
        <v>2.241436146759483</v>
      </c>
      <c r="E14" s="30">
        <f t="shared" si="3"/>
        <v>2.74372465819732</v>
      </c>
      <c r="F14" s="30">
        <f t="shared" si="3"/>
        <v>2.9449787775126666</v>
      </c>
      <c r="G14" s="30">
        <f t="shared" si="3"/>
        <v>3.3898556016444124</v>
      </c>
      <c r="H14" s="30">
        <f t="shared" si="3"/>
        <v>2.3612117651748221</v>
      </c>
      <c r="I14" s="30">
        <f t="shared" si="3"/>
        <v>1.9999559995159892</v>
      </c>
      <c r="J14" s="30">
        <f t="shared" si="3"/>
        <v>4.7611999537931613</v>
      </c>
      <c r="K14" s="30">
        <f t="shared" si="3"/>
        <v>5.1922081044580635</v>
      </c>
    </row>
    <row r="15" spans="1:11" x14ac:dyDescent="0.2">
      <c r="A15" s="39" t="s">
        <v>59</v>
      </c>
      <c r="H15" s="30">
        <f>H12/$E$2</f>
        <v>2.3350084488863136</v>
      </c>
      <c r="I15" s="30">
        <f>I12/$E$2</f>
        <v>1.3645294973676907</v>
      </c>
      <c r="J15" s="30">
        <f>J12/$E$2</f>
        <v>0.82771426347402766</v>
      </c>
      <c r="K15" s="30">
        <f>K12/$E$2</f>
        <v>0.70190940176665095</v>
      </c>
    </row>
    <row r="17" spans="1:13" x14ac:dyDescent="0.2">
      <c r="A17" s="39" t="s">
        <v>530</v>
      </c>
      <c r="C17" s="30">
        <v>1</v>
      </c>
    </row>
    <row r="18" spans="1:13" x14ac:dyDescent="0.2">
      <c r="A18" s="39" t="s">
        <v>63</v>
      </c>
      <c r="C18" s="30">
        <v>1913.538</v>
      </c>
      <c r="D18" s="30">
        <v>3200.1149999999998</v>
      </c>
      <c r="E18" s="30">
        <v>4549.3459999999995</v>
      </c>
      <c r="F18" s="30">
        <v>4035.788</v>
      </c>
      <c r="G18" s="30">
        <v>1434.077</v>
      </c>
      <c r="H18" s="30">
        <v>3445.75</v>
      </c>
      <c r="I18" s="30">
        <v>2345.1729999999998</v>
      </c>
    </row>
    <row r="19" spans="1:13" x14ac:dyDescent="0.2">
      <c r="A19" s="39" t="s">
        <v>62</v>
      </c>
      <c r="C19" s="30">
        <f t="shared" ref="C19:I19" si="4">C18-$B$5</f>
        <v>1638.3140000000001</v>
      </c>
      <c r="D19" s="30">
        <f t="shared" si="4"/>
        <v>2924.8909999999996</v>
      </c>
      <c r="E19" s="30">
        <f t="shared" si="4"/>
        <v>4274.1219999999994</v>
      </c>
      <c r="F19" s="30">
        <f t="shared" si="4"/>
        <v>3760.5639999999999</v>
      </c>
      <c r="G19" s="30">
        <f t="shared" si="4"/>
        <v>1158.8530000000001</v>
      </c>
      <c r="H19" s="30">
        <f t="shared" si="4"/>
        <v>3170.5259999999998</v>
      </c>
      <c r="I19" s="30">
        <f t="shared" si="4"/>
        <v>2069.9489999999996</v>
      </c>
    </row>
    <row r="20" spans="1:13" x14ac:dyDescent="0.2">
      <c r="A20" s="39" t="s">
        <v>61</v>
      </c>
      <c r="C20" s="30">
        <v>1.6120000000000001</v>
      </c>
      <c r="D20" s="30">
        <v>1.9830000000000001</v>
      </c>
      <c r="E20" s="30">
        <v>1.421</v>
      </c>
      <c r="F20" s="30">
        <v>1.002</v>
      </c>
      <c r="G20" s="30">
        <v>2.1560000000000001</v>
      </c>
      <c r="H20" s="30">
        <v>2.7909999999999999</v>
      </c>
      <c r="I20" s="30">
        <v>3.0569999999999999</v>
      </c>
    </row>
    <row r="21" spans="1:13" x14ac:dyDescent="0.2">
      <c r="A21" s="39" t="s">
        <v>60</v>
      </c>
      <c r="C21" s="30">
        <f t="shared" ref="C21:I21" si="5">SQRT((4+(C20^2)))</f>
        <v>2.5687631264871427</v>
      </c>
      <c r="D21" s="30">
        <f t="shared" si="5"/>
        <v>2.816431962608009</v>
      </c>
      <c r="E21" s="30">
        <f t="shared" si="5"/>
        <v>2.4534141517485382</v>
      </c>
      <c r="F21" s="30">
        <f t="shared" si="5"/>
        <v>2.236963119946326</v>
      </c>
      <c r="G21" s="30">
        <f t="shared" si="5"/>
        <v>2.9408053318776477</v>
      </c>
      <c r="H21" s="30">
        <f t="shared" si="5"/>
        <v>3.4336104904313185</v>
      </c>
      <c r="I21" s="30">
        <f t="shared" si="5"/>
        <v>3.6531149721846967</v>
      </c>
    </row>
    <row r="22" spans="1:13" x14ac:dyDescent="0.2">
      <c r="A22" s="39" t="s">
        <v>59</v>
      </c>
      <c r="D22" s="30">
        <f t="shared" ref="D22:I22" si="6">D19/$E$2</f>
        <v>1.8683858160185991</v>
      </c>
      <c r="E22" s="30">
        <f t="shared" si="6"/>
        <v>2.7302586389486128</v>
      </c>
      <c r="F22" s="30">
        <f t="shared" si="6"/>
        <v>2.4022038557437413</v>
      </c>
      <c r="G22" s="30">
        <f t="shared" si="6"/>
        <v>0.74026160566345955</v>
      </c>
      <c r="H22" s="30">
        <f t="shared" si="6"/>
        <v>2.0252945520767049</v>
      </c>
      <c r="I22" s="30">
        <f t="shared" si="6"/>
        <v>1.3222589667382076</v>
      </c>
    </row>
    <row r="24" spans="1:13" x14ac:dyDescent="0.2">
      <c r="A24" s="39" t="s">
        <v>529</v>
      </c>
      <c r="C24" s="30">
        <v>1</v>
      </c>
      <c r="D24" s="30">
        <v>1</v>
      </c>
      <c r="E24" s="30">
        <v>1</v>
      </c>
      <c r="F24" s="30">
        <v>1</v>
      </c>
    </row>
    <row r="25" spans="1:13" x14ac:dyDescent="0.2">
      <c r="A25" s="39" t="s">
        <v>63</v>
      </c>
      <c r="C25" s="30">
        <v>1632.385</v>
      </c>
      <c r="D25" s="30">
        <v>1475.923</v>
      </c>
      <c r="E25" s="30">
        <v>1948.5</v>
      </c>
      <c r="F25" s="30">
        <v>1372.154</v>
      </c>
      <c r="G25" s="30">
        <v>1836.346</v>
      </c>
      <c r="H25" s="30">
        <v>3811.6350000000002</v>
      </c>
      <c r="I25" s="30">
        <v>2500.596</v>
      </c>
      <c r="J25" s="30">
        <v>2957.8649999999998</v>
      </c>
      <c r="K25" s="30">
        <v>1569.538</v>
      </c>
      <c r="L25" s="30">
        <v>2943.538</v>
      </c>
      <c r="M25" s="30">
        <v>3163.7310000000002</v>
      </c>
    </row>
    <row r="26" spans="1:13" x14ac:dyDescent="0.2">
      <c r="A26" s="39" t="s">
        <v>62</v>
      </c>
      <c r="C26" s="30">
        <f t="shared" ref="C26:M26" si="7">C25-$B$5</f>
        <v>1357.1610000000001</v>
      </c>
      <c r="D26" s="30">
        <f t="shared" si="7"/>
        <v>1200.6990000000001</v>
      </c>
      <c r="E26" s="30">
        <f t="shared" si="7"/>
        <v>1673.2760000000001</v>
      </c>
      <c r="F26" s="30">
        <f t="shared" si="7"/>
        <v>1096.93</v>
      </c>
      <c r="G26" s="30">
        <f t="shared" si="7"/>
        <v>1561.1220000000001</v>
      </c>
      <c r="H26" s="30">
        <f t="shared" si="7"/>
        <v>3536.4110000000001</v>
      </c>
      <c r="I26" s="30">
        <f t="shared" si="7"/>
        <v>2225.3719999999998</v>
      </c>
      <c r="J26" s="30">
        <f t="shared" si="7"/>
        <v>2682.6409999999996</v>
      </c>
      <c r="K26" s="30">
        <f t="shared" si="7"/>
        <v>1294.3140000000001</v>
      </c>
      <c r="L26" s="30">
        <f t="shared" si="7"/>
        <v>2668.3139999999999</v>
      </c>
      <c r="M26" s="30">
        <f t="shared" si="7"/>
        <v>2888.5070000000001</v>
      </c>
    </row>
    <row r="27" spans="1:13" x14ac:dyDescent="0.2">
      <c r="A27" s="39" t="s">
        <v>61</v>
      </c>
      <c r="C27" s="30">
        <v>2.1230000000000002</v>
      </c>
      <c r="D27" s="30">
        <v>1.6639999999999999</v>
      </c>
      <c r="E27" s="30">
        <v>2.706</v>
      </c>
      <c r="F27" s="30">
        <v>2.8759999999999999</v>
      </c>
      <c r="G27" s="30">
        <v>1.841</v>
      </c>
      <c r="H27" s="30">
        <v>1.173</v>
      </c>
      <c r="I27" s="30">
        <v>0.63700000000000001</v>
      </c>
      <c r="J27" s="30">
        <v>1.0529999999999999</v>
      </c>
      <c r="K27" s="30">
        <v>1.484</v>
      </c>
      <c r="L27" s="30">
        <v>2.89</v>
      </c>
      <c r="M27" s="30">
        <v>3.0510000000000002</v>
      </c>
    </row>
    <row r="28" spans="1:13" x14ac:dyDescent="0.2">
      <c r="A28" s="39" t="s">
        <v>60</v>
      </c>
      <c r="C28" s="30">
        <f t="shared" ref="C28:M28" si="8">SQRT((9+(C27^2)))</f>
        <v>3.6752046201538224</v>
      </c>
      <c r="D28" s="30">
        <f t="shared" si="8"/>
        <v>3.4305824578342379</v>
      </c>
      <c r="E28" s="30">
        <f t="shared" si="8"/>
        <v>4.0401034640216826</v>
      </c>
      <c r="F28" s="30">
        <f t="shared" si="8"/>
        <v>4.1558845027262246</v>
      </c>
      <c r="G28" s="30">
        <f t="shared" si="8"/>
        <v>3.5198410475474602</v>
      </c>
      <c r="H28" s="30">
        <f t="shared" si="8"/>
        <v>3.2211688872209105</v>
      </c>
      <c r="I28" s="30">
        <f t="shared" si="8"/>
        <v>3.0668826192079801</v>
      </c>
      <c r="J28" s="30">
        <f t="shared" si="8"/>
        <v>3.1794353272240028</v>
      </c>
      <c r="K28" s="30">
        <f t="shared" si="8"/>
        <v>3.3469771436327438</v>
      </c>
      <c r="L28" s="30">
        <f t="shared" si="8"/>
        <v>4.1655851929830936</v>
      </c>
      <c r="M28" s="30">
        <f t="shared" si="8"/>
        <v>4.2788551038800087</v>
      </c>
    </row>
    <row r="29" spans="1:13" x14ac:dyDescent="0.2">
      <c r="A29" s="39" t="s">
        <v>59</v>
      </c>
      <c r="G29" s="30">
        <f t="shared" ref="G29:M29" si="9">G26/$E$2</f>
        <v>0.99722629044110978</v>
      </c>
      <c r="H29" s="30">
        <f t="shared" si="9"/>
        <v>2.259017567496413</v>
      </c>
      <c r="I29" s="30">
        <f t="shared" si="9"/>
        <v>1.4215413429645556</v>
      </c>
      <c r="J29" s="30">
        <f t="shared" si="9"/>
        <v>1.7136393779699657</v>
      </c>
      <c r="K29" s="30">
        <f t="shared" si="9"/>
        <v>0.82679249212168848</v>
      </c>
      <c r="L29" s="30">
        <f t="shared" si="9"/>
        <v>1.7044874596297273</v>
      </c>
      <c r="M29" s="30">
        <f t="shared" si="9"/>
        <v>1.8451441466606573</v>
      </c>
    </row>
    <row r="31" spans="1:13" x14ac:dyDescent="0.2">
      <c r="A31" s="39" t="s">
        <v>520</v>
      </c>
    </row>
    <row r="32" spans="1:13" x14ac:dyDescent="0.2">
      <c r="A32" s="39" t="s">
        <v>63</v>
      </c>
      <c r="C32" s="30">
        <v>1153.058</v>
      </c>
      <c r="D32" s="30">
        <v>1287.25</v>
      </c>
    </row>
    <row r="33" spans="1:9" x14ac:dyDescent="0.2">
      <c r="A33" s="39" t="s">
        <v>62</v>
      </c>
      <c r="C33" s="30">
        <f>C32-$B$5</f>
        <v>877.83400000000006</v>
      </c>
      <c r="D33" s="30">
        <f>D32-$B$5</f>
        <v>1012.0260000000001</v>
      </c>
    </row>
    <row r="34" spans="1:9" x14ac:dyDescent="0.2">
      <c r="A34" s="39" t="s">
        <v>61</v>
      </c>
      <c r="C34" s="30">
        <v>2.8039999999999998</v>
      </c>
      <c r="D34" s="30">
        <v>3.0659999999999998</v>
      </c>
    </row>
    <row r="35" spans="1:9" x14ac:dyDescent="0.2">
      <c r="A35" s="39" t="s">
        <v>60</v>
      </c>
      <c r="C35" s="30">
        <f>SQRT((16+(C34^2)))</f>
        <v>4.884917194794606</v>
      </c>
      <c r="D35" s="30">
        <f>SQRT((16+(D34^2)))</f>
        <v>5.0398765857905685</v>
      </c>
    </row>
    <row r="36" spans="1:9" x14ac:dyDescent="0.2">
      <c r="A36" s="39" t="s">
        <v>59</v>
      </c>
      <c r="C36" s="30">
        <f>C33/$E$2</f>
        <v>0.56074998843337109</v>
      </c>
      <c r="D36" s="30">
        <f>D33/$E$2</f>
        <v>0.64647025268361769</v>
      </c>
    </row>
    <row r="38" spans="1:9" x14ac:dyDescent="0.2">
      <c r="A38" s="39" t="s">
        <v>528</v>
      </c>
      <c r="C38" s="30">
        <v>1</v>
      </c>
    </row>
    <row r="39" spans="1:9" x14ac:dyDescent="0.2">
      <c r="A39" s="39" t="s">
        <v>63</v>
      </c>
      <c r="C39" s="30">
        <v>3028.788</v>
      </c>
      <c r="D39" s="30">
        <v>4253.8850000000002</v>
      </c>
      <c r="E39" s="30">
        <v>4934.808</v>
      </c>
      <c r="F39" s="30">
        <v>6390.6149999999998</v>
      </c>
      <c r="G39" s="30">
        <v>5873.1350000000002</v>
      </c>
      <c r="H39" s="30">
        <v>6063.1149999999998</v>
      </c>
      <c r="I39" s="30">
        <v>4443.9040000000005</v>
      </c>
    </row>
    <row r="40" spans="1:9" x14ac:dyDescent="0.2">
      <c r="A40" s="39" t="s">
        <v>62</v>
      </c>
      <c r="C40" s="30">
        <f t="shared" ref="C40:I40" si="10">C39-$B$5</f>
        <v>2753.5639999999999</v>
      </c>
      <c r="D40" s="30">
        <f t="shared" si="10"/>
        <v>3978.6610000000001</v>
      </c>
      <c r="E40" s="30">
        <f t="shared" si="10"/>
        <v>4659.5839999999998</v>
      </c>
      <c r="F40" s="30">
        <f t="shared" si="10"/>
        <v>6115.3909999999996</v>
      </c>
      <c r="G40" s="30">
        <f t="shared" si="10"/>
        <v>5597.9110000000001</v>
      </c>
      <c r="H40" s="30">
        <f t="shared" si="10"/>
        <v>5787.8909999999996</v>
      </c>
      <c r="I40" s="30">
        <f t="shared" si="10"/>
        <v>4168.68</v>
      </c>
    </row>
    <row r="41" spans="1:9" x14ac:dyDescent="0.2">
      <c r="A41" s="39" t="s">
        <v>61</v>
      </c>
      <c r="C41" s="30">
        <v>1.7470000000000001</v>
      </c>
      <c r="D41" s="30">
        <v>0.41399999999999998</v>
      </c>
      <c r="E41" s="30">
        <v>0.51500000000000001</v>
      </c>
      <c r="F41" s="30">
        <v>1.21</v>
      </c>
      <c r="G41" s="30">
        <v>1.163</v>
      </c>
      <c r="H41" s="30">
        <v>1.974</v>
      </c>
      <c r="I41" s="30">
        <v>2.004</v>
      </c>
    </row>
    <row r="42" spans="1:9" x14ac:dyDescent="0.2">
      <c r="A42" s="39" t="s">
        <v>60</v>
      </c>
      <c r="C42" s="30">
        <f t="shared" ref="C42:I42" si="11">SQRT((1+(C41^2)))</f>
        <v>2.0129602579286061</v>
      </c>
      <c r="D42" s="30">
        <f t="shared" si="11"/>
        <v>1.0823104914949315</v>
      </c>
      <c r="E42" s="30">
        <f t="shared" si="11"/>
        <v>1.1248222081733628</v>
      </c>
      <c r="F42" s="30">
        <f t="shared" si="11"/>
        <v>1.5697452022541749</v>
      </c>
      <c r="G42" s="30">
        <f t="shared" si="11"/>
        <v>1.5338086582100128</v>
      </c>
      <c r="H42" s="30">
        <f t="shared" si="11"/>
        <v>2.2128434196752376</v>
      </c>
      <c r="I42" s="30">
        <f t="shared" si="11"/>
        <v>2.2396464006623904</v>
      </c>
    </row>
    <row r="43" spans="1:9" x14ac:dyDescent="0.2">
      <c r="A43" s="39" t="s">
        <v>59</v>
      </c>
      <c r="D43" s="30">
        <f t="shared" ref="D43:I43" si="12">D40/$E$2</f>
        <v>2.541521642736901</v>
      </c>
      <c r="E43" s="30">
        <f t="shared" si="12"/>
        <v>2.9764872106848457</v>
      </c>
      <c r="F43" s="30">
        <f t="shared" si="12"/>
        <v>3.9064395233216547</v>
      </c>
      <c r="G43" s="30">
        <f t="shared" si="12"/>
        <v>3.5758794128514508</v>
      </c>
      <c r="H43" s="30">
        <f t="shared" si="12"/>
        <v>3.6972363924199931</v>
      </c>
      <c r="I43" s="30">
        <f t="shared" si="12"/>
        <v>2.6629035350446957</v>
      </c>
    </row>
    <row r="45" spans="1:9" x14ac:dyDescent="0.2">
      <c r="A45" s="39" t="s">
        <v>527</v>
      </c>
      <c r="C45" s="30">
        <v>1</v>
      </c>
    </row>
    <row r="46" spans="1:9" x14ac:dyDescent="0.2">
      <c r="A46" s="39" t="s">
        <v>63</v>
      </c>
      <c r="C46" s="30">
        <v>890.346</v>
      </c>
      <c r="D46" s="30">
        <v>4919.7690000000002</v>
      </c>
      <c r="E46" s="30">
        <v>5451.4040000000005</v>
      </c>
      <c r="F46" s="30">
        <v>4371.3850000000002</v>
      </c>
    </row>
    <row r="47" spans="1:9" x14ac:dyDescent="0.2">
      <c r="A47" s="39" t="s">
        <v>62</v>
      </c>
      <c r="C47" s="30">
        <f>C46-$B$5</f>
        <v>615.12200000000007</v>
      </c>
      <c r="D47" s="30">
        <f>D46-$B$5</f>
        <v>4644.5450000000001</v>
      </c>
      <c r="E47" s="30">
        <f>E46-$B$5</f>
        <v>5176.18</v>
      </c>
      <c r="F47" s="30">
        <f>F46-$B$5</f>
        <v>4096.1610000000001</v>
      </c>
    </row>
    <row r="48" spans="1:9" x14ac:dyDescent="0.2">
      <c r="A48" s="39" t="s">
        <v>61</v>
      </c>
      <c r="C48" s="30">
        <v>5.4880000000000004</v>
      </c>
      <c r="D48" s="30">
        <v>1.165</v>
      </c>
      <c r="E48" s="30">
        <v>1.2769999999999999</v>
      </c>
      <c r="F48" s="30">
        <v>0.86699999999999999</v>
      </c>
    </row>
    <row r="49" spans="1:6" x14ac:dyDescent="0.2">
      <c r="A49" s="39" t="s">
        <v>60</v>
      </c>
      <c r="C49" s="30">
        <f>SQRT((4+(C48^2)))</f>
        <v>5.8410738738694272</v>
      </c>
      <c r="D49" s="30">
        <f>SQRT((4+(D48^2)))</f>
        <v>2.3145679942486028</v>
      </c>
      <c r="E49" s="30">
        <f>SQRT((4+(E48^2)))</f>
        <v>2.3729157170030293</v>
      </c>
      <c r="F49" s="30">
        <f>SQRT((4+(F48^2)))</f>
        <v>2.179836920505752</v>
      </c>
    </row>
    <row r="50" spans="1:6" x14ac:dyDescent="0.2">
      <c r="A50" s="39" t="s">
        <v>59</v>
      </c>
      <c r="D50" s="30">
        <f>D47/$E$2</f>
        <v>2.9668804751562043</v>
      </c>
      <c r="E50" s="30">
        <f>E47/$E$2</f>
        <v>3.3064826323986618</v>
      </c>
      <c r="F50" s="30">
        <f>F47/$E$2</f>
        <v>2.6165792545871152</v>
      </c>
    </row>
    <row r="52" spans="1:6" x14ac:dyDescent="0.2">
      <c r="A52" s="39" t="s">
        <v>526</v>
      </c>
    </row>
    <row r="53" spans="1:6" x14ac:dyDescent="0.2">
      <c r="A53" s="39" t="s">
        <v>63</v>
      </c>
      <c r="C53" s="30">
        <v>2101.6350000000002</v>
      </c>
    </row>
    <row r="54" spans="1:6" x14ac:dyDescent="0.2">
      <c r="A54" s="39" t="s">
        <v>62</v>
      </c>
      <c r="C54" s="30">
        <f>C53-B5</f>
        <v>1826.4110000000003</v>
      </c>
    </row>
    <row r="55" spans="1:6" x14ac:dyDescent="0.2">
      <c r="A55" s="39" t="s">
        <v>61</v>
      </c>
      <c r="C55" s="30">
        <v>1.1140000000000001</v>
      </c>
    </row>
    <row r="56" spans="1:6" x14ac:dyDescent="0.2">
      <c r="A56" s="39" t="s">
        <v>60</v>
      </c>
      <c r="C56" s="30">
        <f>SQRT((9+(C55^2)))</f>
        <v>3.2001556212159437</v>
      </c>
    </row>
    <row r="57" spans="1:6" x14ac:dyDescent="0.2">
      <c r="A57" s="39" t="s">
        <v>59</v>
      </c>
      <c r="C57" s="30">
        <f>C54/E2</f>
        <v>1.166689769506059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F0D9-D4D9-0047-BE82-92D49C43F7A3}">
  <sheetPr>
    <outlinePr summaryBelow="0" summaryRight="0"/>
  </sheetPr>
  <dimension ref="A1:X80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6" ht="16" x14ac:dyDescent="0.2">
      <c r="A1" s="12" t="s">
        <v>75</v>
      </c>
      <c r="B1" s="12"/>
      <c r="C1" s="15">
        <v>45166</v>
      </c>
      <c r="D1" s="12"/>
      <c r="E1" s="12"/>
      <c r="F1" s="12"/>
      <c r="G1" s="12"/>
      <c r="H1" s="12"/>
    </row>
    <row r="2" spans="1:16" ht="16" x14ac:dyDescent="0.2">
      <c r="A2" s="12"/>
      <c r="B2" s="12"/>
      <c r="C2" s="12"/>
      <c r="D2" s="12"/>
      <c r="E2" s="12"/>
      <c r="F2" s="12"/>
      <c r="G2" s="12"/>
      <c r="H2" s="12"/>
    </row>
    <row r="3" spans="1:16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6" ht="16" x14ac:dyDescent="0.2">
      <c r="A4" s="12" t="s">
        <v>27</v>
      </c>
      <c r="B4" s="13">
        <v>39.301000000000002</v>
      </c>
      <c r="C4" s="12"/>
      <c r="D4" s="12" t="s">
        <v>73</v>
      </c>
      <c r="E4" s="13">
        <f>AVERAGE(C8,C21,C49,C56,D56,E56,F56,C63)</f>
        <v>370.602125</v>
      </c>
      <c r="F4" s="12"/>
      <c r="G4" s="55" t="s">
        <v>72</v>
      </c>
      <c r="H4" s="56"/>
    </row>
    <row r="5" spans="1:16" ht="16" x14ac:dyDescent="0.2">
      <c r="A5" s="12"/>
      <c r="B5" s="12"/>
      <c r="C5" s="12"/>
      <c r="D5" s="12"/>
      <c r="E5" s="12"/>
      <c r="F5" s="12"/>
      <c r="G5" s="12"/>
      <c r="H5" s="12"/>
    </row>
    <row r="6" spans="1:16" ht="15" x14ac:dyDescent="0.2">
      <c r="A6" s="10" t="s">
        <v>185</v>
      </c>
      <c r="B6" s="14" t="s">
        <v>70</v>
      </c>
      <c r="C6" s="8">
        <v>1</v>
      </c>
      <c r="P6" s="8"/>
    </row>
    <row r="7" spans="1:16" ht="16" x14ac:dyDescent="0.2">
      <c r="A7" s="9" t="s">
        <v>63</v>
      </c>
      <c r="B7" s="13">
        <v>216.06200000000001</v>
      </c>
      <c r="C7" s="8">
        <v>552.80499999999995</v>
      </c>
      <c r="D7" s="8">
        <v>832.59400000000005</v>
      </c>
      <c r="E7" s="8">
        <v>973.40599999999995</v>
      </c>
      <c r="F7" s="8">
        <v>827.61300000000006</v>
      </c>
      <c r="G7" s="8">
        <v>731.01599999999996</v>
      </c>
      <c r="H7" s="8">
        <v>1742.203</v>
      </c>
      <c r="I7" s="8">
        <v>1920.7380000000001</v>
      </c>
      <c r="J7" s="8">
        <v>545.31600000000003</v>
      </c>
      <c r="K7" s="8">
        <v>1026.8710000000001</v>
      </c>
      <c r="L7" s="8">
        <v>1062.4960000000001</v>
      </c>
      <c r="M7" s="8">
        <v>375.53100000000001</v>
      </c>
    </row>
    <row r="8" spans="1:16" ht="16" x14ac:dyDescent="0.2">
      <c r="A8" s="9" t="s">
        <v>62</v>
      </c>
      <c r="B8" s="12"/>
      <c r="C8" s="8">
        <f t="shared" ref="C8:M8" si="0">C7-$B$7</f>
        <v>336.74299999999994</v>
      </c>
      <c r="D8" s="8">
        <f t="shared" si="0"/>
        <v>616.53200000000004</v>
      </c>
      <c r="E8" s="8">
        <f t="shared" si="0"/>
        <v>757.34399999999994</v>
      </c>
      <c r="F8" s="8">
        <f t="shared" si="0"/>
        <v>611.55100000000004</v>
      </c>
      <c r="G8" s="8">
        <f t="shared" si="0"/>
        <v>514.95399999999995</v>
      </c>
      <c r="H8" s="8">
        <f t="shared" si="0"/>
        <v>1526.1410000000001</v>
      </c>
      <c r="I8" s="8">
        <f t="shared" si="0"/>
        <v>1704.6759999999999</v>
      </c>
      <c r="J8" s="8">
        <f t="shared" si="0"/>
        <v>329.25400000000002</v>
      </c>
      <c r="K8" s="8">
        <f t="shared" si="0"/>
        <v>810.80900000000008</v>
      </c>
      <c r="L8" s="8">
        <f t="shared" si="0"/>
        <v>846.43400000000008</v>
      </c>
      <c r="M8" s="8">
        <f t="shared" si="0"/>
        <v>159.46899999999999</v>
      </c>
    </row>
    <row r="9" spans="1:16" ht="16" x14ac:dyDescent="0.2">
      <c r="A9" s="9" t="s">
        <v>61</v>
      </c>
      <c r="B9" s="12"/>
      <c r="C9" s="8">
        <v>5.5460000000000003</v>
      </c>
      <c r="D9" s="8">
        <v>2.859</v>
      </c>
      <c r="E9" s="8">
        <v>2.1379999999999999</v>
      </c>
      <c r="F9" s="8">
        <v>1.3580000000000001</v>
      </c>
      <c r="G9" s="8">
        <v>2.722</v>
      </c>
      <c r="H9" s="8">
        <v>2.72</v>
      </c>
      <c r="I9" s="8">
        <v>2.137</v>
      </c>
      <c r="J9" s="8">
        <v>3.4940000000000002</v>
      </c>
      <c r="K9" s="8">
        <v>2.8239999999999998</v>
      </c>
      <c r="L9" s="8">
        <v>2.4009999999999998</v>
      </c>
      <c r="M9" s="8">
        <v>1.76</v>
      </c>
    </row>
    <row r="10" spans="1:16" ht="16" x14ac:dyDescent="0.2">
      <c r="A10" s="9" t="s">
        <v>59</v>
      </c>
      <c r="B10" s="12"/>
      <c r="D10" s="8">
        <f t="shared" ref="D10:M10" si="1">D8/$E$4</f>
        <v>1.6635954259571502</v>
      </c>
      <c r="E10" s="8">
        <f t="shared" si="1"/>
        <v>2.0435500740855166</v>
      </c>
      <c r="F10" s="8">
        <f t="shared" si="1"/>
        <v>1.6501551360505557</v>
      </c>
      <c r="G10" s="8">
        <f t="shared" si="1"/>
        <v>1.3895063337804658</v>
      </c>
      <c r="H10" s="8">
        <f t="shared" si="1"/>
        <v>4.1180039105280359</v>
      </c>
      <c r="I10" s="8">
        <f t="shared" si="1"/>
        <v>4.599746965832967</v>
      </c>
      <c r="J10" s="8">
        <f t="shared" si="1"/>
        <v>0.88842987611039737</v>
      </c>
      <c r="K10" s="8">
        <f t="shared" si="1"/>
        <v>2.1878153019225133</v>
      </c>
      <c r="L10" s="8">
        <f t="shared" si="1"/>
        <v>2.2839426514351477</v>
      </c>
      <c r="M10" s="8">
        <f t="shared" si="1"/>
        <v>0.43029704700155186</v>
      </c>
    </row>
    <row r="12" spans="1:16" ht="15" x14ac:dyDescent="0.2">
      <c r="A12" s="10" t="s">
        <v>184</v>
      </c>
    </row>
    <row r="13" spans="1:16" ht="15" x14ac:dyDescent="0.2">
      <c r="A13" s="9" t="s">
        <v>63</v>
      </c>
      <c r="C13" s="8">
        <v>1113.4839999999999</v>
      </c>
      <c r="D13" s="8">
        <v>1743.0940000000001</v>
      </c>
      <c r="E13" s="8">
        <v>2122.6640000000002</v>
      </c>
      <c r="F13" s="8">
        <v>1229.2660000000001</v>
      </c>
      <c r="G13" s="8">
        <v>826.21900000000005</v>
      </c>
      <c r="H13" s="8">
        <v>1713.5119999999999</v>
      </c>
      <c r="I13" s="8">
        <v>1733.7190000000001</v>
      </c>
      <c r="J13" s="8">
        <v>1446.0160000000001</v>
      </c>
      <c r="K13" s="8">
        <v>1348.3589999999999</v>
      </c>
      <c r="L13" s="8">
        <v>546.37900000000002</v>
      </c>
      <c r="M13" s="8">
        <v>398.39100000000002</v>
      </c>
    </row>
    <row r="14" spans="1:16" ht="15" x14ac:dyDescent="0.2">
      <c r="A14" s="9" t="s">
        <v>62</v>
      </c>
      <c r="C14" s="8">
        <f t="shared" ref="C14:M14" si="2">C13-$B$7</f>
        <v>897.42199999999991</v>
      </c>
      <c r="D14" s="8">
        <f t="shared" si="2"/>
        <v>1527.0320000000002</v>
      </c>
      <c r="E14" s="8">
        <f t="shared" si="2"/>
        <v>1906.6020000000003</v>
      </c>
      <c r="F14" s="8">
        <f t="shared" si="2"/>
        <v>1013.2040000000001</v>
      </c>
      <c r="G14" s="8">
        <f t="shared" si="2"/>
        <v>610.15700000000004</v>
      </c>
      <c r="H14" s="8">
        <f t="shared" si="2"/>
        <v>1497.4499999999998</v>
      </c>
      <c r="I14" s="8">
        <f t="shared" si="2"/>
        <v>1517.6570000000002</v>
      </c>
      <c r="J14" s="8">
        <f t="shared" si="2"/>
        <v>1229.9540000000002</v>
      </c>
      <c r="K14" s="8">
        <f t="shared" si="2"/>
        <v>1132.297</v>
      </c>
      <c r="L14" s="8">
        <f t="shared" si="2"/>
        <v>330.31700000000001</v>
      </c>
      <c r="M14" s="8">
        <f t="shared" si="2"/>
        <v>182.32900000000001</v>
      </c>
    </row>
    <row r="15" spans="1:16" ht="15" x14ac:dyDescent="0.2">
      <c r="A15" s="9" t="s">
        <v>61</v>
      </c>
      <c r="C15" s="8">
        <v>1.728</v>
      </c>
      <c r="D15" s="8">
        <v>2.7450000000000001</v>
      </c>
      <c r="E15" s="8">
        <v>2.1059999999999999</v>
      </c>
      <c r="F15" s="8">
        <v>1.294</v>
      </c>
      <c r="G15" s="8">
        <v>2.6960000000000002</v>
      </c>
      <c r="H15" s="8">
        <v>2.76</v>
      </c>
      <c r="I15" s="8">
        <v>2.1280000000000001</v>
      </c>
      <c r="J15" s="8">
        <v>2.7469999999999999</v>
      </c>
      <c r="K15" s="8">
        <v>2.6829999999999998</v>
      </c>
      <c r="L15" s="8">
        <v>2.29</v>
      </c>
      <c r="M15" s="8">
        <v>1.93</v>
      </c>
    </row>
    <row r="16" spans="1:16" ht="15" x14ac:dyDescent="0.2">
      <c r="A16" s="9" t="s">
        <v>60</v>
      </c>
      <c r="C16" s="8">
        <f t="shared" ref="C16:M16" si="3">SQRT((C15^2)+1)</f>
        <v>1.9964929251064227</v>
      </c>
      <c r="D16" s="8">
        <f t="shared" si="3"/>
        <v>2.9214765102598381</v>
      </c>
      <c r="E16" s="8">
        <f t="shared" si="3"/>
        <v>2.3313592601742013</v>
      </c>
      <c r="F16" s="8">
        <f t="shared" si="3"/>
        <v>1.6353702944593314</v>
      </c>
      <c r="G16" s="8">
        <f t="shared" si="3"/>
        <v>2.8754853503365307</v>
      </c>
      <c r="H16" s="8">
        <f t="shared" si="3"/>
        <v>2.9355749011054035</v>
      </c>
      <c r="I16" s="8">
        <f t="shared" si="3"/>
        <v>2.351251581604997</v>
      </c>
      <c r="J16" s="8">
        <f t="shared" si="3"/>
        <v>2.9233557771848435</v>
      </c>
      <c r="K16" s="8">
        <f t="shared" si="3"/>
        <v>2.8633003684559535</v>
      </c>
      <c r="L16" s="8">
        <f t="shared" si="3"/>
        <v>2.4988197213884797</v>
      </c>
      <c r="M16" s="8">
        <f t="shared" si="3"/>
        <v>2.1736835096213984</v>
      </c>
    </row>
    <row r="17" spans="1:16" ht="15" x14ac:dyDescent="0.2">
      <c r="A17" s="9" t="s">
        <v>59</v>
      </c>
      <c r="C17" s="8">
        <f t="shared" ref="C17:M17" si="4">C14/$E$4</f>
        <v>2.4215241615249776</v>
      </c>
      <c r="D17" s="8">
        <f t="shared" si="4"/>
        <v>4.1204081061326896</v>
      </c>
      <c r="E17" s="8">
        <f t="shared" si="4"/>
        <v>5.1446062269610575</v>
      </c>
      <c r="F17" s="8">
        <f t="shared" si="4"/>
        <v>2.7339400711747133</v>
      </c>
      <c r="G17" s="8">
        <f t="shared" si="4"/>
        <v>1.6463936897285736</v>
      </c>
      <c r="H17" s="8">
        <f t="shared" si="4"/>
        <v>4.0405866534089618</v>
      </c>
      <c r="I17" s="8">
        <f t="shared" si="4"/>
        <v>4.0951114352083113</v>
      </c>
      <c r="J17" s="8">
        <f t="shared" si="4"/>
        <v>3.3187991029463206</v>
      </c>
      <c r="K17" s="8">
        <f t="shared" si="4"/>
        <v>3.0552900904170479</v>
      </c>
      <c r="L17" s="8">
        <f t="shared" si="4"/>
        <v>0.89129818130427618</v>
      </c>
      <c r="M17" s="8">
        <f t="shared" si="4"/>
        <v>0.4919804493835539</v>
      </c>
    </row>
    <row r="19" spans="1:16" ht="15" x14ac:dyDescent="0.2">
      <c r="A19" s="10" t="s">
        <v>183</v>
      </c>
      <c r="C19" s="8">
        <v>1</v>
      </c>
    </row>
    <row r="20" spans="1:16" ht="15" x14ac:dyDescent="0.2">
      <c r="A20" s="9" t="s">
        <v>63</v>
      </c>
      <c r="C20" s="8">
        <v>544.12099999999998</v>
      </c>
      <c r="D20" s="8">
        <v>913.02300000000002</v>
      </c>
      <c r="E20" s="8">
        <v>566.54300000000001</v>
      </c>
      <c r="F20" s="8">
        <v>507.613</v>
      </c>
      <c r="G20" s="8">
        <v>803.35500000000002</v>
      </c>
      <c r="H20" s="8">
        <v>381.46100000000001</v>
      </c>
      <c r="I20" s="8">
        <v>558.28499999999997</v>
      </c>
      <c r="J20" s="8">
        <v>670.98800000000006</v>
      </c>
      <c r="K20" s="8">
        <v>924.14099999999996</v>
      </c>
      <c r="L20" s="8">
        <v>1043.8320000000001</v>
      </c>
      <c r="M20" s="8">
        <v>2038.6289999999999</v>
      </c>
      <c r="N20" s="8">
        <v>1410.328</v>
      </c>
      <c r="O20" s="8">
        <v>1049.02</v>
      </c>
    </row>
    <row r="21" spans="1:16" ht="15" x14ac:dyDescent="0.2">
      <c r="A21" s="9" t="s">
        <v>62</v>
      </c>
      <c r="C21" s="8">
        <f t="shared" ref="C21:O21" si="5">C20-$B$7</f>
        <v>328.05899999999997</v>
      </c>
      <c r="D21" s="8">
        <f t="shared" si="5"/>
        <v>696.96100000000001</v>
      </c>
      <c r="E21" s="8">
        <f t="shared" si="5"/>
        <v>350.48099999999999</v>
      </c>
      <c r="F21" s="8">
        <f t="shared" si="5"/>
        <v>291.55099999999999</v>
      </c>
      <c r="G21" s="8">
        <f t="shared" si="5"/>
        <v>587.29300000000001</v>
      </c>
      <c r="H21" s="8">
        <f t="shared" si="5"/>
        <v>165.399</v>
      </c>
      <c r="I21" s="8">
        <f t="shared" si="5"/>
        <v>342.22299999999996</v>
      </c>
      <c r="J21" s="8">
        <f t="shared" si="5"/>
        <v>454.92600000000004</v>
      </c>
      <c r="K21" s="8">
        <f t="shared" si="5"/>
        <v>708.07899999999995</v>
      </c>
      <c r="L21" s="8">
        <f t="shared" si="5"/>
        <v>827.7700000000001</v>
      </c>
      <c r="M21" s="8">
        <f t="shared" si="5"/>
        <v>1822.567</v>
      </c>
      <c r="N21" s="8">
        <f t="shared" si="5"/>
        <v>1194.2660000000001</v>
      </c>
      <c r="O21" s="8">
        <f t="shared" si="5"/>
        <v>832.95799999999997</v>
      </c>
    </row>
    <row r="22" spans="1:16" ht="15" x14ac:dyDescent="0.2">
      <c r="A22" s="9" t="s">
        <v>61</v>
      </c>
      <c r="C22" s="8">
        <v>5.0519999999999996</v>
      </c>
      <c r="D22" s="8">
        <v>1.484</v>
      </c>
      <c r="E22" s="8">
        <v>3.0270000000000001</v>
      </c>
      <c r="F22" s="8">
        <v>2.823</v>
      </c>
      <c r="G22" s="8">
        <v>2.1120000000000001</v>
      </c>
      <c r="H22" s="8">
        <v>1.1970000000000001</v>
      </c>
      <c r="I22" s="8">
        <v>0.995</v>
      </c>
      <c r="J22" s="8">
        <v>1.95</v>
      </c>
      <c r="K22" s="8">
        <v>2.923</v>
      </c>
      <c r="L22" s="8">
        <v>2.6890000000000001</v>
      </c>
      <c r="M22" s="8">
        <v>2.1480000000000001</v>
      </c>
      <c r="N22" s="8">
        <v>1.4550000000000001</v>
      </c>
      <c r="O22" s="8">
        <v>2.2730000000000001</v>
      </c>
    </row>
    <row r="23" spans="1:16" ht="15" x14ac:dyDescent="0.2">
      <c r="A23" s="9" t="s">
        <v>60</v>
      </c>
      <c r="C23" s="8">
        <f t="shared" ref="C23:O23" si="6">SQRT((C22^2)+4)</f>
        <v>5.4334799162231198</v>
      </c>
      <c r="D23" s="8">
        <f t="shared" si="6"/>
        <v>2.4904328940969278</v>
      </c>
      <c r="E23" s="8">
        <f t="shared" si="6"/>
        <v>3.6280475465462136</v>
      </c>
      <c r="F23" s="8">
        <f t="shared" si="6"/>
        <v>3.4596718052439597</v>
      </c>
      <c r="G23" s="8">
        <f t="shared" si="6"/>
        <v>2.9087014284728503</v>
      </c>
      <c r="H23" s="8">
        <f t="shared" si="6"/>
        <v>2.3308386902572216</v>
      </c>
      <c r="I23" s="8">
        <f t="shared" si="6"/>
        <v>2.2338363861303718</v>
      </c>
      <c r="J23" s="8">
        <f t="shared" si="6"/>
        <v>2.7932955446926844</v>
      </c>
      <c r="K23" s="8">
        <f t="shared" si="6"/>
        <v>3.5417409560836037</v>
      </c>
      <c r="L23" s="8">
        <f t="shared" si="6"/>
        <v>3.3512267902963533</v>
      </c>
      <c r="M23" s="8">
        <f t="shared" si="6"/>
        <v>2.9349453146523876</v>
      </c>
      <c r="N23" s="8">
        <f t="shared" si="6"/>
        <v>2.4732620160427805</v>
      </c>
      <c r="O23" s="8">
        <f t="shared" si="6"/>
        <v>3.0276276191103819</v>
      </c>
    </row>
    <row r="24" spans="1:16" ht="15" x14ac:dyDescent="0.2">
      <c r="A24" s="9" t="s">
        <v>59</v>
      </c>
      <c r="C24" s="8">
        <f t="shared" ref="C24:N24" si="7">SQRT((C23^2)+4)</f>
        <v>5.7898794460679408</v>
      </c>
      <c r="D24" s="8">
        <f t="shared" si="7"/>
        <v>3.1940970555072363</v>
      </c>
      <c r="E24" s="8">
        <f t="shared" si="7"/>
        <v>4.1427924157505167</v>
      </c>
      <c r="F24" s="8">
        <f t="shared" si="7"/>
        <v>3.9961642859121795</v>
      </c>
      <c r="G24" s="8">
        <f t="shared" si="7"/>
        <v>3.5299495747106646</v>
      </c>
      <c r="H24" s="8">
        <f t="shared" si="7"/>
        <v>3.0712878406297248</v>
      </c>
      <c r="I24" s="8">
        <f t="shared" si="7"/>
        <v>2.9983370390935038</v>
      </c>
      <c r="J24" s="8">
        <f t="shared" si="7"/>
        <v>3.4354766772603771</v>
      </c>
      <c r="K24" s="8">
        <f t="shared" si="7"/>
        <v>4.0674228941677555</v>
      </c>
      <c r="L24" s="8">
        <f t="shared" si="7"/>
        <v>3.9026556343085153</v>
      </c>
      <c r="M24" s="8">
        <f t="shared" si="7"/>
        <v>3.5516058339855232</v>
      </c>
      <c r="N24" s="8">
        <f t="shared" si="7"/>
        <v>3.180727118128809</v>
      </c>
      <c r="O24" s="8">
        <f>O21/$E$4</f>
        <v>2.2475802047816105</v>
      </c>
      <c r="P24" s="8">
        <f>P21/$E$4</f>
        <v>0</v>
      </c>
    </row>
    <row r="26" spans="1:16" ht="15" x14ac:dyDescent="0.2">
      <c r="A26" s="10" t="s">
        <v>182</v>
      </c>
    </row>
    <row r="27" spans="1:16" ht="15" x14ac:dyDescent="0.2">
      <c r="A27" s="9" t="s">
        <v>63</v>
      </c>
      <c r="C27" s="8">
        <v>495.48399999999998</v>
      </c>
      <c r="D27" s="8">
        <v>646.41800000000001</v>
      </c>
      <c r="E27" s="8">
        <v>980.11300000000006</v>
      </c>
      <c r="F27" s="8">
        <v>459.84</v>
      </c>
      <c r="G27" s="8">
        <v>1170.992</v>
      </c>
      <c r="H27" s="8">
        <v>812.73800000000006</v>
      </c>
      <c r="I27" s="8">
        <v>492.988</v>
      </c>
    </row>
    <row r="28" spans="1:16" ht="15" x14ac:dyDescent="0.2">
      <c r="A28" s="9" t="s">
        <v>62</v>
      </c>
      <c r="C28" s="8">
        <f t="shared" ref="C28:I28" si="8">C27-$B$7</f>
        <v>279.42199999999997</v>
      </c>
      <c r="D28" s="8">
        <f t="shared" si="8"/>
        <v>430.35599999999999</v>
      </c>
      <c r="E28" s="8">
        <f t="shared" si="8"/>
        <v>764.05100000000004</v>
      </c>
      <c r="F28" s="8">
        <f t="shared" si="8"/>
        <v>243.77799999999996</v>
      </c>
      <c r="G28" s="8">
        <f t="shared" si="8"/>
        <v>954.93</v>
      </c>
      <c r="H28" s="8">
        <f t="shared" si="8"/>
        <v>596.67600000000004</v>
      </c>
      <c r="I28" s="8">
        <f t="shared" si="8"/>
        <v>276.92599999999999</v>
      </c>
    </row>
    <row r="29" spans="1:16" ht="15" x14ac:dyDescent="0.2">
      <c r="A29" s="9" t="s">
        <v>61</v>
      </c>
      <c r="C29" s="8">
        <v>2.76</v>
      </c>
      <c r="D29" s="8">
        <v>2.052</v>
      </c>
      <c r="E29" s="8">
        <v>1.5640000000000001</v>
      </c>
      <c r="F29" s="8">
        <v>2.298</v>
      </c>
      <c r="G29" s="8">
        <v>0.89200000000000002</v>
      </c>
      <c r="H29" s="8">
        <v>1.2509999999999999</v>
      </c>
      <c r="I29" s="8">
        <v>1.786</v>
      </c>
    </row>
    <row r="30" spans="1:16" ht="15" x14ac:dyDescent="0.2">
      <c r="A30" s="9" t="s">
        <v>60</v>
      </c>
      <c r="C30" s="8">
        <f t="shared" ref="C30:I30" si="9">SQRT((C29^2)+9)</f>
        <v>4.0764690603511271</v>
      </c>
      <c r="D30" s="8">
        <f t="shared" si="9"/>
        <v>3.6346532159203302</v>
      </c>
      <c r="E30" s="8">
        <f t="shared" si="9"/>
        <v>3.3832079451313661</v>
      </c>
      <c r="F30" s="8">
        <f t="shared" si="9"/>
        <v>3.7789951045218357</v>
      </c>
      <c r="G30" s="8">
        <f t="shared" si="9"/>
        <v>3.1298025496826472</v>
      </c>
      <c r="H30" s="8">
        <f t="shared" si="9"/>
        <v>3.2503847464569482</v>
      </c>
      <c r="I30" s="8">
        <f t="shared" si="9"/>
        <v>3.4913888354063345</v>
      </c>
    </row>
    <row r="31" spans="1:16" ht="15" x14ac:dyDescent="0.2">
      <c r="A31" s="9" t="s">
        <v>59</v>
      </c>
      <c r="C31" s="8">
        <f t="shared" ref="C31:I31" si="10">C28/$E$4</f>
        <v>0.75396761419001568</v>
      </c>
      <c r="D31" s="8">
        <f t="shared" si="10"/>
        <v>1.1612345719820143</v>
      </c>
      <c r="E31" s="8">
        <f t="shared" si="10"/>
        <v>2.0616476497537621</v>
      </c>
      <c r="F31" s="8">
        <f t="shared" si="10"/>
        <v>0.65778899675764124</v>
      </c>
      <c r="G31" s="8">
        <f t="shared" si="10"/>
        <v>2.5766986630203483</v>
      </c>
      <c r="H31" s="8">
        <f t="shared" si="10"/>
        <v>1.61001775151721</v>
      </c>
      <c r="I31" s="8">
        <f t="shared" si="10"/>
        <v>0.74723262852310945</v>
      </c>
    </row>
    <row r="33" spans="1:24" ht="15" x14ac:dyDescent="0.2">
      <c r="A33" s="10" t="s">
        <v>181</v>
      </c>
      <c r="C33" s="8"/>
    </row>
    <row r="34" spans="1:24" ht="15" x14ac:dyDescent="0.2">
      <c r="A34" s="9" t="s">
        <v>63</v>
      </c>
      <c r="C34" s="8">
        <v>1648.3240000000001</v>
      </c>
    </row>
    <row r="35" spans="1:24" ht="15" x14ac:dyDescent="0.2">
      <c r="A35" s="9" t="s">
        <v>62</v>
      </c>
      <c r="C35" s="8">
        <f>C34-B7</f>
        <v>1432.2620000000002</v>
      </c>
    </row>
    <row r="36" spans="1:24" ht="15" x14ac:dyDescent="0.2">
      <c r="A36" s="9" t="s">
        <v>61</v>
      </c>
      <c r="C36" s="8">
        <v>0.9</v>
      </c>
    </row>
    <row r="37" spans="1:24" ht="15" x14ac:dyDescent="0.2">
      <c r="A37" s="9" t="s">
        <v>60</v>
      </c>
      <c r="C37" s="8">
        <f>SQRT((C36^2)+16)</f>
        <v>4.0999999999999996</v>
      </c>
    </row>
    <row r="38" spans="1:24" ht="15" x14ac:dyDescent="0.2">
      <c r="A38" s="9" t="s">
        <v>59</v>
      </c>
      <c r="C38" s="8">
        <f>C35/$E$4</f>
        <v>3.8646891190923425</v>
      </c>
    </row>
    <row r="40" spans="1:24" ht="15" x14ac:dyDescent="0.2">
      <c r="A40" s="10" t="s">
        <v>180</v>
      </c>
    </row>
    <row r="41" spans="1:24" ht="15" x14ac:dyDescent="0.2">
      <c r="A41" s="9" t="s">
        <v>63</v>
      </c>
      <c r="C41" s="16">
        <v>483.54700000000003</v>
      </c>
      <c r="D41" s="16">
        <v>401.19900000000001</v>
      </c>
    </row>
    <row r="42" spans="1:24" ht="15" x14ac:dyDescent="0.2">
      <c r="A42" s="9" t="s">
        <v>62</v>
      </c>
      <c r="C42" s="16">
        <f>C41-$B$7</f>
        <v>267.48500000000001</v>
      </c>
      <c r="D42" s="16">
        <f>D41-$B$7</f>
        <v>185.137</v>
      </c>
    </row>
    <row r="43" spans="1:24" ht="15" x14ac:dyDescent="0.2">
      <c r="A43" s="9" t="s">
        <v>61</v>
      </c>
      <c r="C43" s="16">
        <v>0.63200000000000001</v>
      </c>
      <c r="D43" s="16">
        <v>1.371</v>
      </c>
    </row>
    <row r="44" spans="1:24" ht="15" x14ac:dyDescent="0.2">
      <c r="A44" s="9" t="s">
        <v>60</v>
      </c>
      <c r="C44" s="8">
        <f>SQRT((C43^2)+25)</f>
        <v>5.039784122360798</v>
      </c>
      <c r="D44" s="8">
        <f>SQRT((D43^2)+25)</f>
        <v>5.1845579367965406</v>
      </c>
    </row>
    <row r="45" spans="1:24" ht="15" x14ac:dyDescent="0.2">
      <c r="A45" s="9" t="s">
        <v>59</v>
      </c>
      <c r="C45" s="8">
        <f>C42/$E$4</f>
        <v>0.72175786903542449</v>
      </c>
      <c r="D45" s="8">
        <f>D42/$E$4</f>
        <v>0.49955730825882338</v>
      </c>
    </row>
    <row r="47" spans="1:24" ht="15" x14ac:dyDescent="0.2">
      <c r="A47" s="10" t="s">
        <v>179</v>
      </c>
      <c r="C47" s="8">
        <v>1</v>
      </c>
    </row>
    <row r="48" spans="1:24" ht="15" x14ac:dyDescent="0.2">
      <c r="A48" s="9" t="s">
        <v>63</v>
      </c>
      <c r="C48" s="8">
        <v>1013.707</v>
      </c>
      <c r="D48" s="8">
        <v>1940.2149999999999</v>
      </c>
      <c r="E48" s="8">
        <v>2625.3589999999999</v>
      </c>
      <c r="F48" s="8">
        <v>2577.4180000000001</v>
      </c>
      <c r="G48" s="8">
        <v>1299.2619999999999</v>
      </c>
      <c r="H48" s="8">
        <v>1434.328</v>
      </c>
      <c r="V48" s="8">
        <v>251.10900000000001</v>
      </c>
      <c r="W48" s="8">
        <v>242.47300000000001</v>
      </c>
      <c r="X48" s="8">
        <v>258.83999999999997</v>
      </c>
    </row>
    <row r="49" spans="1:24" ht="15" x14ac:dyDescent="0.2">
      <c r="A49" s="9" t="s">
        <v>62</v>
      </c>
      <c r="C49" s="8">
        <f t="shared" ref="C49:H49" si="11">C48-$B$7</f>
        <v>797.64499999999998</v>
      </c>
      <c r="D49" s="8">
        <f t="shared" si="11"/>
        <v>1724.1529999999998</v>
      </c>
      <c r="E49" s="8">
        <f t="shared" si="11"/>
        <v>2409.297</v>
      </c>
      <c r="F49" s="8">
        <f t="shared" si="11"/>
        <v>2361.3560000000002</v>
      </c>
      <c r="G49" s="8">
        <f t="shared" si="11"/>
        <v>1083.1999999999998</v>
      </c>
      <c r="H49" s="8">
        <f t="shared" si="11"/>
        <v>1218.2660000000001</v>
      </c>
      <c r="V49" s="8">
        <f>V48-$B$7</f>
        <v>35.046999999999997</v>
      </c>
      <c r="W49" s="8">
        <f>W48-$B$7</f>
        <v>26.411000000000001</v>
      </c>
      <c r="X49" s="8">
        <f>X48-$B$7</f>
        <v>42.777999999999963</v>
      </c>
    </row>
    <row r="50" spans="1:24" ht="15" x14ac:dyDescent="0.2">
      <c r="A50" s="9" t="s">
        <v>61</v>
      </c>
      <c r="C50" s="8">
        <v>1.359</v>
      </c>
      <c r="D50" s="8">
        <v>3.1030000000000002</v>
      </c>
      <c r="E50" s="8">
        <v>2.7280000000000002</v>
      </c>
      <c r="F50" s="8">
        <v>2.9769999999999999</v>
      </c>
      <c r="G50" s="8">
        <v>2.319</v>
      </c>
      <c r="H50" s="8">
        <v>3.7839999999999998</v>
      </c>
      <c r="V50" s="8">
        <v>3.1789999999999998</v>
      </c>
      <c r="W50" s="8">
        <v>9.7810000000000006</v>
      </c>
      <c r="X50" s="8">
        <v>3.1469999999999998</v>
      </c>
    </row>
    <row r="51" spans="1:24" ht="15" x14ac:dyDescent="0.2">
      <c r="A51" s="9" t="s">
        <v>60</v>
      </c>
      <c r="C51" s="8">
        <f t="shared" ref="C51:H51" si="12">SQRT((C50^2)+1)</f>
        <v>1.6872702806604518</v>
      </c>
      <c r="D51" s="8">
        <f t="shared" si="12"/>
        <v>3.260154750928244</v>
      </c>
      <c r="E51" s="8">
        <f t="shared" si="12"/>
        <v>2.9055092496841239</v>
      </c>
      <c r="F51" s="8">
        <f t="shared" si="12"/>
        <v>3.1404663666404704</v>
      </c>
      <c r="G51" s="8">
        <f t="shared" si="12"/>
        <v>2.5254229348764534</v>
      </c>
      <c r="H51" s="8">
        <f t="shared" si="12"/>
        <v>3.913905466410756</v>
      </c>
      <c r="V51" s="8">
        <f>SQRT((V50^2)+1)</f>
        <v>3.3325727298890269</v>
      </c>
      <c r="W51" s="8">
        <f>SQRT((W50^2)+1)</f>
        <v>9.8319866252960288</v>
      </c>
      <c r="X51" s="8">
        <f>SQRT((X50^2)+1)</f>
        <v>3.3020613258993237</v>
      </c>
    </row>
    <row r="52" spans="1:24" ht="15" x14ac:dyDescent="0.2">
      <c r="A52" s="9" t="s">
        <v>59</v>
      </c>
      <c r="D52" s="8">
        <f>D49/$E$4</f>
        <v>4.6523019801896703</v>
      </c>
      <c r="E52" s="8">
        <f>E49/$E$4</f>
        <v>6.5010339592629158</v>
      </c>
      <c r="F52" s="8">
        <f>F49/$E$4</f>
        <v>6.3716742045124546</v>
      </c>
      <c r="G52" s="8">
        <f>G49/$E$4</f>
        <v>2.9228110874971369</v>
      </c>
      <c r="H52" s="8">
        <f>H49/$E$4</f>
        <v>3.2872612373714807</v>
      </c>
      <c r="V52" s="8">
        <f>V49/$E$4</f>
        <v>9.4567725427910046E-2</v>
      </c>
      <c r="W52" s="8">
        <f>W49/$E$4</f>
        <v>7.1265106750264859E-2</v>
      </c>
      <c r="X52" s="8">
        <f>X49/$E$4</f>
        <v>0.11542837213898859</v>
      </c>
    </row>
    <row r="54" spans="1:24" ht="15" x14ac:dyDescent="0.2">
      <c r="A54" s="10" t="s">
        <v>178</v>
      </c>
      <c r="C54" s="8">
        <v>1</v>
      </c>
      <c r="D54" s="8">
        <v>1</v>
      </c>
      <c r="E54" s="8">
        <v>1</v>
      </c>
      <c r="F54" s="8">
        <v>1</v>
      </c>
    </row>
    <row r="55" spans="1:24" ht="15" x14ac:dyDescent="0.2">
      <c r="A55" s="9" t="s">
        <v>63</v>
      </c>
      <c r="C55" s="8">
        <v>710.04300000000001</v>
      </c>
      <c r="D55" s="8">
        <v>421.47300000000001</v>
      </c>
      <c r="E55" s="8">
        <v>553.17999999999995</v>
      </c>
      <c r="F55" s="8">
        <v>479.375</v>
      </c>
      <c r="G55" s="8">
        <v>971.94100000000003</v>
      </c>
      <c r="H55" s="8">
        <v>754.09400000000005</v>
      </c>
      <c r="I55" s="8">
        <v>1355.125</v>
      </c>
      <c r="J55" s="8">
        <v>1310.3710000000001</v>
      </c>
      <c r="K55" s="8">
        <v>578.06600000000003</v>
      </c>
      <c r="L55" s="8">
        <v>288.988</v>
      </c>
    </row>
    <row r="56" spans="1:24" ht="15" x14ac:dyDescent="0.2">
      <c r="A56" s="9" t="s">
        <v>62</v>
      </c>
      <c r="C56" s="8">
        <f t="shared" ref="C56:L56" si="13">C55-$B$7</f>
        <v>493.98099999999999</v>
      </c>
      <c r="D56" s="8">
        <f t="shared" si="13"/>
        <v>205.411</v>
      </c>
      <c r="E56" s="8">
        <f t="shared" si="13"/>
        <v>337.11799999999994</v>
      </c>
      <c r="F56" s="8">
        <f t="shared" si="13"/>
        <v>263.31299999999999</v>
      </c>
      <c r="G56" s="8">
        <f t="shared" si="13"/>
        <v>755.87900000000002</v>
      </c>
      <c r="H56" s="8">
        <f t="shared" si="13"/>
        <v>538.03200000000004</v>
      </c>
      <c r="I56" s="8">
        <f t="shared" si="13"/>
        <v>1139.0630000000001</v>
      </c>
      <c r="J56" s="8">
        <f t="shared" si="13"/>
        <v>1094.3090000000002</v>
      </c>
      <c r="K56" s="8">
        <f t="shared" si="13"/>
        <v>362.00400000000002</v>
      </c>
      <c r="L56" s="8">
        <f t="shared" si="13"/>
        <v>72.925999999999988</v>
      </c>
    </row>
    <row r="57" spans="1:24" ht="15" x14ac:dyDescent="0.2">
      <c r="A57" s="9" t="s">
        <v>61</v>
      </c>
      <c r="C57" s="8">
        <v>4.4870000000000001</v>
      </c>
      <c r="D57" s="8">
        <v>1.395</v>
      </c>
      <c r="E57" s="8">
        <v>3.0249999999999999</v>
      </c>
      <c r="F57" s="8">
        <v>7.4029999999999996</v>
      </c>
      <c r="G57" s="8">
        <v>3.2570000000000001</v>
      </c>
      <c r="H57" s="8">
        <v>2.7909999999999999</v>
      </c>
      <c r="I57" s="8">
        <v>2.867</v>
      </c>
      <c r="J57" s="8">
        <v>3.2949999999999999</v>
      </c>
      <c r="K57" s="8">
        <v>3.806</v>
      </c>
      <c r="L57" s="8">
        <v>7.68</v>
      </c>
    </row>
    <row r="58" spans="1:24" ht="15" x14ac:dyDescent="0.2">
      <c r="A58" s="9" t="s">
        <v>60</v>
      </c>
      <c r="C58" s="8">
        <f t="shared" ref="C58:L58" si="14">SQRT((C57^2)+4)</f>
        <v>4.9125521880179557</v>
      </c>
      <c r="D58" s="8">
        <f t="shared" si="14"/>
        <v>2.4384472518387601</v>
      </c>
      <c r="E58" s="8">
        <f t="shared" si="14"/>
        <v>3.6263790480312452</v>
      </c>
      <c r="F58" s="8">
        <f t="shared" si="14"/>
        <v>7.6684032888209517</v>
      </c>
      <c r="G58" s="8">
        <f t="shared" si="14"/>
        <v>3.8220477495709027</v>
      </c>
      <c r="H58" s="8">
        <f t="shared" si="14"/>
        <v>3.4336104904313185</v>
      </c>
      <c r="I58" s="8">
        <f t="shared" si="14"/>
        <v>3.495667175232791</v>
      </c>
      <c r="J58" s="8">
        <f t="shared" si="14"/>
        <v>3.8544811583402505</v>
      </c>
      <c r="K58" s="8">
        <f t="shared" si="14"/>
        <v>4.2994925281944614</v>
      </c>
      <c r="L58" s="8">
        <f t="shared" si="14"/>
        <v>7.9361451599627379</v>
      </c>
    </row>
    <row r="59" spans="1:24" ht="15" x14ac:dyDescent="0.2">
      <c r="A59" s="9" t="s">
        <v>59</v>
      </c>
      <c r="G59" s="8">
        <f t="shared" ref="G59:L59" si="15">G56/$E$4</f>
        <v>2.0395970476424008</v>
      </c>
      <c r="H59" s="8">
        <f t="shared" si="15"/>
        <v>1.4517779680836964</v>
      </c>
      <c r="I59" s="8">
        <f t="shared" si="15"/>
        <v>3.0735468664676442</v>
      </c>
      <c r="J59" s="8">
        <f t="shared" si="15"/>
        <v>2.9527866306756883</v>
      </c>
      <c r="K59" s="8">
        <f t="shared" si="15"/>
        <v>0.97679957987288935</v>
      </c>
      <c r="L59" s="8">
        <f t="shared" si="15"/>
        <v>0.19677706920865601</v>
      </c>
    </row>
    <row r="61" spans="1:24" ht="15" x14ac:dyDescent="0.2">
      <c r="A61" s="10" t="s">
        <v>177</v>
      </c>
      <c r="C61" s="8">
        <v>1</v>
      </c>
    </row>
    <row r="62" spans="1:24" ht="15" x14ac:dyDescent="0.2">
      <c r="A62" s="9" t="s">
        <v>63</v>
      </c>
      <c r="C62" s="8">
        <v>418.60899999999998</v>
      </c>
      <c r="D62" s="8">
        <v>717.80899999999997</v>
      </c>
      <c r="E62" s="8">
        <v>296.42200000000003</v>
      </c>
      <c r="F62" s="8">
        <v>415.09800000000001</v>
      </c>
      <c r="G62" s="8">
        <v>441.69099999999997</v>
      </c>
      <c r="H62" s="8">
        <v>530.51199999999994</v>
      </c>
    </row>
    <row r="63" spans="1:24" ht="15" x14ac:dyDescent="0.2">
      <c r="A63" s="9" t="s">
        <v>62</v>
      </c>
      <c r="C63" s="8">
        <f t="shared" ref="C63:H63" si="16">C62-$B$7</f>
        <v>202.54699999999997</v>
      </c>
      <c r="D63" s="8">
        <f t="shared" si="16"/>
        <v>501.74699999999996</v>
      </c>
      <c r="E63" s="8">
        <f t="shared" si="16"/>
        <v>80.360000000000014</v>
      </c>
      <c r="F63" s="8">
        <f t="shared" si="16"/>
        <v>199.036</v>
      </c>
      <c r="G63" s="8">
        <f t="shared" si="16"/>
        <v>225.62899999999996</v>
      </c>
      <c r="H63" s="8">
        <f t="shared" si="16"/>
        <v>314.44999999999993</v>
      </c>
    </row>
    <row r="64" spans="1:24" ht="15" x14ac:dyDescent="0.2">
      <c r="A64" s="9" t="s">
        <v>61</v>
      </c>
      <c r="C64" s="8">
        <v>4.4400000000000004</v>
      </c>
      <c r="D64" s="8">
        <v>6.2169999999999996</v>
      </c>
      <c r="E64" s="8">
        <v>7.2930000000000001</v>
      </c>
      <c r="F64" s="8">
        <v>3.3889999999999998</v>
      </c>
      <c r="G64" s="8">
        <v>2.6880000000000002</v>
      </c>
      <c r="H64" s="8">
        <v>2.9340000000000002</v>
      </c>
    </row>
    <row r="65" spans="1:8" ht="15" x14ac:dyDescent="0.2">
      <c r="A65" s="9" t="s">
        <v>60</v>
      </c>
      <c r="C65" s="8">
        <f t="shared" ref="C65:H65" si="17">SQRT((C64^2)+9)</f>
        <v>5.3585072548238655</v>
      </c>
      <c r="D65" s="8">
        <f t="shared" si="17"/>
        <v>6.9029768216328238</v>
      </c>
      <c r="E65" s="8">
        <f t="shared" si="17"/>
        <v>7.8859272758503165</v>
      </c>
      <c r="F65" s="8">
        <f t="shared" si="17"/>
        <v>4.5260712544103852</v>
      </c>
      <c r="G65" s="8">
        <f t="shared" si="17"/>
        <v>4.0280695128063515</v>
      </c>
      <c r="H65" s="8">
        <f t="shared" si="17"/>
        <v>4.196231166177574</v>
      </c>
    </row>
    <row r="66" spans="1:8" ht="15" x14ac:dyDescent="0.2">
      <c r="A66" s="9" t="s">
        <v>59</v>
      </c>
      <c r="D66" s="8">
        <f>D63/$E$4</f>
        <v>1.3538697329379856</v>
      </c>
      <c r="E66" s="8">
        <f>E63/$E$4</f>
        <v>0.21683631738485043</v>
      </c>
      <c r="F66" s="8">
        <f>F63/$E$4</f>
        <v>0.53706114070446842</v>
      </c>
      <c r="G66" s="8">
        <f>G63/$E$4</f>
        <v>0.60881734015961175</v>
      </c>
      <c r="H66" s="8">
        <f>H63/$E$4</f>
        <v>0.84848407169818552</v>
      </c>
    </row>
    <row r="68" spans="1:8" ht="15" x14ac:dyDescent="0.2">
      <c r="A68" s="10" t="s">
        <v>176</v>
      </c>
    </row>
    <row r="69" spans="1:8" ht="15" x14ac:dyDescent="0.2">
      <c r="A69" s="9" t="s">
        <v>63</v>
      </c>
      <c r="C69" s="8">
        <v>1397.508</v>
      </c>
      <c r="D69" s="11"/>
    </row>
    <row r="70" spans="1:8" ht="15" x14ac:dyDescent="0.2">
      <c r="A70" s="9" t="s">
        <v>62</v>
      </c>
      <c r="C70" s="8">
        <f>C69-$B$7</f>
        <v>1181.4459999999999</v>
      </c>
    </row>
    <row r="71" spans="1:8" ht="15" x14ac:dyDescent="0.2">
      <c r="A71" s="9" t="s">
        <v>61</v>
      </c>
      <c r="C71" s="8">
        <v>6.1920000000000002</v>
      </c>
    </row>
    <row r="72" spans="1:8" ht="15" x14ac:dyDescent="0.2">
      <c r="A72" s="9" t="s">
        <v>60</v>
      </c>
      <c r="C72" s="8">
        <f>SQRT((C71^2)+16)</f>
        <v>7.3716256009105621</v>
      </c>
    </row>
    <row r="73" spans="1:8" ht="15" x14ac:dyDescent="0.2">
      <c r="A73" s="9" t="s">
        <v>59</v>
      </c>
      <c r="C73" s="8">
        <f>C70/$E$4</f>
        <v>3.1879094055383517</v>
      </c>
    </row>
    <row r="75" spans="1:8" ht="15" x14ac:dyDescent="0.2">
      <c r="A75" s="10" t="s">
        <v>175</v>
      </c>
    </row>
    <row r="76" spans="1:8" ht="15" x14ac:dyDescent="0.2">
      <c r="A76" s="9" t="s">
        <v>63</v>
      </c>
      <c r="C76" s="8">
        <v>1084.7729999999999</v>
      </c>
    </row>
    <row r="77" spans="1:8" ht="15" x14ac:dyDescent="0.2">
      <c r="A77" s="9" t="s">
        <v>62</v>
      </c>
      <c r="C77" s="8">
        <f>C76-$B$7</f>
        <v>868.7109999999999</v>
      </c>
    </row>
    <row r="78" spans="1:8" ht="15" x14ac:dyDescent="0.2">
      <c r="A78" s="9" t="s">
        <v>61</v>
      </c>
      <c r="C78" s="8">
        <v>6.1920000000000002</v>
      </c>
    </row>
    <row r="79" spans="1:8" ht="15" x14ac:dyDescent="0.2">
      <c r="A79" s="9" t="s">
        <v>60</v>
      </c>
      <c r="C79" s="8">
        <f>SQRT((C78^2)+25)</f>
        <v>7.9586973808532262</v>
      </c>
    </row>
    <row r="80" spans="1:8" ht="15" x14ac:dyDescent="0.2">
      <c r="A80" s="9" t="s">
        <v>59</v>
      </c>
      <c r="C80" s="8">
        <f>C77/$E$4</f>
        <v>2.3440529381745985</v>
      </c>
    </row>
  </sheetData>
  <mergeCells count="1">
    <mergeCell ref="G4:H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A573-7D6A-4FF1-A9E8-29A4A918C91C}">
  <dimension ref="A1:O58"/>
  <sheetViews>
    <sheetView topLeftCell="A37" workbookViewId="0">
      <selection activeCell="I5" sqref="I5"/>
    </sheetView>
  </sheetViews>
  <sheetFormatPr baseColWidth="10" defaultColWidth="8.83203125" defaultRowHeight="15" x14ac:dyDescent="0.2"/>
  <cols>
    <col min="1" max="1" width="18.33203125" customWidth="1"/>
    <col min="2" max="2" width="11.33203125" customWidth="1"/>
  </cols>
  <sheetData>
    <row r="1" spans="1:13" x14ac:dyDescent="0.2">
      <c r="A1" t="s">
        <v>34</v>
      </c>
    </row>
    <row r="2" spans="1:13" s="1" customFormat="1" x14ac:dyDescent="0.2">
      <c r="A2" s="1" t="s">
        <v>29</v>
      </c>
      <c r="B2" s="1" t="s">
        <v>2</v>
      </c>
      <c r="C2" s="1" t="s">
        <v>25</v>
      </c>
    </row>
    <row r="3" spans="1:13" x14ac:dyDescent="0.2">
      <c r="A3" t="s">
        <v>9</v>
      </c>
      <c r="B3">
        <v>221.05099999999999</v>
      </c>
      <c r="C3">
        <v>343.43400000000003</v>
      </c>
      <c r="D3">
        <v>358.69499999999999</v>
      </c>
      <c r="E3">
        <v>411.83600000000001</v>
      </c>
      <c r="F3">
        <v>321.38299999999998</v>
      </c>
      <c r="G3">
        <v>296.53500000000003</v>
      </c>
      <c r="H3">
        <v>313.85500000000002</v>
      </c>
    </row>
    <row r="4" spans="1:13" x14ac:dyDescent="0.2">
      <c r="A4" t="s">
        <v>4</v>
      </c>
      <c r="C4">
        <f>C3-B3</f>
        <v>122.38300000000004</v>
      </c>
      <c r="D4">
        <f>D3-B3</f>
        <v>137.64400000000001</v>
      </c>
      <c r="E4">
        <f>E3-B3</f>
        <v>190.78500000000003</v>
      </c>
      <c r="F4">
        <f>F3-B3</f>
        <v>100.33199999999999</v>
      </c>
      <c r="G4">
        <f>G3-B3</f>
        <v>75.484000000000037</v>
      </c>
      <c r="H4">
        <f>H3-B3</f>
        <v>92.80400000000003</v>
      </c>
    </row>
    <row r="5" spans="1:13" x14ac:dyDescent="0.2">
      <c r="A5" t="s">
        <v>5</v>
      </c>
      <c r="C5">
        <v>1.931</v>
      </c>
      <c r="D5">
        <v>1.0429999999999999</v>
      </c>
      <c r="E5">
        <v>1.573</v>
      </c>
      <c r="F5">
        <v>2.0569999999999999</v>
      </c>
      <c r="G5">
        <v>1.659</v>
      </c>
      <c r="H5">
        <v>2.7109999999999999</v>
      </c>
    </row>
    <row r="6" spans="1:13" x14ac:dyDescent="0.2">
      <c r="A6" t="s">
        <v>17</v>
      </c>
      <c r="C6">
        <f>SQRT(4+C5^2)</f>
        <v>2.7800649272993607</v>
      </c>
      <c r="D6">
        <f t="shared" ref="D6:H6" si="0">SQRT(4+D5^2)</f>
        <v>2.2556260771679333</v>
      </c>
      <c r="E6">
        <f t="shared" si="0"/>
        <v>2.5444702788596292</v>
      </c>
      <c r="F6">
        <f t="shared" si="0"/>
        <v>2.8690153363131401</v>
      </c>
      <c r="G6">
        <f t="shared" si="0"/>
        <v>2.5985151529286874</v>
      </c>
      <c r="H6">
        <f t="shared" si="0"/>
        <v>3.3689050149863231</v>
      </c>
    </row>
    <row r="7" spans="1:13" x14ac:dyDescent="0.2">
      <c r="A7" t="s">
        <v>10</v>
      </c>
      <c r="C7">
        <f>C4/102.1</f>
        <v>1.1986581782566117</v>
      </c>
      <c r="D7">
        <f t="shared" ref="D7:H7" si="1">D4/102.1</f>
        <v>1.3481292850146915</v>
      </c>
      <c r="E7">
        <f t="shared" si="1"/>
        <v>1.8686092066601374</v>
      </c>
      <c r="F7">
        <f t="shared" si="1"/>
        <v>0.98268364348677761</v>
      </c>
      <c r="G7">
        <f t="shared" si="1"/>
        <v>0.7393143976493638</v>
      </c>
      <c r="H7">
        <f t="shared" si="1"/>
        <v>0.90895200783545582</v>
      </c>
    </row>
    <row r="9" spans="1:13" s="1" customFormat="1" x14ac:dyDescent="0.2">
      <c r="A9" s="1" t="s">
        <v>13</v>
      </c>
      <c r="C9" s="1" t="s">
        <v>23</v>
      </c>
      <c r="E9" s="1" t="s">
        <v>25</v>
      </c>
    </row>
    <row r="10" spans="1:13" x14ac:dyDescent="0.2">
      <c r="A10" t="s">
        <v>9</v>
      </c>
      <c r="B10">
        <v>221.05099999999999</v>
      </c>
      <c r="C10">
        <v>326.09399999999999</v>
      </c>
      <c r="D10">
        <v>328.15600000000001</v>
      </c>
      <c r="E10">
        <v>324.72300000000001</v>
      </c>
      <c r="F10">
        <v>454.19900000000001</v>
      </c>
      <c r="G10">
        <v>720.96900000000005</v>
      </c>
      <c r="H10">
        <v>754.52</v>
      </c>
      <c r="I10">
        <v>632.21100000000001</v>
      </c>
      <c r="J10">
        <v>389.79300000000001</v>
      </c>
      <c r="K10">
        <v>426.22699999999998</v>
      </c>
      <c r="L10">
        <v>535.57799999999997</v>
      </c>
      <c r="M10">
        <v>655.87099999999998</v>
      </c>
    </row>
    <row r="11" spans="1:13" x14ac:dyDescent="0.2">
      <c r="A11" t="s">
        <v>4</v>
      </c>
      <c r="C11">
        <f>C10-B10</f>
        <v>105.04300000000001</v>
      </c>
      <c r="D11">
        <f>D10-B10</f>
        <v>107.10500000000002</v>
      </c>
      <c r="E11">
        <f>E10-B10</f>
        <v>103.67200000000003</v>
      </c>
      <c r="F11">
        <f>F10-B10</f>
        <v>233.14800000000002</v>
      </c>
      <c r="G11">
        <f>G10-B10</f>
        <v>499.91800000000006</v>
      </c>
      <c r="H11">
        <f>H10-B10</f>
        <v>533.46900000000005</v>
      </c>
      <c r="I11">
        <f>I10-B10</f>
        <v>411.16</v>
      </c>
      <c r="J11">
        <f>J10-B10</f>
        <v>168.74200000000002</v>
      </c>
      <c r="K11">
        <f>K10-B10</f>
        <v>205.17599999999999</v>
      </c>
      <c r="L11">
        <f>L10-B10</f>
        <v>314.52699999999999</v>
      </c>
      <c r="M11">
        <f>M10-B10</f>
        <v>434.82</v>
      </c>
    </row>
    <row r="12" spans="1:13" x14ac:dyDescent="0.2">
      <c r="A12" t="s">
        <v>5</v>
      </c>
      <c r="C12">
        <v>3.8809999999999998</v>
      </c>
      <c r="D12">
        <v>0.879</v>
      </c>
      <c r="E12">
        <v>3.3690000000000002</v>
      </c>
      <c r="F12">
        <v>2.2429999999999999</v>
      </c>
      <c r="G12">
        <v>1.8859999999999999</v>
      </c>
      <c r="H12">
        <v>0.92</v>
      </c>
      <c r="I12">
        <v>1.633</v>
      </c>
      <c r="J12">
        <v>2.3290000000000002</v>
      </c>
      <c r="K12">
        <v>3.5659999999999998</v>
      </c>
      <c r="L12">
        <v>2.8580000000000001</v>
      </c>
      <c r="M12">
        <v>2.8660000000000001</v>
      </c>
    </row>
    <row r="13" spans="1:13" x14ac:dyDescent="0.2">
      <c r="A13" t="s">
        <v>6</v>
      </c>
      <c r="C13">
        <f>SQRT(1+C12^2)</f>
        <v>4.0077625927691871</v>
      </c>
      <c r="D13">
        <f t="shared" ref="D13:M13" si="2">SQRT(1+D12^2)</f>
        <v>1.3314056481778949</v>
      </c>
      <c r="E13">
        <f t="shared" si="2"/>
        <v>3.5142795847797883</v>
      </c>
      <c r="F13">
        <f t="shared" si="2"/>
        <v>2.4558194151850823</v>
      </c>
      <c r="G13">
        <f t="shared" si="2"/>
        <v>2.1347121585825102</v>
      </c>
      <c r="H13">
        <f t="shared" si="2"/>
        <v>1.3588230201170424</v>
      </c>
      <c r="I13">
        <f t="shared" si="2"/>
        <v>1.9148600471052708</v>
      </c>
      <c r="J13">
        <f t="shared" si="2"/>
        <v>2.5346086482926711</v>
      </c>
      <c r="K13">
        <f t="shared" si="2"/>
        <v>3.7035599090604703</v>
      </c>
      <c r="L13">
        <f t="shared" si="2"/>
        <v>3.0278976204620922</v>
      </c>
      <c r="M13">
        <f t="shared" si="2"/>
        <v>3.0354498842840414</v>
      </c>
    </row>
    <row r="14" spans="1:13" x14ac:dyDescent="0.2">
      <c r="A14" t="s">
        <v>10</v>
      </c>
      <c r="E14">
        <f>E11/102.1</f>
        <v>1.0153966699314401</v>
      </c>
      <c r="F14">
        <f t="shared" ref="F14:M14" si="3">F11/102.1</f>
        <v>2.2835259549461315</v>
      </c>
      <c r="G14">
        <f t="shared" si="3"/>
        <v>4.8963565132223321</v>
      </c>
      <c r="H14">
        <f t="shared" si="3"/>
        <v>5.2249657198824693</v>
      </c>
      <c r="I14">
        <f t="shared" si="3"/>
        <v>4.0270323212536736</v>
      </c>
      <c r="J14">
        <f t="shared" si="3"/>
        <v>1.6527130264446623</v>
      </c>
      <c r="K14">
        <f t="shared" si="3"/>
        <v>2.0095592556317334</v>
      </c>
      <c r="L14">
        <f t="shared" si="3"/>
        <v>3.0805778648383937</v>
      </c>
      <c r="M14">
        <f t="shared" si="3"/>
        <v>4.258765915768854</v>
      </c>
    </row>
    <row r="16" spans="1:13" s="1" customFormat="1" x14ac:dyDescent="0.2">
      <c r="A16" s="1" t="s">
        <v>35</v>
      </c>
      <c r="C16" s="1" t="s">
        <v>23</v>
      </c>
      <c r="D16" t="s">
        <v>25</v>
      </c>
    </row>
    <row r="17" spans="1:15" x14ac:dyDescent="0.2">
      <c r="A17" t="s">
        <v>3</v>
      </c>
      <c r="B17">
        <v>221.05099999999999</v>
      </c>
      <c r="C17">
        <v>343.46100000000001</v>
      </c>
      <c r="D17">
        <v>376.71499999999997</v>
      </c>
      <c r="E17">
        <v>472.34</v>
      </c>
      <c r="F17">
        <v>770.35500000000002</v>
      </c>
      <c r="G17">
        <v>988.21900000000005</v>
      </c>
      <c r="H17">
        <v>482.80500000000001</v>
      </c>
      <c r="I17">
        <v>693.27700000000004</v>
      </c>
      <c r="J17">
        <v>597.55499999999995</v>
      </c>
      <c r="K17">
        <v>476.89100000000002</v>
      </c>
      <c r="L17">
        <v>343.87900000000002</v>
      </c>
    </row>
    <row r="18" spans="1:15" x14ac:dyDescent="0.2">
      <c r="A18" t="s">
        <v>4</v>
      </c>
      <c r="C18">
        <f>C17-B17</f>
        <v>122.41000000000003</v>
      </c>
      <c r="D18">
        <f>D17-B17</f>
        <v>155.66399999999999</v>
      </c>
      <c r="E18">
        <f>E17-B17</f>
        <v>251.28899999999999</v>
      </c>
      <c r="F18">
        <f>F17-B17</f>
        <v>549.30400000000009</v>
      </c>
      <c r="G18">
        <f>G17-B17</f>
        <v>767.16800000000012</v>
      </c>
      <c r="H18">
        <f>H17-B17</f>
        <v>261.75400000000002</v>
      </c>
      <c r="I18">
        <f>I17-B17</f>
        <v>472.22600000000006</v>
      </c>
      <c r="J18">
        <f>J17-B17</f>
        <v>376.50399999999996</v>
      </c>
      <c r="K18">
        <f>K17-B17</f>
        <v>255.84000000000003</v>
      </c>
      <c r="L18">
        <f>L17-B17</f>
        <v>122.82800000000003</v>
      </c>
    </row>
    <row r="19" spans="1:15" x14ac:dyDescent="0.2">
      <c r="A19" t="s">
        <v>5</v>
      </c>
      <c r="C19">
        <v>2.7970000000000002</v>
      </c>
      <c r="D19">
        <v>3.8679999999999999</v>
      </c>
      <c r="E19">
        <v>3.55</v>
      </c>
      <c r="F19">
        <v>2.5110000000000001</v>
      </c>
      <c r="G19">
        <v>2.2709999999999999</v>
      </c>
      <c r="H19">
        <v>2.0670000000000002</v>
      </c>
      <c r="I19">
        <v>2.5859999999999999</v>
      </c>
      <c r="J19">
        <v>2.4079999999999999</v>
      </c>
      <c r="K19">
        <v>1.7529999999999999</v>
      </c>
      <c r="L19">
        <v>1.1040000000000001</v>
      </c>
    </row>
    <row r="20" spans="1:15" x14ac:dyDescent="0.2">
      <c r="A20" t="s">
        <v>10</v>
      </c>
      <c r="D20">
        <f>D18/102.1</f>
        <v>1.5246229187071498</v>
      </c>
      <c r="E20">
        <f t="shared" ref="E20:L20" si="4">E18/102.1</f>
        <v>2.4612047012732616</v>
      </c>
      <c r="F20">
        <f t="shared" si="4"/>
        <v>5.3800587659157699</v>
      </c>
      <c r="G20">
        <f t="shared" si="4"/>
        <v>7.5138883447600406</v>
      </c>
      <c r="H20">
        <f t="shared" si="4"/>
        <v>2.5637022526934383</v>
      </c>
      <c r="I20">
        <f t="shared" si="4"/>
        <v>4.625132223310481</v>
      </c>
      <c r="J20">
        <f t="shared" si="4"/>
        <v>3.6876003917727718</v>
      </c>
      <c r="K20">
        <f t="shared" si="4"/>
        <v>2.5057786483839379</v>
      </c>
      <c r="L20">
        <f t="shared" si="4"/>
        <v>1.2030166503428015</v>
      </c>
    </row>
    <row r="22" spans="1:15" s="1" customFormat="1" x14ac:dyDescent="0.2">
      <c r="A22" s="1" t="s">
        <v>15</v>
      </c>
      <c r="C22" s="1" t="s">
        <v>25</v>
      </c>
    </row>
    <row r="23" spans="1:15" x14ac:dyDescent="0.2">
      <c r="A23" t="s">
        <v>9</v>
      </c>
      <c r="B23">
        <v>221.05099999999999</v>
      </c>
      <c r="C23">
        <v>371.28899999999999</v>
      </c>
      <c r="D23">
        <v>311.83999999999997</v>
      </c>
      <c r="E23">
        <v>326.96899999999999</v>
      </c>
      <c r="F23">
        <v>382.94900000000001</v>
      </c>
      <c r="G23">
        <v>478.38299999999998</v>
      </c>
      <c r="H23">
        <v>498.84</v>
      </c>
      <c r="I23">
        <v>328.57400000000001</v>
      </c>
      <c r="J23">
        <v>567.78499999999997</v>
      </c>
      <c r="K23">
        <v>365.24200000000002</v>
      </c>
    </row>
    <row r="24" spans="1:15" x14ac:dyDescent="0.2">
      <c r="A24" t="s">
        <v>4</v>
      </c>
      <c r="C24">
        <f>C23-B23</f>
        <v>150.238</v>
      </c>
      <c r="D24">
        <f>D23-B23</f>
        <v>90.788999999999987</v>
      </c>
      <c r="E24">
        <f>E23-B23</f>
        <v>105.91800000000001</v>
      </c>
      <c r="F24">
        <f>F23-B23</f>
        <v>161.89800000000002</v>
      </c>
      <c r="G24">
        <f>G23-B23</f>
        <v>257.33199999999999</v>
      </c>
      <c r="H24">
        <f>H23-B23</f>
        <v>277.78899999999999</v>
      </c>
      <c r="I24">
        <f>I23-B23</f>
        <v>107.52300000000002</v>
      </c>
      <c r="J24">
        <f>J23-B23</f>
        <v>346.73399999999998</v>
      </c>
      <c r="K24">
        <f>K23-B23</f>
        <v>144.19100000000003</v>
      </c>
    </row>
    <row r="25" spans="1:15" x14ac:dyDescent="0.2">
      <c r="A25" t="s">
        <v>31</v>
      </c>
      <c r="C25">
        <v>2.944</v>
      </c>
      <c r="D25">
        <v>1.5209999999999999</v>
      </c>
      <c r="E25">
        <v>2.649</v>
      </c>
      <c r="F25">
        <v>2.7879999999999998</v>
      </c>
      <c r="G25">
        <v>2.3879999999999999</v>
      </c>
      <c r="H25">
        <v>2.254</v>
      </c>
      <c r="I25">
        <v>3.5379999999999998</v>
      </c>
      <c r="J25">
        <v>1.8939999999999999</v>
      </c>
      <c r="K25">
        <v>2.5710000000000002</v>
      </c>
    </row>
    <row r="26" spans="1:15" x14ac:dyDescent="0.2">
      <c r="A26" t="s">
        <v>6</v>
      </c>
      <c r="C26">
        <f>SQRT(1+C25^2)</f>
        <v>3.1092018268359483</v>
      </c>
      <c r="D26">
        <f t="shared" ref="D26:K26" si="5">SQRT(1+D25^2)</f>
        <v>1.8202859665448172</v>
      </c>
      <c r="E26">
        <f t="shared" si="5"/>
        <v>2.8314662279462208</v>
      </c>
      <c r="F26">
        <f t="shared" si="5"/>
        <v>2.9619155963666484</v>
      </c>
      <c r="G26">
        <f t="shared" si="5"/>
        <v>2.5889271909422251</v>
      </c>
      <c r="H26">
        <f t="shared" si="5"/>
        <v>2.4658702317843089</v>
      </c>
      <c r="I26">
        <f t="shared" si="5"/>
        <v>3.676607675561808</v>
      </c>
      <c r="J26">
        <f t="shared" si="5"/>
        <v>2.1417833690642007</v>
      </c>
      <c r="K26">
        <f t="shared" si="5"/>
        <v>2.7586302760609298</v>
      </c>
    </row>
    <row r="27" spans="1:15" x14ac:dyDescent="0.2">
      <c r="A27" t="s">
        <v>10</v>
      </c>
      <c r="C27">
        <f>C24/102.1</f>
        <v>1.4714789422135162</v>
      </c>
      <c r="D27">
        <f t="shared" ref="D27:K27" si="6">D24/102.1</f>
        <v>0.88921645445641517</v>
      </c>
      <c r="E27">
        <f t="shared" si="6"/>
        <v>1.037394711067581</v>
      </c>
      <c r="F27">
        <f t="shared" si="6"/>
        <v>1.5856807051909896</v>
      </c>
      <c r="G27">
        <f t="shared" si="6"/>
        <v>2.5203917727717924</v>
      </c>
      <c r="H27">
        <f t="shared" si="6"/>
        <v>2.7207541625857004</v>
      </c>
      <c r="I27">
        <f t="shared" si="6"/>
        <v>1.0531145935357495</v>
      </c>
      <c r="J27">
        <f t="shared" si="6"/>
        <v>3.3960235063663076</v>
      </c>
      <c r="K27">
        <f t="shared" si="6"/>
        <v>1.4122526934378064</v>
      </c>
    </row>
    <row r="29" spans="1:15" s="1" customFormat="1" x14ac:dyDescent="0.2">
      <c r="A29" s="1" t="s">
        <v>16</v>
      </c>
      <c r="C29" s="1" t="s">
        <v>23</v>
      </c>
      <c r="E29" s="1" t="s">
        <v>25</v>
      </c>
    </row>
    <row r="30" spans="1:15" x14ac:dyDescent="0.2">
      <c r="A30" t="s">
        <v>9</v>
      </c>
      <c r="B30">
        <v>221.05099999999999</v>
      </c>
      <c r="C30">
        <v>312.57799999999997</v>
      </c>
      <c r="D30">
        <v>305.44900000000001</v>
      </c>
      <c r="E30">
        <v>535.44100000000003</v>
      </c>
      <c r="F30">
        <v>326.43</v>
      </c>
      <c r="G30">
        <v>363.20299999999997</v>
      </c>
      <c r="H30">
        <v>398.14499999999998</v>
      </c>
      <c r="I30">
        <v>427.08199999999999</v>
      </c>
      <c r="J30">
        <v>614.70699999999999</v>
      </c>
      <c r="K30">
        <v>741.26199999999994</v>
      </c>
      <c r="L30">
        <v>534.11699999999996</v>
      </c>
      <c r="M30">
        <v>574.55100000000004</v>
      </c>
      <c r="N30">
        <v>663.30100000000004</v>
      </c>
      <c r="O30">
        <v>547.46900000000005</v>
      </c>
    </row>
    <row r="31" spans="1:15" x14ac:dyDescent="0.2">
      <c r="A31" t="s">
        <v>4</v>
      </c>
      <c r="C31">
        <f>C30-B30</f>
        <v>91.526999999999987</v>
      </c>
      <c r="D31">
        <f>D30-B30</f>
        <v>84.398000000000025</v>
      </c>
      <c r="E31">
        <f>E30-B30</f>
        <v>314.39000000000004</v>
      </c>
      <c r="F31">
        <f>F30-B30</f>
        <v>105.37900000000002</v>
      </c>
      <c r="G31">
        <f>G30-B30</f>
        <v>142.15199999999999</v>
      </c>
      <c r="H31">
        <f>H30-B30</f>
        <v>177.09399999999999</v>
      </c>
      <c r="I31">
        <f>I30-B30</f>
        <v>206.03100000000001</v>
      </c>
      <c r="J31">
        <f>J30-B30</f>
        <v>393.65600000000001</v>
      </c>
      <c r="K31">
        <f>K30-B30</f>
        <v>520.21100000000001</v>
      </c>
      <c r="L31">
        <f>L30-B30</f>
        <v>313.06599999999997</v>
      </c>
      <c r="M31">
        <f>M30-B30</f>
        <v>353.50000000000006</v>
      </c>
      <c r="N31">
        <f>N30-B30</f>
        <v>442.25000000000006</v>
      </c>
      <c r="O31">
        <f>O30-B30</f>
        <v>326.41800000000006</v>
      </c>
    </row>
    <row r="32" spans="1:15" x14ac:dyDescent="0.2">
      <c r="A32" t="s">
        <v>5</v>
      </c>
      <c r="C32">
        <v>6.5019999999999998</v>
      </c>
      <c r="D32">
        <v>4.0350000000000001</v>
      </c>
      <c r="E32">
        <v>2.9830000000000001</v>
      </c>
      <c r="F32">
        <v>1.472</v>
      </c>
      <c r="G32">
        <v>2.3860000000000001</v>
      </c>
      <c r="H32">
        <v>2.7810000000000001</v>
      </c>
      <c r="I32">
        <v>2.4990000000000001</v>
      </c>
      <c r="J32">
        <v>2.2160000000000002</v>
      </c>
      <c r="K32">
        <v>1.913</v>
      </c>
      <c r="L32">
        <v>1.359</v>
      </c>
      <c r="M32">
        <v>2.9129999999999998</v>
      </c>
      <c r="N32">
        <v>2.2850000000000001</v>
      </c>
      <c r="O32">
        <v>2.964</v>
      </c>
    </row>
    <row r="33" spans="1:15" x14ac:dyDescent="0.2">
      <c r="A33" t="s">
        <v>6</v>
      </c>
      <c r="C33">
        <f>SQRT(4+C32^2)</f>
        <v>6.8026468378124703</v>
      </c>
      <c r="D33">
        <f t="shared" ref="D33:O33" si="7">SQRT(4+D32^2)</f>
        <v>4.5034681080251922</v>
      </c>
      <c r="E33">
        <f t="shared" si="7"/>
        <v>3.5914188004185754</v>
      </c>
      <c r="F33">
        <f t="shared" si="7"/>
        <v>2.4833010288726576</v>
      </c>
      <c r="G33">
        <f t="shared" si="7"/>
        <v>3.1133576729955075</v>
      </c>
      <c r="H33">
        <f t="shared" si="7"/>
        <v>3.4254869726799431</v>
      </c>
      <c r="I33">
        <f t="shared" si="7"/>
        <v>3.2007813108677077</v>
      </c>
      <c r="J33">
        <f t="shared" si="7"/>
        <v>2.985072193431844</v>
      </c>
      <c r="K33">
        <f t="shared" si="7"/>
        <v>2.7675926362093102</v>
      </c>
      <c r="L33">
        <f t="shared" si="7"/>
        <v>2.4180324646290421</v>
      </c>
      <c r="M33">
        <f t="shared" si="7"/>
        <v>3.5334924649700326</v>
      </c>
      <c r="N33">
        <f t="shared" si="7"/>
        <v>3.0366469995704146</v>
      </c>
      <c r="O33">
        <f t="shared" si="7"/>
        <v>3.5756532270341879</v>
      </c>
    </row>
    <row r="34" spans="1:15" x14ac:dyDescent="0.2">
      <c r="A34" t="s">
        <v>36</v>
      </c>
      <c r="E34">
        <f>E31/102.1</f>
        <v>3.0792360430950056</v>
      </c>
      <c r="F34">
        <f t="shared" ref="F34:O34" si="8">F31/102.1</f>
        <v>1.032115572967679</v>
      </c>
      <c r="G34">
        <f t="shared" si="8"/>
        <v>1.3922820763956905</v>
      </c>
      <c r="H34">
        <f t="shared" si="8"/>
        <v>1.7345151811949069</v>
      </c>
      <c r="I34">
        <f t="shared" si="8"/>
        <v>2.0179333986287955</v>
      </c>
      <c r="J34">
        <f t="shared" si="8"/>
        <v>3.8555925563173363</v>
      </c>
      <c r="K34">
        <f t="shared" si="8"/>
        <v>5.0951126346718905</v>
      </c>
      <c r="L34">
        <f t="shared" si="8"/>
        <v>3.0662683643486779</v>
      </c>
      <c r="M34">
        <f t="shared" si="8"/>
        <v>3.4622918707149859</v>
      </c>
      <c r="N34">
        <f t="shared" si="8"/>
        <v>4.3315377081292858</v>
      </c>
      <c r="O34">
        <f t="shared" si="8"/>
        <v>3.1970421155729687</v>
      </c>
    </row>
    <row r="36" spans="1:15" s="1" customFormat="1" x14ac:dyDescent="0.2">
      <c r="A36" s="1" t="s">
        <v>18</v>
      </c>
      <c r="C36" s="1" t="s">
        <v>25</v>
      </c>
    </row>
    <row r="37" spans="1:15" x14ac:dyDescent="0.2">
      <c r="A37" t="s">
        <v>9</v>
      </c>
      <c r="B37">
        <v>221.05099999999999</v>
      </c>
      <c r="C37">
        <v>274.87099999999998</v>
      </c>
      <c r="D37">
        <v>692.50800000000004</v>
      </c>
      <c r="E37">
        <v>773.74599999999998</v>
      </c>
      <c r="F37">
        <v>609.11699999999996</v>
      </c>
      <c r="G37">
        <v>510.48399999999998</v>
      </c>
    </row>
    <row r="38" spans="1:15" x14ac:dyDescent="0.2">
      <c r="A38" t="s">
        <v>21</v>
      </c>
      <c r="C38">
        <f>C37-B37</f>
        <v>53.819999999999993</v>
      </c>
      <c r="D38">
        <f>D37-B37</f>
        <v>471.45700000000005</v>
      </c>
      <c r="E38">
        <f>E37-B37</f>
        <v>552.69499999999994</v>
      </c>
      <c r="F38">
        <f>F37-B37</f>
        <v>388.06599999999997</v>
      </c>
      <c r="G38">
        <f>G37-B37</f>
        <v>289.43299999999999</v>
      </c>
    </row>
    <row r="39" spans="1:15" x14ac:dyDescent="0.2">
      <c r="A39" t="s">
        <v>31</v>
      </c>
      <c r="C39">
        <v>5.3579999999999997</v>
      </c>
      <c r="D39">
        <v>1.931</v>
      </c>
      <c r="E39">
        <v>2.6059999999999999</v>
      </c>
      <c r="F39">
        <v>2.3860000000000001</v>
      </c>
      <c r="G39">
        <v>2.9340000000000002</v>
      </c>
    </row>
    <row r="40" spans="1:15" x14ac:dyDescent="0.2">
      <c r="A40" t="s">
        <v>6</v>
      </c>
      <c r="C40">
        <f>SQRT(9+C39^2)</f>
        <v>6.1406973545355577</v>
      </c>
      <c r="D40">
        <f t="shared" ref="D40:G40" si="9">SQRT(9+D39^2)</f>
        <v>3.567738919820227</v>
      </c>
      <c r="E40">
        <f t="shared" si="9"/>
        <v>3.9738188182150429</v>
      </c>
      <c r="F40">
        <f t="shared" si="9"/>
        <v>3.8331444011411833</v>
      </c>
      <c r="G40">
        <f t="shared" si="9"/>
        <v>4.196231166177574</v>
      </c>
    </row>
    <row r="41" spans="1:15" x14ac:dyDescent="0.2">
      <c r="A41" t="s">
        <v>10</v>
      </c>
      <c r="C41">
        <f>C38/102.1</f>
        <v>0.52713026444662092</v>
      </c>
      <c r="D41">
        <f t="shared" ref="D41:G41" si="10">D38/102.1</f>
        <v>4.6176003917727728</v>
      </c>
      <c r="E41">
        <f t="shared" si="10"/>
        <v>5.4132713026444659</v>
      </c>
      <c r="F41">
        <f t="shared" si="10"/>
        <v>3.8008423114593537</v>
      </c>
      <c r="G41">
        <f t="shared" si="10"/>
        <v>2.8347992164544564</v>
      </c>
    </row>
    <row r="43" spans="1:15" s="1" customFormat="1" x14ac:dyDescent="0.2">
      <c r="A43" s="1" t="s">
        <v>19</v>
      </c>
      <c r="C43" s="1" t="s">
        <v>25</v>
      </c>
    </row>
    <row r="44" spans="1:15" x14ac:dyDescent="0.2">
      <c r="A44" t="s">
        <v>9</v>
      </c>
      <c r="B44">
        <v>221.05099999999999</v>
      </c>
      <c r="C44">
        <v>276.92200000000003</v>
      </c>
      <c r="D44">
        <v>441.887</v>
      </c>
      <c r="E44">
        <v>325.11700000000002</v>
      </c>
      <c r="F44">
        <v>320.74599999999998</v>
      </c>
    </row>
    <row r="45" spans="1:15" x14ac:dyDescent="0.2">
      <c r="A45" t="s">
        <v>4</v>
      </c>
      <c r="C45">
        <f>C44-B44</f>
        <v>55.871000000000038</v>
      </c>
      <c r="D45">
        <f>D44-B44</f>
        <v>220.83600000000001</v>
      </c>
      <c r="E45">
        <f>E44-B44</f>
        <v>104.06600000000003</v>
      </c>
      <c r="F45">
        <f>F44-B44</f>
        <v>99.694999999999993</v>
      </c>
    </row>
    <row r="46" spans="1:15" x14ac:dyDescent="0.2">
      <c r="A46" t="s">
        <v>5</v>
      </c>
      <c r="C46">
        <v>10.526999999999999</v>
      </c>
      <c r="D46">
        <v>12.098000000000001</v>
      </c>
      <c r="E46">
        <v>2.0830000000000002</v>
      </c>
      <c r="F46">
        <v>2.8239999999999998</v>
      </c>
    </row>
    <row r="47" spans="1:15" x14ac:dyDescent="0.2">
      <c r="A47" t="s">
        <v>6</v>
      </c>
      <c r="C47">
        <f>SQRT(16+C46^2)</f>
        <v>11.26133779797054</v>
      </c>
      <c r="D47">
        <f t="shared" ref="D47:F47" si="11">SQRT(16+D46^2)</f>
        <v>12.742119289976845</v>
      </c>
      <c r="E47">
        <f t="shared" si="11"/>
        <v>4.5098657407953953</v>
      </c>
      <c r="F47">
        <f t="shared" si="11"/>
        <v>4.8964248181709067</v>
      </c>
    </row>
    <row r="48" spans="1:15" x14ac:dyDescent="0.2">
      <c r="A48" t="s">
        <v>10</v>
      </c>
      <c r="C48">
        <f>C45/102.1</f>
        <v>0.54721841332027465</v>
      </c>
      <c r="D48">
        <f t="shared" ref="D48:F48" si="12">D45/102.1</f>
        <v>2.1629382957884431</v>
      </c>
      <c r="E48">
        <f t="shared" si="12"/>
        <v>1.0192556317335948</v>
      </c>
      <c r="F48">
        <f t="shared" si="12"/>
        <v>0.97644466209598435</v>
      </c>
    </row>
    <row r="50" spans="1:3" s="1" customFormat="1" x14ac:dyDescent="0.2">
      <c r="A50" s="1" t="s">
        <v>37</v>
      </c>
      <c r="C50" s="1" t="s">
        <v>25</v>
      </c>
    </row>
    <row r="51" spans="1:3" x14ac:dyDescent="0.2">
      <c r="A51" t="s">
        <v>9</v>
      </c>
      <c r="B51">
        <v>221.05099999999999</v>
      </c>
      <c r="C51">
        <v>464.42599999999999</v>
      </c>
    </row>
    <row r="52" spans="1:3" x14ac:dyDescent="0.2">
      <c r="A52" t="s">
        <v>4</v>
      </c>
      <c r="C52">
        <f>C51-B51</f>
        <v>243.375</v>
      </c>
    </row>
    <row r="53" spans="1:3" x14ac:dyDescent="0.2">
      <c r="A53" t="s">
        <v>5</v>
      </c>
      <c r="C53">
        <v>12.175000000000001</v>
      </c>
    </row>
    <row r="54" spans="1:3" x14ac:dyDescent="0.2">
      <c r="A54" t="s">
        <v>6</v>
      </c>
      <c r="C54">
        <f>SQRT(25+C53^2)</f>
        <v>13.161710565120325</v>
      </c>
    </row>
    <row r="55" spans="1:3" x14ac:dyDescent="0.2">
      <c r="A55" t="s">
        <v>10</v>
      </c>
      <c r="C55">
        <f>C52/102.1</f>
        <v>2.383692458374143</v>
      </c>
    </row>
    <row r="57" spans="1:3" x14ac:dyDescent="0.2">
      <c r="A57" t="s">
        <v>33</v>
      </c>
      <c r="B57">
        <f>AVERAGE(C31:D31,C18,C11:D11)</f>
        <v>102.09660000000001</v>
      </c>
    </row>
    <row r="58" spans="1:3" x14ac:dyDescent="0.2">
      <c r="A58" t="s">
        <v>27</v>
      </c>
      <c r="B58">
        <v>34.554000000000002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0EDA-4AE7-4972-B9C5-D961DA745F5F}">
  <dimension ref="A1:T93"/>
  <sheetViews>
    <sheetView workbookViewId="0">
      <selection activeCell="C21" sqref="C21:D21"/>
    </sheetView>
  </sheetViews>
  <sheetFormatPr baseColWidth="10" defaultColWidth="8.83203125" defaultRowHeight="15" x14ac:dyDescent="0.2"/>
  <cols>
    <col min="1" max="1" width="18.83203125" customWidth="1"/>
    <col min="2" max="2" width="17.83203125" customWidth="1"/>
  </cols>
  <sheetData>
    <row r="1" spans="1:3" x14ac:dyDescent="0.2">
      <c r="A1" t="s">
        <v>43</v>
      </c>
    </row>
    <row r="2" spans="1:3" s="1" customFormat="1" x14ac:dyDescent="0.2">
      <c r="A2" s="1" t="s">
        <v>1</v>
      </c>
      <c r="B2" s="1" t="s">
        <v>30</v>
      </c>
      <c r="C2" s="1" t="s">
        <v>23</v>
      </c>
    </row>
    <row r="3" spans="1:3" x14ac:dyDescent="0.2">
      <c r="A3" t="s">
        <v>9</v>
      </c>
      <c r="B3">
        <v>286.36799999999999</v>
      </c>
      <c r="C3">
        <v>551.85199999999998</v>
      </c>
    </row>
    <row r="4" spans="1:3" x14ac:dyDescent="0.2">
      <c r="A4" t="s">
        <v>4</v>
      </c>
      <c r="C4">
        <f>C3-B3</f>
        <v>265.48399999999998</v>
      </c>
    </row>
    <row r="5" spans="1:3" x14ac:dyDescent="0.2">
      <c r="A5" t="s">
        <v>5</v>
      </c>
      <c r="C5">
        <v>5.7809999999999997</v>
      </c>
    </row>
    <row r="6" spans="1:3" x14ac:dyDescent="0.2">
      <c r="A6" t="s">
        <v>17</v>
      </c>
      <c r="C6">
        <f>SQRT(81+C5^2)</f>
        <v>10.696726648839821</v>
      </c>
    </row>
    <row r="7" spans="1:3" x14ac:dyDescent="0.2">
      <c r="A7" t="s">
        <v>10</v>
      </c>
    </row>
    <row r="9" spans="1:3" s="1" customFormat="1" x14ac:dyDescent="0.2">
      <c r="A9" s="1" t="s">
        <v>8</v>
      </c>
    </row>
    <row r="10" spans="1:3" x14ac:dyDescent="0.2">
      <c r="A10" t="s">
        <v>9</v>
      </c>
    </row>
    <row r="11" spans="1:3" x14ac:dyDescent="0.2">
      <c r="A11" t="s">
        <v>4</v>
      </c>
    </row>
    <row r="12" spans="1:3" x14ac:dyDescent="0.2">
      <c r="A12" t="s">
        <v>5</v>
      </c>
    </row>
    <row r="13" spans="1:3" x14ac:dyDescent="0.2">
      <c r="A13" t="s">
        <v>6</v>
      </c>
    </row>
    <row r="14" spans="1:3" x14ac:dyDescent="0.2">
      <c r="A14" t="s">
        <v>10</v>
      </c>
    </row>
    <row r="16" spans="1:3" s="1" customFormat="1" x14ac:dyDescent="0.2">
      <c r="A16" s="1" t="s">
        <v>11</v>
      </c>
      <c r="C16" s="1" t="s">
        <v>25</v>
      </c>
    </row>
    <row r="17" spans="1:4" x14ac:dyDescent="0.2">
      <c r="A17" t="s">
        <v>9</v>
      </c>
      <c r="B17">
        <v>286.36799999999999</v>
      </c>
      <c r="C17">
        <v>409.07400000000001</v>
      </c>
      <c r="D17">
        <v>619.85500000000002</v>
      </c>
    </row>
    <row r="18" spans="1:4" x14ac:dyDescent="0.2">
      <c r="A18" t="s">
        <v>4</v>
      </c>
      <c r="C18">
        <f>C17-B17</f>
        <v>122.70600000000002</v>
      </c>
      <c r="D18">
        <f>D17-B17</f>
        <v>333.48700000000002</v>
      </c>
    </row>
    <row r="19" spans="1:4" x14ac:dyDescent="0.2">
      <c r="A19" t="s">
        <v>31</v>
      </c>
      <c r="C19">
        <v>4.5220000000000002</v>
      </c>
      <c r="D19">
        <v>3.4820000000000002</v>
      </c>
    </row>
    <row r="20" spans="1:4" x14ac:dyDescent="0.2">
      <c r="A20" t="s">
        <v>6</v>
      </c>
      <c r="C20">
        <f>SQRT(49+C19^2)</f>
        <v>8.3335757031420794</v>
      </c>
      <c r="D20">
        <f>SQRT(49+D19^2)</f>
        <v>7.8182046532436074</v>
      </c>
    </row>
    <row r="21" spans="1:4" x14ac:dyDescent="0.2">
      <c r="A21" t="s">
        <v>10</v>
      </c>
      <c r="C21">
        <f>C18/320.865</f>
        <v>0.38242251414146139</v>
      </c>
      <c r="D21">
        <f>D18/320.865</f>
        <v>1.0393374160472473</v>
      </c>
    </row>
    <row r="23" spans="1:4" s="1" customFormat="1" x14ac:dyDescent="0.2">
      <c r="A23" s="1" t="s">
        <v>29</v>
      </c>
      <c r="C23" s="1" t="s">
        <v>23</v>
      </c>
    </row>
    <row r="24" spans="1:4" x14ac:dyDescent="0.2">
      <c r="A24" t="s">
        <v>3</v>
      </c>
      <c r="B24">
        <v>286.36799999999999</v>
      </c>
      <c r="C24">
        <v>642.18799999999999</v>
      </c>
    </row>
    <row r="25" spans="1:4" x14ac:dyDescent="0.2">
      <c r="A25" t="s">
        <v>4</v>
      </c>
      <c r="C25">
        <f>C24-B24</f>
        <v>355.82</v>
      </c>
    </row>
    <row r="26" spans="1:4" x14ac:dyDescent="0.2">
      <c r="A26" t="s">
        <v>31</v>
      </c>
      <c r="C26">
        <v>3.5830000000000002</v>
      </c>
    </row>
    <row r="27" spans="1:4" x14ac:dyDescent="0.2">
      <c r="A27" t="s">
        <v>6</v>
      </c>
      <c r="C27">
        <f>SQRT(36+C26^2)</f>
        <v>6.9884110497308329</v>
      </c>
    </row>
    <row r="28" spans="1:4" x14ac:dyDescent="0.2">
      <c r="A28" t="s">
        <v>10</v>
      </c>
    </row>
    <row r="30" spans="1:4" s="1" customFormat="1" x14ac:dyDescent="0.2">
      <c r="A30" s="1" t="s">
        <v>13</v>
      </c>
      <c r="C30" s="1" t="s">
        <v>23</v>
      </c>
    </row>
    <row r="31" spans="1:4" x14ac:dyDescent="0.2">
      <c r="A31" t="s">
        <v>3</v>
      </c>
      <c r="B31">
        <v>286.36799999999999</v>
      </c>
      <c r="C31">
        <v>474.03500000000003</v>
      </c>
    </row>
    <row r="32" spans="1:4" x14ac:dyDescent="0.2">
      <c r="A32" t="s">
        <v>4</v>
      </c>
      <c r="C32">
        <f>C31-B31</f>
        <v>187.66700000000003</v>
      </c>
    </row>
    <row r="33" spans="1:8" x14ac:dyDescent="0.2">
      <c r="A33" t="s">
        <v>5</v>
      </c>
      <c r="C33">
        <v>2.3460000000000001</v>
      </c>
    </row>
    <row r="34" spans="1:8" x14ac:dyDescent="0.2">
      <c r="A34" t="s">
        <v>6</v>
      </c>
      <c r="C34">
        <f>SQRT(25+C33^2)</f>
        <v>5.5230169291791968</v>
      </c>
    </row>
    <row r="35" spans="1:8" x14ac:dyDescent="0.2">
      <c r="A35" t="s">
        <v>10</v>
      </c>
    </row>
    <row r="37" spans="1:8" s="1" customFormat="1" x14ac:dyDescent="0.2">
      <c r="A37" s="1" t="s">
        <v>14</v>
      </c>
      <c r="C37" s="1" t="s">
        <v>25</v>
      </c>
    </row>
    <row r="38" spans="1:8" x14ac:dyDescent="0.2">
      <c r="A38" t="s">
        <v>9</v>
      </c>
      <c r="B38">
        <v>286.36799999999999</v>
      </c>
      <c r="C38">
        <v>643.38699999999994</v>
      </c>
      <c r="D38">
        <v>647.98400000000004</v>
      </c>
    </row>
    <row r="39" spans="1:8" x14ac:dyDescent="0.2">
      <c r="A39" t="s">
        <v>4</v>
      </c>
      <c r="C39">
        <f>C38-B38</f>
        <v>357.01899999999995</v>
      </c>
      <c r="D39">
        <f>D38-B38</f>
        <v>361.61600000000004</v>
      </c>
    </row>
    <row r="40" spans="1:8" x14ac:dyDescent="0.2">
      <c r="A40" t="s">
        <v>5</v>
      </c>
      <c r="C40">
        <v>1.3169999999999999</v>
      </c>
      <c r="D40">
        <v>1.841</v>
      </c>
    </row>
    <row r="41" spans="1:8" x14ac:dyDescent="0.2">
      <c r="A41" t="s">
        <v>6</v>
      </c>
      <c r="C41">
        <f>SQRT(16+C40^2)</f>
        <v>4.2112336672286421</v>
      </c>
      <c r="D41">
        <f>SQRT(16+D40^2)</f>
        <v>4.4033261291891614</v>
      </c>
    </row>
    <row r="42" spans="1:8" x14ac:dyDescent="0.2">
      <c r="A42" t="s">
        <v>10</v>
      </c>
      <c r="C42">
        <f>C39/320.865</f>
        <v>1.1126766708740434</v>
      </c>
      <c r="D42">
        <f>D39/320.865</f>
        <v>1.1270035684789554</v>
      </c>
    </row>
    <row r="44" spans="1:8" s="1" customFormat="1" x14ac:dyDescent="0.2">
      <c r="A44" s="1" t="s">
        <v>15</v>
      </c>
      <c r="C44" s="1" t="s">
        <v>25</v>
      </c>
    </row>
    <row r="45" spans="1:8" x14ac:dyDescent="0.2">
      <c r="A45" t="s">
        <v>9</v>
      </c>
      <c r="B45">
        <v>286.36799999999999</v>
      </c>
      <c r="C45">
        <v>956.10199999999998</v>
      </c>
      <c r="D45">
        <v>803.11699999999996</v>
      </c>
      <c r="E45">
        <v>716.93399999999997</v>
      </c>
      <c r="F45">
        <v>1753.211</v>
      </c>
      <c r="G45">
        <v>1728.5309999999999</v>
      </c>
      <c r="H45">
        <v>1179.961</v>
      </c>
    </row>
    <row r="46" spans="1:8" x14ac:dyDescent="0.2">
      <c r="A46" t="s">
        <v>4</v>
      </c>
      <c r="C46">
        <f>C45-B45</f>
        <v>669.73399999999992</v>
      </c>
      <c r="D46">
        <f>D45-B45</f>
        <v>516.74900000000002</v>
      </c>
      <c r="E46">
        <f>E45-B45</f>
        <v>430.56599999999997</v>
      </c>
      <c r="F46">
        <f>F45-B45</f>
        <v>1466.8430000000001</v>
      </c>
      <c r="G46">
        <f>G45-B45</f>
        <v>1442.163</v>
      </c>
      <c r="H46">
        <f>H45-B45</f>
        <v>893.59300000000007</v>
      </c>
    </row>
    <row r="47" spans="1:8" x14ac:dyDescent="0.2">
      <c r="A47" t="s">
        <v>5</v>
      </c>
      <c r="C47">
        <v>4.3650000000000002</v>
      </c>
      <c r="D47">
        <v>2.1909999999999998</v>
      </c>
      <c r="E47">
        <v>2.391</v>
      </c>
      <c r="F47">
        <v>2.226</v>
      </c>
      <c r="G47">
        <v>1.8420000000000001</v>
      </c>
      <c r="H47">
        <v>2.1440000000000001</v>
      </c>
    </row>
    <row r="48" spans="1:8" x14ac:dyDescent="0.2">
      <c r="A48" t="s">
        <v>6</v>
      </c>
      <c r="C48">
        <f>SQRT(9+C47^2)</f>
        <v>5.2965295241318158</v>
      </c>
      <c r="D48">
        <f t="shared" ref="D48:H48" si="0">SQRT(9+D47^2)</f>
        <v>3.7148998640609414</v>
      </c>
      <c r="E48">
        <f t="shared" si="0"/>
        <v>3.8362587243302557</v>
      </c>
      <c r="F48">
        <f t="shared" si="0"/>
        <v>3.7356493411453919</v>
      </c>
      <c r="G48">
        <f t="shared" si="0"/>
        <v>3.5203641857057915</v>
      </c>
      <c r="H48">
        <f t="shared" si="0"/>
        <v>3.68737521822773</v>
      </c>
    </row>
    <row r="49" spans="1:20" x14ac:dyDescent="0.2">
      <c r="A49" t="s">
        <v>10</v>
      </c>
      <c r="C49">
        <f>C46/320.865</f>
        <v>2.0872765804933535</v>
      </c>
      <c r="D49">
        <f t="shared" ref="D49:H49" si="1">D46/320.865</f>
        <v>1.6104872765804934</v>
      </c>
      <c r="E49">
        <f t="shared" si="1"/>
        <v>1.3418914496750969</v>
      </c>
      <c r="F49">
        <f t="shared" si="1"/>
        <v>4.5715269661695732</v>
      </c>
      <c r="G49">
        <f t="shared" si="1"/>
        <v>4.4946098826609324</v>
      </c>
      <c r="H49">
        <f t="shared" si="1"/>
        <v>2.784950056877503</v>
      </c>
    </row>
    <row r="51" spans="1:20" s="1" customFormat="1" x14ac:dyDescent="0.2">
      <c r="A51" s="1" t="s">
        <v>16</v>
      </c>
      <c r="C51" s="1" t="s">
        <v>23</v>
      </c>
      <c r="D51" s="1" t="s">
        <v>25</v>
      </c>
    </row>
    <row r="52" spans="1:20" x14ac:dyDescent="0.2">
      <c r="A52" t="s">
        <v>9</v>
      </c>
      <c r="B52">
        <v>286.36799999999999</v>
      </c>
      <c r="C52">
        <v>760.85500000000002</v>
      </c>
      <c r="D52">
        <v>1368.41</v>
      </c>
      <c r="E52">
        <v>1668.9570000000001</v>
      </c>
      <c r="F52">
        <v>2283.0120000000002</v>
      </c>
      <c r="G52">
        <v>1907.414</v>
      </c>
      <c r="H52">
        <v>1556.09</v>
      </c>
      <c r="I52">
        <v>995.69899999999996</v>
      </c>
      <c r="J52">
        <v>1596.2729999999999</v>
      </c>
      <c r="K52">
        <v>1785.7070000000001</v>
      </c>
      <c r="L52">
        <v>1253.8399999999999</v>
      </c>
      <c r="M52">
        <v>1534.07</v>
      </c>
      <c r="N52">
        <v>649.00900000000001</v>
      </c>
      <c r="O52">
        <v>773.82399999999996</v>
      </c>
    </row>
    <row r="53" spans="1:20" x14ac:dyDescent="0.2">
      <c r="A53" t="s">
        <v>4</v>
      </c>
      <c r="C53">
        <f>C52-B52</f>
        <v>474.48700000000002</v>
      </c>
      <c r="D53">
        <f>D52-B52</f>
        <v>1082.0420000000001</v>
      </c>
      <c r="E53">
        <f>E52-B52</f>
        <v>1382.5890000000002</v>
      </c>
      <c r="F53">
        <f>F52-B52</f>
        <v>1996.6440000000002</v>
      </c>
      <c r="G53">
        <f>G52-B52</f>
        <v>1621.046</v>
      </c>
      <c r="H53">
        <f>H52-B52</f>
        <v>1269.722</v>
      </c>
      <c r="I53">
        <f>I52-B52</f>
        <v>709.3309999999999</v>
      </c>
      <c r="J53">
        <f>J52-B52</f>
        <v>1309.905</v>
      </c>
      <c r="K53">
        <f>K52-B52</f>
        <v>1499.3390000000002</v>
      </c>
      <c r="L53">
        <f>L52-B52</f>
        <v>967.47199999999998</v>
      </c>
      <c r="M53">
        <f>M52-B52</f>
        <v>1247.702</v>
      </c>
      <c r="N53">
        <f>N52-B52</f>
        <v>362.64100000000002</v>
      </c>
      <c r="O53">
        <f>O52-B52</f>
        <v>487.45599999999996</v>
      </c>
    </row>
    <row r="54" spans="1:20" x14ac:dyDescent="0.2">
      <c r="A54" t="s">
        <v>5</v>
      </c>
      <c r="C54">
        <v>4.3150000000000004</v>
      </c>
      <c r="D54">
        <v>2.6160000000000001</v>
      </c>
      <c r="E54">
        <v>3.0390000000000001</v>
      </c>
      <c r="F54">
        <v>2.38</v>
      </c>
      <c r="G54">
        <v>2.76</v>
      </c>
      <c r="H54">
        <v>1.7390000000000001</v>
      </c>
      <c r="I54">
        <v>1.42</v>
      </c>
      <c r="J54">
        <v>0.93100000000000005</v>
      </c>
      <c r="K54">
        <v>2.2290000000000001</v>
      </c>
      <c r="L54">
        <v>2.5830000000000002</v>
      </c>
      <c r="M54">
        <v>2.1240000000000001</v>
      </c>
      <c r="N54">
        <v>3.448</v>
      </c>
      <c r="O54">
        <v>4.1680000000000001</v>
      </c>
    </row>
    <row r="55" spans="1:20" x14ac:dyDescent="0.2">
      <c r="A55" t="s">
        <v>17</v>
      </c>
      <c r="C55">
        <f>SQRT(4+C54^2)</f>
        <v>4.7559673043451429</v>
      </c>
      <c r="D55">
        <f t="shared" ref="D55:O55" si="2">SQRT(4+D54^2)</f>
        <v>3.2929403274277536</v>
      </c>
      <c r="E55">
        <f t="shared" si="2"/>
        <v>3.6380655574082224</v>
      </c>
      <c r="F55">
        <f t="shared" si="2"/>
        <v>3.1087618113969429</v>
      </c>
      <c r="G55">
        <f t="shared" si="2"/>
        <v>3.4084600628436297</v>
      </c>
      <c r="H55">
        <f t="shared" si="2"/>
        <v>2.6503058314088963</v>
      </c>
      <c r="I55">
        <f t="shared" si="2"/>
        <v>2.4528350943347168</v>
      </c>
      <c r="J55">
        <f t="shared" si="2"/>
        <v>2.2060736615081558</v>
      </c>
      <c r="K55">
        <f t="shared" si="2"/>
        <v>2.9947355475901376</v>
      </c>
      <c r="L55">
        <f t="shared" si="2"/>
        <v>3.2667857291227413</v>
      </c>
      <c r="M55">
        <f t="shared" si="2"/>
        <v>2.9174262629927772</v>
      </c>
      <c r="N55">
        <f t="shared" si="2"/>
        <v>3.9860637225212541</v>
      </c>
      <c r="O55">
        <f t="shared" si="2"/>
        <v>4.6230102747019721</v>
      </c>
    </row>
    <row r="56" spans="1:20" x14ac:dyDescent="0.2">
      <c r="A56" t="s">
        <v>10</v>
      </c>
      <c r="D56">
        <f>D53/320.865</f>
        <v>3.3722655945646927</v>
      </c>
      <c r="E56">
        <f t="shared" ref="E56:O56" si="3">E53/320.865</f>
        <v>4.308943013416858</v>
      </c>
      <c r="F56">
        <f t="shared" si="3"/>
        <v>6.2226917862652522</v>
      </c>
      <c r="G56">
        <f t="shared" si="3"/>
        <v>5.052112259049756</v>
      </c>
      <c r="H56">
        <f t="shared" si="3"/>
        <v>3.9571844856871268</v>
      </c>
      <c r="I56">
        <f t="shared" si="3"/>
        <v>2.2106836208374236</v>
      </c>
      <c r="J56">
        <f t="shared" si="3"/>
        <v>4.0824178392782011</v>
      </c>
      <c r="K56">
        <f t="shared" si="3"/>
        <v>4.6728032038396217</v>
      </c>
      <c r="L56">
        <f t="shared" si="3"/>
        <v>3.0151995387468249</v>
      </c>
      <c r="M56">
        <f t="shared" si="3"/>
        <v>3.8885574930266622</v>
      </c>
      <c r="N56">
        <f t="shared" si="3"/>
        <v>1.1301980583734592</v>
      </c>
      <c r="O56">
        <f t="shared" si="3"/>
        <v>1.5191934302588315</v>
      </c>
    </row>
    <row r="58" spans="1:20" s="1" customFormat="1" x14ac:dyDescent="0.2">
      <c r="A58" s="1" t="s">
        <v>18</v>
      </c>
      <c r="C58" s="1" t="s">
        <v>25</v>
      </c>
    </row>
    <row r="59" spans="1:20" x14ac:dyDescent="0.2">
      <c r="A59" t="s">
        <v>9</v>
      </c>
      <c r="B59">
        <v>286.36799999999999</v>
      </c>
      <c r="C59">
        <v>2137.348</v>
      </c>
      <c r="D59">
        <v>2596.6559999999999</v>
      </c>
      <c r="E59">
        <v>2507.9879999999998</v>
      </c>
      <c r="F59">
        <v>2378.02</v>
      </c>
      <c r="G59">
        <v>2088.6640000000002</v>
      </c>
      <c r="H59">
        <v>1430.559</v>
      </c>
      <c r="I59">
        <v>1248.0119999999999</v>
      </c>
      <c r="J59">
        <v>807.22299999999996</v>
      </c>
      <c r="K59">
        <v>707.89499999999998</v>
      </c>
      <c r="L59">
        <v>904.69500000000005</v>
      </c>
      <c r="M59">
        <v>1483.598</v>
      </c>
      <c r="N59">
        <v>1713.3320000000001</v>
      </c>
      <c r="O59">
        <v>2393.5430000000001</v>
      </c>
      <c r="P59">
        <v>1673.9380000000001</v>
      </c>
      <c r="Q59">
        <v>1197.1559999999999</v>
      </c>
      <c r="R59">
        <v>1360.605</v>
      </c>
      <c r="S59">
        <v>1840.6679999999999</v>
      </c>
      <c r="T59">
        <v>1254.086</v>
      </c>
    </row>
    <row r="60" spans="1:20" x14ac:dyDescent="0.2">
      <c r="A60" t="s">
        <v>21</v>
      </c>
      <c r="C60">
        <f>C59-B59</f>
        <v>1850.98</v>
      </c>
      <c r="D60">
        <f>D59-B59</f>
        <v>2310.288</v>
      </c>
      <c r="E60">
        <f>E59-B59</f>
        <v>2221.62</v>
      </c>
      <c r="F60">
        <f>F59-B59</f>
        <v>2091.652</v>
      </c>
      <c r="G60">
        <f>G59-B59</f>
        <v>1802.2960000000003</v>
      </c>
      <c r="H60">
        <f>H59-B59</f>
        <v>1144.191</v>
      </c>
      <c r="I60">
        <f>I59-B59</f>
        <v>961.64400000000001</v>
      </c>
      <c r="J60">
        <f>J59-B59</f>
        <v>520.85500000000002</v>
      </c>
      <c r="K60">
        <f>K59-B59</f>
        <v>421.52699999999999</v>
      </c>
      <c r="L60">
        <f>L59-B59</f>
        <v>618.327</v>
      </c>
      <c r="M60">
        <f>M59-B59</f>
        <v>1197.23</v>
      </c>
      <c r="N60">
        <f>N59-B59</f>
        <v>1426.9640000000002</v>
      </c>
      <c r="O60">
        <f>O59-B59</f>
        <v>2107.1750000000002</v>
      </c>
      <c r="P60">
        <f>P59-B59</f>
        <v>1387.5700000000002</v>
      </c>
      <c r="Q60">
        <f>Q59-B59</f>
        <v>910.78800000000001</v>
      </c>
      <c r="R60">
        <f>R59-B59</f>
        <v>1074.2370000000001</v>
      </c>
      <c r="S60">
        <f>S59-B59</f>
        <v>1554.3</v>
      </c>
      <c r="T60">
        <f>T59-B59</f>
        <v>967.71800000000007</v>
      </c>
    </row>
    <row r="61" spans="1:20" x14ac:dyDescent="0.2">
      <c r="A61" t="s">
        <v>5</v>
      </c>
      <c r="C61">
        <v>2.4449999999999998</v>
      </c>
      <c r="D61">
        <v>3.23</v>
      </c>
      <c r="E61">
        <v>3.125</v>
      </c>
      <c r="F61">
        <v>2.4729999999999999</v>
      </c>
      <c r="G61">
        <v>2.633</v>
      </c>
      <c r="H61">
        <v>1.8540000000000001</v>
      </c>
      <c r="I61">
        <v>1.6459999999999999</v>
      </c>
      <c r="J61">
        <v>0.70099999999999996</v>
      </c>
      <c r="K61">
        <v>1.3580000000000001</v>
      </c>
      <c r="L61">
        <v>1.131</v>
      </c>
      <c r="M61">
        <v>1.8859999999999999</v>
      </c>
      <c r="N61">
        <v>2.4420000000000002</v>
      </c>
      <c r="O61">
        <v>2.879</v>
      </c>
      <c r="P61">
        <v>2.6539999999999999</v>
      </c>
      <c r="Q61">
        <v>3.0750000000000002</v>
      </c>
      <c r="R61">
        <v>3.5219999999999998</v>
      </c>
      <c r="S61">
        <v>4.4459999999999997</v>
      </c>
      <c r="T61">
        <v>4.3540000000000001</v>
      </c>
    </row>
    <row r="62" spans="1:20" x14ac:dyDescent="0.2">
      <c r="A62" t="s">
        <v>17</v>
      </c>
      <c r="C62">
        <f>SQRT(1+C61^2)</f>
        <v>2.6415951620185858</v>
      </c>
      <c r="D62">
        <f t="shared" ref="D62:T62" si="4">SQRT(1+D61^2)</f>
        <v>3.3812571626541512</v>
      </c>
      <c r="E62">
        <f t="shared" si="4"/>
        <v>3.281101187101672</v>
      </c>
      <c r="F62">
        <f t="shared" si="4"/>
        <v>2.6675323803095621</v>
      </c>
      <c r="G62">
        <f t="shared" si="4"/>
        <v>2.8165029735471609</v>
      </c>
      <c r="H62">
        <f t="shared" si="4"/>
        <v>2.1064937692763301</v>
      </c>
      <c r="I62">
        <f t="shared" si="4"/>
        <v>1.9259584626881234</v>
      </c>
      <c r="J62">
        <f t="shared" si="4"/>
        <v>1.2212292986986515</v>
      </c>
      <c r="K62">
        <f t="shared" si="4"/>
        <v>1.6864649418235766</v>
      </c>
      <c r="L62">
        <f t="shared" si="4"/>
        <v>1.5096890408292696</v>
      </c>
      <c r="M62">
        <f t="shared" si="4"/>
        <v>2.1347121585825102</v>
      </c>
      <c r="N62">
        <f t="shared" si="4"/>
        <v>2.6388186750892908</v>
      </c>
      <c r="O62">
        <f t="shared" si="4"/>
        <v>3.0477271859534936</v>
      </c>
      <c r="P62">
        <f t="shared" si="4"/>
        <v>2.8361445661319875</v>
      </c>
      <c r="Q62">
        <f t="shared" si="4"/>
        <v>3.2335158883172355</v>
      </c>
      <c r="R62">
        <f t="shared" si="4"/>
        <v>3.6612134600429949</v>
      </c>
      <c r="S62">
        <f t="shared" si="4"/>
        <v>4.5570731835247056</v>
      </c>
      <c r="T62">
        <f t="shared" si="4"/>
        <v>4.4673611897853078</v>
      </c>
    </row>
    <row r="63" spans="1:20" x14ac:dyDescent="0.2">
      <c r="A63" t="s">
        <v>10</v>
      </c>
      <c r="C63">
        <f>C60/320.865</f>
        <v>5.7687189316379159</v>
      </c>
      <c r="D63">
        <f t="shared" ref="D63:T63" si="5">D60/320.865</f>
        <v>7.2001869945304096</v>
      </c>
      <c r="E63">
        <f t="shared" si="5"/>
        <v>6.9238464774905326</v>
      </c>
      <c r="F63">
        <f t="shared" si="5"/>
        <v>6.5187913920184499</v>
      </c>
      <c r="G63">
        <f t="shared" si="5"/>
        <v>5.6169915696632549</v>
      </c>
      <c r="H63">
        <f t="shared" si="5"/>
        <v>3.565957645738862</v>
      </c>
      <c r="I63">
        <f t="shared" si="5"/>
        <v>2.9970361366930018</v>
      </c>
      <c r="J63">
        <f t="shared" si="5"/>
        <v>1.62328393561155</v>
      </c>
      <c r="K63">
        <f t="shared" si="5"/>
        <v>1.3137207236688326</v>
      </c>
      <c r="L63">
        <f t="shared" si="5"/>
        <v>1.9270627834135852</v>
      </c>
      <c r="M63">
        <f t="shared" si="5"/>
        <v>3.7312576940457824</v>
      </c>
      <c r="N63">
        <f t="shared" si="5"/>
        <v>4.4472410515325764</v>
      </c>
      <c r="O63">
        <f t="shared" si="5"/>
        <v>6.5671699936110208</v>
      </c>
      <c r="P63">
        <f t="shared" si="5"/>
        <v>4.3244666760163932</v>
      </c>
      <c r="Q63">
        <f t="shared" si="5"/>
        <v>2.8385395727174978</v>
      </c>
      <c r="R63">
        <f t="shared" si="5"/>
        <v>3.3479407227338602</v>
      </c>
      <c r="S63">
        <f t="shared" si="5"/>
        <v>4.844093310270674</v>
      </c>
      <c r="T63">
        <f t="shared" si="5"/>
        <v>3.0159662163215062</v>
      </c>
    </row>
    <row r="65" spans="1:19" s="1" customFormat="1" x14ac:dyDescent="0.2">
      <c r="A65" s="1" t="s">
        <v>44</v>
      </c>
      <c r="C65" s="1" t="s">
        <v>25</v>
      </c>
    </row>
    <row r="66" spans="1:19" x14ac:dyDescent="0.2">
      <c r="A66" t="s">
        <v>9</v>
      </c>
      <c r="B66">
        <v>286.36799999999999</v>
      </c>
      <c r="C66">
        <v>851.72299999999996</v>
      </c>
      <c r="D66">
        <v>779.71100000000001</v>
      </c>
      <c r="E66">
        <v>1612.4259999999999</v>
      </c>
      <c r="F66">
        <v>3074.6129999999998</v>
      </c>
      <c r="G66">
        <v>2946.652</v>
      </c>
      <c r="H66">
        <v>1655.828</v>
      </c>
      <c r="I66">
        <v>1513.414</v>
      </c>
      <c r="J66">
        <v>1810.2460000000001</v>
      </c>
      <c r="K66">
        <v>1041.777</v>
      </c>
      <c r="L66">
        <v>2152.1370000000002</v>
      </c>
      <c r="M66">
        <v>2223.8910000000001</v>
      </c>
      <c r="N66">
        <v>2785.5390000000002</v>
      </c>
      <c r="O66">
        <v>2190.3670000000002</v>
      </c>
      <c r="P66">
        <v>1972.8589999999999</v>
      </c>
      <c r="Q66">
        <v>1159.5119999999999</v>
      </c>
      <c r="R66">
        <v>1284.289</v>
      </c>
      <c r="S66">
        <v>1761.492</v>
      </c>
    </row>
    <row r="67" spans="1:19" x14ac:dyDescent="0.2">
      <c r="A67" t="s">
        <v>4</v>
      </c>
      <c r="C67">
        <f>C66-B66</f>
        <v>565.35500000000002</v>
      </c>
      <c r="D67">
        <f>D66-B66</f>
        <v>493.34300000000002</v>
      </c>
      <c r="E67">
        <f>E66-B66</f>
        <v>1326.058</v>
      </c>
      <c r="F67">
        <f>F66-B66</f>
        <v>2788.2449999999999</v>
      </c>
      <c r="G67">
        <f>G66-B66</f>
        <v>2660.2840000000001</v>
      </c>
      <c r="H67">
        <f>H66-B66</f>
        <v>1369.46</v>
      </c>
      <c r="I67">
        <f>I66-B66</f>
        <v>1227.046</v>
      </c>
      <c r="J67">
        <f>J66-B66</f>
        <v>1523.8780000000002</v>
      </c>
      <c r="K67">
        <f>K66-B66</f>
        <v>755.40900000000011</v>
      </c>
      <c r="L67">
        <f>L66-B66</f>
        <v>1865.7690000000002</v>
      </c>
      <c r="M67">
        <f>M66-B66</f>
        <v>1937.5230000000001</v>
      </c>
      <c r="N67">
        <f>N66-B66</f>
        <v>2499.1710000000003</v>
      </c>
      <c r="O67">
        <f>O66-B66</f>
        <v>1903.9990000000003</v>
      </c>
      <c r="P67">
        <f>P66-B66</f>
        <v>1686.491</v>
      </c>
      <c r="Q67">
        <f>Q66-B66</f>
        <v>873.14400000000001</v>
      </c>
      <c r="R67">
        <f>R66-B66</f>
        <v>997.92100000000005</v>
      </c>
      <c r="S67">
        <f>S66-B66</f>
        <v>1475.124</v>
      </c>
    </row>
    <row r="68" spans="1:19" x14ac:dyDescent="0.2">
      <c r="A68" t="s">
        <v>5</v>
      </c>
      <c r="C68">
        <v>3.01</v>
      </c>
      <c r="D68">
        <v>2.3849999999999998</v>
      </c>
      <c r="E68">
        <v>3.069</v>
      </c>
      <c r="F68">
        <v>2.718</v>
      </c>
      <c r="G68">
        <v>3.5030000000000001</v>
      </c>
      <c r="H68">
        <v>0.92600000000000005</v>
      </c>
      <c r="I68">
        <v>1.175</v>
      </c>
      <c r="J68">
        <v>0.90600000000000003</v>
      </c>
      <c r="K68">
        <v>2.1160000000000001</v>
      </c>
      <c r="L68">
        <v>1.667</v>
      </c>
      <c r="M68">
        <v>2.3919999999999999</v>
      </c>
      <c r="N68">
        <v>2.6139999999999999</v>
      </c>
      <c r="O68">
        <v>2.9670000000000001</v>
      </c>
      <c r="P68">
        <v>3.1749999999999998</v>
      </c>
      <c r="Q68">
        <v>3.6219999999999999</v>
      </c>
      <c r="R68">
        <v>3.5990000000000002</v>
      </c>
      <c r="S68">
        <v>4.2229999999999999</v>
      </c>
    </row>
    <row r="69" spans="1:19" x14ac:dyDescent="0.2">
      <c r="A69" t="s">
        <v>10</v>
      </c>
      <c r="C69">
        <f>C67/320.865</f>
        <v>1.7619715456656226</v>
      </c>
      <c r="D69">
        <f t="shared" ref="D69:S69" si="6">D67/320.865</f>
        <v>1.537540710267558</v>
      </c>
      <c r="E69">
        <f t="shared" si="6"/>
        <v>4.1327598834400758</v>
      </c>
      <c r="F69">
        <f t="shared" si="6"/>
        <v>8.6897760740498331</v>
      </c>
      <c r="G69">
        <f t="shared" si="6"/>
        <v>8.2909759556199649</v>
      </c>
      <c r="H69">
        <f t="shared" si="6"/>
        <v>4.268025493587646</v>
      </c>
      <c r="I69">
        <f t="shared" si="6"/>
        <v>3.8241815093575182</v>
      </c>
      <c r="J69">
        <f t="shared" si="6"/>
        <v>4.7492808502017985</v>
      </c>
      <c r="K69">
        <f t="shared" si="6"/>
        <v>2.3542891870412794</v>
      </c>
      <c r="L69">
        <f t="shared" si="6"/>
        <v>5.8148099668084718</v>
      </c>
      <c r="M69">
        <f t="shared" si="6"/>
        <v>6.0384367257257727</v>
      </c>
      <c r="N69">
        <f t="shared" si="6"/>
        <v>7.7888551259875651</v>
      </c>
      <c r="O69">
        <f t="shared" si="6"/>
        <v>5.9339566484347008</v>
      </c>
      <c r="P69">
        <f t="shared" si="6"/>
        <v>5.2560765430944478</v>
      </c>
      <c r="Q69">
        <f t="shared" si="6"/>
        <v>2.721219204338273</v>
      </c>
      <c r="R69">
        <f t="shared" si="6"/>
        <v>3.1100961463543859</v>
      </c>
      <c r="S69">
        <f t="shared" si="6"/>
        <v>4.597335327941658</v>
      </c>
    </row>
    <row r="71" spans="1:19" s="1" customFormat="1" x14ac:dyDescent="0.2">
      <c r="A71" s="1" t="s">
        <v>37</v>
      </c>
      <c r="C71" s="1" t="s">
        <v>25</v>
      </c>
    </row>
    <row r="72" spans="1:19" x14ac:dyDescent="0.2">
      <c r="A72" t="s">
        <v>9</v>
      </c>
      <c r="B72">
        <v>286.36799999999999</v>
      </c>
      <c r="C72">
        <v>1146.211</v>
      </c>
      <c r="D72">
        <v>863.91800000000001</v>
      </c>
      <c r="E72">
        <v>2751.1089999999999</v>
      </c>
      <c r="F72">
        <v>2413.3359999999998</v>
      </c>
      <c r="G72">
        <v>1850.5350000000001</v>
      </c>
      <c r="H72">
        <v>2377.453</v>
      </c>
      <c r="I72">
        <v>1768.309</v>
      </c>
    </row>
    <row r="73" spans="1:19" x14ac:dyDescent="0.2">
      <c r="A73" t="s">
        <v>4</v>
      </c>
      <c r="C73">
        <f>C72-B72</f>
        <v>859.84300000000007</v>
      </c>
      <c r="D73">
        <f>D72-B72</f>
        <v>577.54999999999995</v>
      </c>
      <c r="E73">
        <f>E72-B72</f>
        <v>2464.741</v>
      </c>
      <c r="F73">
        <f>F72-B72</f>
        <v>2126.9679999999998</v>
      </c>
      <c r="G73">
        <f>G72-B72</f>
        <v>1564.1670000000001</v>
      </c>
      <c r="H73">
        <f>H72-B72</f>
        <v>2091.085</v>
      </c>
      <c r="I73">
        <f>I72-B72</f>
        <v>1481.941</v>
      </c>
    </row>
    <row r="74" spans="1:19" x14ac:dyDescent="0.2">
      <c r="A74" t="s">
        <v>5</v>
      </c>
      <c r="C74">
        <v>2.9630000000000001</v>
      </c>
      <c r="D74">
        <v>0.96699999999999997</v>
      </c>
      <c r="E74">
        <v>1.609</v>
      </c>
      <c r="F74">
        <v>2.3860000000000001</v>
      </c>
      <c r="G74">
        <v>3.1280000000000001</v>
      </c>
      <c r="H74">
        <v>2.9340000000000002</v>
      </c>
      <c r="I74">
        <v>4.0670000000000002</v>
      </c>
    </row>
    <row r="75" spans="1:19" x14ac:dyDescent="0.2">
      <c r="A75" t="s">
        <v>6</v>
      </c>
      <c r="C75">
        <f>SQRT(1+C74^2)</f>
        <v>3.1271982668196783</v>
      </c>
      <c r="D75">
        <f t="shared" ref="D75:I75" si="7">SQRT(1+D74^2)</f>
        <v>1.3910747643458996</v>
      </c>
      <c r="E75">
        <f t="shared" si="7"/>
        <v>1.8944342163295087</v>
      </c>
      <c r="F75">
        <f t="shared" si="7"/>
        <v>2.5870825267084157</v>
      </c>
      <c r="G75">
        <f t="shared" si="7"/>
        <v>3.2839585868277941</v>
      </c>
      <c r="H75">
        <f t="shared" si="7"/>
        <v>3.0997348273683025</v>
      </c>
      <c r="I75">
        <f t="shared" si="7"/>
        <v>4.1881366978645769</v>
      </c>
    </row>
    <row r="76" spans="1:19" x14ac:dyDescent="0.2">
      <c r="A76" t="s">
        <v>10</v>
      </c>
      <c r="C76">
        <f>C73/320.865</f>
        <v>2.6797656335218862</v>
      </c>
      <c r="D76">
        <f t="shared" ref="D76:I76" si="8">D73/320.865</f>
        <v>1.7999781839714519</v>
      </c>
      <c r="E76">
        <f t="shared" si="8"/>
        <v>7.6815514312873017</v>
      </c>
      <c r="F76">
        <f t="shared" si="8"/>
        <v>6.6288563726177667</v>
      </c>
      <c r="G76">
        <f t="shared" si="8"/>
        <v>4.8748445607965971</v>
      </c>
      <c r="H76">
        <f t="shared" si="8"/>
        <v>6.5170242937060756</v>
      </c>
      <c r="I76">
        <f t="shared" si="8"/>
        <v>4.618581023171739</v>
      </c>
    </row>
    <row r="78" spans="1:19" s="1" customFormat="1" x14ac:dyDescent="0.2">
      <c r="A78" s="1" t="s">
        <v>22</v>
      </c>
      <c r="C78" s="1" t="s">
        <v>25</v>
      </c>
    </row>
    <row r="79" spans="1:19" x14ac:dyDescent="0.2">
      <c r="A79" t="s">
        <v>9</v>
      </c>
      <c r="B79">
        <v>286.36799999999999</v>
      </c>
      <c r="C79">
        <v>542.57799999999997</v>
      </c>
      <c r="D79">
        <v>641.64099999999996</v>
      </c>
      <c r="E79">
        <v>1036.0899999999999</v>
      </c>
      <c r="F79">
        <v>903.69100000000003</v>
      </c>
      <c r="G79">
        <v>784.44899999999996</v>
      </c>
      <c r="H79">
        <v>1034.0119999999999</v>
      </c>
      <c r="I79">
        <v>652.47699999999998</v>
      </c>
    </row>
    <row r="80" spans="1:19" x14ac:dyDescent="0.2">
      <c r="A80" t="s">
        <v>21</v>
      </c>
      <c r="C80">
        <f>C79-B79</f>
        <v>256.20999999999998</v>
      </c>
      <c r="D80">
        <f>D79-B79</f>
        <v>355.27299999999997</v>
      </c>
      <c r="E80">
        <f>E79-B79</f>
        <v>749.72199999999998</v>
      </c>
      <c r="F80">
        <f>F79-B79</f>
        <v>617.32300000000009</v>
      </c>
      <c r="G80">
        <f>G79-B79</f>
        <v>498.08099999999996</v>
      </c>
      <c r="H80">
        <f>H79-B79</f>
        <v>747.64400000000001</v>
      </c>
      <c r="I80">
        <f>I79-B79</f>
        <v>366.10899999999998</v>
      </c>
    </row>
    <row r="81" spans="1:9" x14ac:dyDescent="0.2">
      <c r="A81" t="s">
        <v>5</v>
      </c>
      <c r="C81">
        <v>2.7349999999999999</v>
      </c>
      <c r="D81">
        <v>1.633</v>
      </c>
      <c r="E81">
        <v>1.7290000000000001</v>
      </c>
      <c r="F81">
        <v>2.448</v>
      </c>
      <c r="G81">
        <v>3.0870000000000002</v>
      </c>
      <c r="H81">
        <v>2.9620000000000002</v>
      </c>
      <c r="I81">
        <v>3.9169999999999998</v>
      </c>
    </row>
    <row r="82" spans="1:9" x14ac:dyDescent="0.2">
      <c r="A82" t="s">
        <v>6</v>
      </c>
      <c r="C82">
        <f>SQRT(4+C81^2)</f>
        <v>3.3882480723819497</v>
      </c>
      <c r="D82">
        <f t="shared" ref="D82:I82" si="9">SQRT(4+D81^2)</f>
        <v>2.5819932222993924</v>
      </c>
      <c r="E82">
        <f t="shared" si="9"/>
        <v>2.643755094557739</v>
      </c>
      <c r="F82">
        <f t="shared" si="9"/>
        <v>3.1611238507847172</v>
      </c>
      <c r="G82">
        <f t="shared" si="9"/>
        <v>3.6782562444723723</v>
      </c>
      <c r="H82">
        <f t="shared" si="9"/>
        <v>3.5739955232204754</v>
      </c>
      <c r="I82">
        <f t="shared" si="9"/>
        <v>4.3980551383537705</v>
      </c>
    </row>
    <row r="83" spans="1:9" x14ac:dyDescent="0.2">
      <c r="A83" t="s">
        <v>10</v>
      </c>
      <c r="C83">
        <f>C80/320.865</f>
        <v>0.79849781060570635</v>
      </c>
      <c r="D83">
        <f t="shared" ref="D83:I83" si="10">D80/320.865</f>
        <v>1.1072351300391128</v>
      </c>
      <c r="E83">
        <f t="shared" si="10"/>
        <v>2.336565222133919</v>
      </c>
      <c r="F83">
        <f t="shared" si="10"/>
        <v>1.9239337416047249</v>
      </c>
      <c r="G83">
        <f t="shared" si="10"/>
        <v>1.5523070450189331</v>
      </c>
      <c r="H83">
        <f t="shared" si="10"/>
        <v>2.3300889782307199</v>
      </c>
      <c r="I83">
        <f t="shared" si="10"/>
        <v>1.1410063422311563</v>
      </c>
    </row>
    <row r="85" spans="1:9" s="1" customFormat="1" x14ac:dyDescent="0.2">
      <c r="A85" s="1" t="s">
        <v>45</v>
      </c>
      <c r="C85" s="1" t="s">
        <v>25</v>
      </c>
    </row>
    <row r="86" spans="1:9" x14ac:dyDescent="0.2">
      <c r="A86" t="s">
        <v>9</v>
      </c>
      <c r="B86">
        <v>286.36799999999999</v>
      </c>
      <c r="C86">
        <v>1086.4559999999999</v>
      </c>
      <c r="D86">
        <v>557.98400000000004</v>
      </c>
      <c r="E86">
        <v>552.85500000000002</v>
      </c>
    </row>
    <row r="87" spans="1:9" x14ac:dyDescent="0.2">
      <c r="A87" t="s">
        <v>4</v>
      </c>
      <c r="C87">
        <f>C86-B86</f>
        <v>800.08799999999997</v>
      </c>
      <c r="D87">
        <f>D86-B86</f>
        <v>271.61600000000004</v>
      </c>
      <c r="E87">
        <f>E86-B86</f>
        <v>266.48700000000002</v>
      </c>
    </row>
    <row r="88" spans="1:9" x14ac:dyDescent="0.2">
      <c r="A88" t="s">
        <v>5</v>
      </c>
      <c r="C88">
        <v>1.5860000000000001</v>
      </c>
      <c r="D88">
        <v>2.2010000000000001</v>
      </c>
      <c r="E88">
        <v>3.0449999999999999</v>
      </c>
    </row>
    <row r="89" spans="1:9" x14ac:dyDescent="0.2">
      <c r="A89" t="s">
        <v>6</v>
      </c>
      <c r="C89">
        <f>SQRT(9+C88^2)</f>
        <v>3.3934342486631448</v>
      </c>
      <c r="D89">
        <f t="shared" ref="D89:E89" si="11">SQRT(9+D88^2)</f>
        <v>3.7208064985967764</v>
      </c>
      <c r="E89">
        <f t="shared" si="11"/>
        <v>4.2745789266312535</v>
      </c>
    </row>
    <row r="90" spans="1:9" x14ac:dyDescent="0.2">
      <c r="A90" t="s">
        <v>10</v>
      </c>
      <c r="C90">
        <f>C87/320.865</f>
        <v>2.4935346641110745</v>
      </c>
      <c r="D90">
        <f t="shared" ref="D90:E90" si="12">D87/320.865</f>
        <v>0.84651177286397716</v>
      </c>
      <c r="E90">
        <f t="shared" si="12"/>
        <v>0.83052685708943019</v>
      </c>
    </row>
    <row r="92" spans="1:9" x14ac:dyDescent="0.2">
      <c r="A92" t="s">
        <v>33</v>
      </c>
      <c r="B92">
        <f>AVERAGE(C53,C32,C25,C4)</f>
        <v>320.86449999999996</v>
      </c>
    </row>
    <row r="93" spans="1:9" x14ac:dyDescent="0.2">
      <c r="A93" t="s">
        <v>27</v>
      </c>
      <c r="B93">
        <v>38.015000000000001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4D3D-5621-4736-90D9-481552E8AE5D}">
  <dimension ref="A1:T86"/>
  <sheetViews>
    <sheetView topLeftCell="A70" workbookViewId="0">
      <selection activeCell="J23" sqref="J23"/>
    </sheetView>
  </sheetViews>
  <sheetFormatPr baseColWidth="10" defaultColWidth="8.83203125" defaultRowHeight="15" x14ac:dyDescent="0.2"/>
  <cols>
    <col min="1" max="1" width="17.83203125" customWidth="1"/>
    <col min="2" max="2" width="11.1640625" customWidth="1"/>
  </cols>
  <sheetData>
    <row r="1" spans="1:4" x14ac:dyDescent="0.2">
      <c r="A1" t="s">
        <v>47</v>
      </c>
    </row>
    <row r="2" spans="1:4" s="1" customFormat="1" x14ac:dyDescent="0.2">
      <c r="A2" s="1" t="s">
        <v>8</v>
      </c>
      <c r="B2" s="1" t="s">
        <v>2</v>
      </c>
      <c r="C2" s="1" t="s">
        <v>23</v>
      </c>
    </row>
    <row r="3" spans="1:4" x14ac:dyDescent="0.2">
      <c r="A3" t="s">
        <v>9</v>
      </c>
      <c r="B3">
        <v>214.28100000000001</v>
      </c>
      <c r="C3">
        <v>290.28100000000001</v>
      </c>
    </row>
    <row r="4" spans="1:4" x14ac:dyDescent="0.2">
      <c r="A4" t="s">
        <v>4</v>
      </c>
      <c r="C4">
        <f>C3-B3</f>
        <v>76</v>
      </c>
    </row>
    <row r="5" spans="1:4" x14ac:dyDescent="0.2">
      <c r="A5" t="s">
        <v>5</v>
      </c>
      <c r="C5">
        <v>0.46200000000000002</v>
      </c>
    </row>
    <row r="6" spans="1:4" x14ac:dyDescent="0.2">
      <c r="A6" t="s">
        <v>6</v>
      </c>
      <c r="C6">
        <f>SQRT(81+C5^2)</f>
        <v>9.0118501984886539</v>
      </c>
    </row>
    <row r="7" spans="1:4" x14ac:dyDescent="0.2">
      <c r="A7" t="s">
        <v>10</v>
      </c>
    </row>
    <row r="9" spans="1:4" s="1" customFormat="1" x14ac:dyDescent="0.2">
      <c r="A9" s="1" t="s">
        <v>11</v>
      </c>
      <c r="C9" s="1" t="s">
        <v>25</v>
      </c>
    </row>
    <row r="10" spans="1:4" x14ac:dyDescent="0.2">
      <c r="A10" t="s">
        <v>9</v>
      </c>
      <c r="B10">
        <v>214.06899999999999</v>
      </c>
      <c r="C10">
        <v>312.02</v>
      </c>
      <c r="D10">
        <v>308.15199999999999</v>
      </c>
    </row>
    <row r="11" spans="1:4" x14ac:dyDescent="0.2">
      <c r="A11" t="s">
        <v>4</v>
      </c>
      <c r="C11">
        <f>C10-B10</f>
        <v>97.950999999999993</v>
      </c>
      <c r="D11">
        <f>D10-B10</f>
        <v>94.082999999999998</v>
      </c>
    </row>
    <row r="12" spans="1:4" x14ac:dyDescent="0.2">
      <c r="A12" t="s">
        <v>5</v>
      </c>
      <c r="C12">
        <v>2.4900000000000002</v>
      </c>
      <c r="D12">
        <v>0.60499999999999998</v>
      </c>
    </row>
    <row r="13" spans="1:4" x14ac:dyDescent="0.2">
      <c r="A13" t="s">
        <v>6</v>
      </c>
      <c r="C13">
        <f>SQRT(64+C12^2)</f>
        <v>8.3785499938831904</v>
      </c>
      <c r="D13">
        <f>SQRT(64+D12^2)</f>
        <v>8.0228439471299691</v>
      </c>
    </row>
    <row r="14" spans="1:4" x14ac:dyDescent="0.2">
      <c r="A14" t="s">
        <v>10</v>
      </c>
      <c r="C14">
        <f>C11/70.03</f>
        <v>1.3987005569041837</v>
      </c>
      <c r="D14">
        <f>D11/70.03</f>
        <v>1.3434670855347708</v>
      </c>
    </row>
    <row r="16" spans="1:4" s="1" customFormat="1" x14ac:dyDescent="0.2">
      <c r="A16" s="1" t="s">
        <v>29</v>
      </c>
      <c r="C16" s="1" t="s">
        <v>25</v>
      </c>
    </row>
    <row r="17" spans="1:5" x14ac:dyDescent="0.2">
      <c r="A17" t="s">
        <v>9</v>
      </c>
      <c r="B17">
        <v>214.06899999999999</v>
      </c>
      <c r="C17">
        <v>312.62099999999998</v>
      </c>
      <c r="D17">
        <v>295.363</v>
      </c>
    </row>
    <row r="18" spans="1:5" x14ac:dyDescent="0.2">
      <c r="A18" t="s">
        <v>4</v>
      </c>
      <c r="C18">
        <f>C17-B17</f>
        <v>98.551999999999992</v>
      </c>
      <c r="D18">
        <f>D17-B17</f>
        <v>81.294000000000011</v>
      </c>
    </row>
    <row r="19" spans="1:5" x14ac:dyDescent="0.2">
      <c r="A19" t="s">
        <v>5</v>
      </c>
      <c r="C19">
        <v>2.5299999999999998</v>
      </c>
      <c r="D19">
        <v>2.06</v>
      </c>
    </row>
    <row r="20" spans="1:5" x14ac:dyDescent="0.2">
      <c r="A20" t="s">
        <v>6</v>
      </c>
      <c r="C20">
        <f>SQRT(49+C19^2)</f>
        <v>7.4431780846624918</v>
      </c>
      <c r="D20">
        <f>SQRT(49+D19^2)</f>
        <v>7.2968212257119198</v>
      </c>
    </row>
    <row r="21" spans="1:5" x14ac:dyDescent="0.2">
      <c r="A21" t="s">
        <v>10</v>
      </c>
      <c r="C21">
        <f>C18/70.03</f>
        <v>1.4072825931743538</v>
      </c>
      <c r="D21">
        <f>D18/70.03</f>
        <v>1.1608453519920037</v>
      </c>
    </row>
    <row r="23" spans="1:5" s="1" customFormat="1" x14ac:dyDescent="0.2">
      <c r="A23" s="1" t="s">
        <v>13</v>
      </c>
      <c r="C23" s="1" t="s">
        <v>25</v>
      </c>
    </row>
    <row r="24" spans="1:5" x14ac:dyDescent="0.2">
      <c r="A24" t="s">
        <v>9</v>
      </c>
      <c r="B24">
        <v>214.06899999999999</v>
      </c>
      <c r="C24">
        <v>347.97300000000001</v>
      </c>
      <c r="D24">
        <v>418.512</v>
      </c>
      <c r="E24">
        <v>444.27699999999999</v>
      </c>
    </row>
    <row r="25" spans="1:5" x14ac:dyDescent="0.2">
      <c r="A25" t="s">
        <v>4</v>
      </c>
      <c r="C25">
        <f>C24-B24</f>
        <v>133.90400000000002</v>
      </c>
      <c r="D25">
        <f>D24-B24</f>
        <v>204.44300000000001</v>
      </c>
      <c r="E25">
        <f>E24-B24</f>
        <v>230.208</v>
      </c>
    </row>
    <row r="26" spans="1:5" x14ac:dyDescent="0.2">
      <c r="A26" t="s">
        <v>5</v>
      </c>
      <c r="C26">
        <v>2.9929999999999999</v>
      </c>
      <c r="D26">
        <v>2.4279999999999999</v>
      </c>
      <c r="E26">
        <v>2.02</v>
      </c>
    </row>
    <row r="27" spans="1:5" x14ac:dyDescent="0.2">
      <c r="A27" t="s">
        <v>17</v>
      </c>
      <c r="C27">
        <f>SQRT(36+C26^2)</f>
        <v>6.7050763604898638</v>
      </c>
      <c r="D27">
        <f t="shared" ref="D27:E27" si="0">SQRT(36+D26^2)</f>
        <v>6.4726489167882422</v>
      </c>
      <c r="E27">
        <f t="shared" si="0"/>
        <v>6.3309083076601258</v>
      </c>
    </row>
    <row r="28" spans="1:5" x14ac:dyDescent="0.2">
      <c r="A28" t="s">
        <v>10</v>
      </c>
    </row>
    <row r="30" spans="1:5" s="1" customFormat="1" x14ac:dyDescent="0.2">
      <c r="A30" s="1" t="s">
        <v>14</v>
      </c>
      <c r="C30" s="1" t="s">
        <v>25</v>
      </c>
    </row>
    <row r="31" spans="1:5" x14ac:dyDescent="0.2">
      <c r="A31" t="s">
        <v>9</v>
      </c>
      <c r="B31">
        <v>214.06899999999999</v>
      </c>
      <c r="C31">
        <v>276.375</v>
      </c>
      <c r="D31">
        <v>275.42200000000003</v>
      </c>
    </row>
    <row r="32" spans="1:5" x14ac:dyDescent="0.2">
      <c r="A32" t="s">
        <v>4</v>
      </c>
      <c r="C32">
        <f>C31-B31</f>
        <v>62.306000000000012</v>
      </c>
      <c r="D32">
        <f>D31-B31</f>
        <v>61.353000000000037</v>
      </c>
    </row>
    <row r="33" spans="1:7" x14ac:dyDescent="0.2">
      <c r="A33" t="s">
        <v>5</v>
      </c>
      <c r="C33">
        <v>2.2200000000000002</v>
      </c>
      <c r="D33">
        <v>3.0579999999999998</v>
      </c>
    </row>
    <row r="34" spans="1:7" x14ac:dyDescent="0.2">
      <c r="A34" t="s">
        <v>6</v>
      </c>
      <c r="C34">
        <f>SQRT(25+C33^2)</f>
        <v>5.4706855146315991</v>
      </c>
      <c r="D34">
        <f>SQRT(25+D33^2)</f>
        <v>5.8610036683148392</v>
      </c>
    </row>
    <row r="35" spans="1:7" x14ac:dyDescent="0.2">
      <c r="A35" t="s">
        <v>10</v>
      </c>
      <c r="C35">
        <f>C32/70.03</f>
        <v>0.88970441239468812</v>
      </c>
      <c r="D35">
        <f>D32/70.03</f>
        <v>0.87609595887476843</v>
      </c>
    </row>
    <row r="37" spans="1:7" s="1" customFormat="1" x14ac:dyDescent="0.2">
      <c r="A37" s="1" t="s">
        <v>15</v>
      </c>
      <c r="C37" s="1" t="s">
        <v>23</v>
      </c>
      <c r="D37" s="1" t="s">
        <v>25</v>
      </c>
    </row>
    <row r="38" spans="1:7" x14ac:dyDescent="0.2">
      <c r="A38" t="s">
        <v>9</v>
      </c>
      <c r="B38">
        <v>214.06899999999999</v>
      </c>
      <c r="C38">
        <v>295.40199999999999</v>
      </c>
      <c r="D38">
        <v>279.60500000000002</v>
      </c>
    </row>
    <row r="39" spans="1:7" x14ac:dyDescent="0.2">
      <c r="A39" t="s">
        <v>4</v>
      </c>
      <c r="C39">
        <f>C38-B38</f>
        <v>81.332999999999998</v>
      </c>
      <c r="D39">
        <f>D38-B38</f>
        <v>65.53600000000003</v>
      </c>
    </row>
    <row r="40" spans="1:7" x14ac:dyDescent="0.2">
      <c r="A40" t="s">
        <v>5</v>
      </c>
      <c r="C40">
        <v>1.3580000000000001</v>
      </c>
      <c r="D40">
        <v>3.593</v>
      </c>
    </row>
    <row r="41" spans="1:7" x14ac:dyDescent="0.2">
      <c r="A41" t="s">
        <v>17</v>
      </c>
      <c r="C41">
        <f>SQRT(16+C40^2)</f>
        <v>4.2242353154150871</v>
      </c>
      <c r="D41">
        <f>SQRT(16+D40^2)</f>
        <v>5.3767693831891288</v>
      </c>
    </row>
    <row r="42" spans="1:7" x14ac:dyDescent="0.2">
      <c r="A42" t="s">
        <v>10</v>
      </c>
      <c r="D42">
        <f>D39/70.03</f>
        <v>0.93582750249892943</v>
      </c>
    </row>
    <row r="44" spans="1:7" s="1" customFormat="1" x14ac:dyDescent="0.2">
      <c r="A44" s="1" t="s">
        <v>16</v>
      </c>
      <c r="C44" s="1" t="s">
        <v>25</v>
      </c>
    </row>
    <row r="45" spans="1:7" x14ac:dyDescent="0.2">
      <c r="A45" t="s">
        <v>9</v>
      </c>
      <c r="B45">
        <v>214.06899999999999</v>
      </c>
      <c r="C45">
        <v>298.54300000000001</v>
      </c>
      <c r="D45">
        <v>417.45299999999997</v>
      </c>
      <c r="E45">
        <v>318.44900000000001</v>
      </c>
      <c r="F45">
        <v>271.46499999999997</v>
      </c>
      <c r="G45">
        <v>265.10199999999998</v>
      </c>
    </row>
    <row r="46" spans="1:7" x14ac:dyDescent="0.2">
      <c r="A46" t="s">
        <v>4</v>
      </c>
      <c r="C46">
        <f>C45-B45</f>
        <v>84.474000000000018</v>
      </c>
      <c r="D46">
        <f>D45-B45</f>
        <v>203.38399999999999</v>
      </c>
      <c r="E46">
        <f>E45-B45</f>
        <v>104.38000000000002</v>
      </c>
      <c r="F46">
        <f>F45-B45</f>
        <v>57.395999999999987</v>
      </c>
      <c r="G46">
        <f>G45-B45</f>
        <v>51.032999999999987</v>
      </c>
    </row>
    <row r="47" spans="1:7" x14ac:dyDescent="0.2">
      <c r="A47" t="s">
        <v>5</v>
      </c>
      <c r="C47">
        <v>1.996</v>
      </c>
      <c r="D47">
        <v>3.5569999999999999</v>
      </c>
      <c r="E47">
        <v>4.3650000000000002</v>
      </c>
      <c r="F47">
        <v>2.12</v>
      </c>
      <c r="G47">
        <v>1.444</v>
      </c>
    </row>
    <row r="48" spans="1:7" x14ac:dyDescent="0.2">
      <c r="A48" t="s">
        <v>6</v>
      </c>
      <c r="C48">
        <f>SQRT(9+C47^2)</f>
        <v>3.6033340117174815</v>
      </c>
      <c r="D48">
        <f t="shared" ref="D48:G48" si="1">SQRT(9+D47^2)</f>
        <v>4.6531977176990873</v>
      </c>
      <c r="E48">
        <f t="shared" si="1"/>
        <v>5.2965295241318158</v>
      </c>
      <c r="F48">
        <f t="shared" si="1"/>
        <v>3.6734724716540343</v>
      </c>
      <c r="G48">
        <f t="shared" si="1"/>
        <v>3.329434786866984</v>
      </c>
    </row>
    <row r="49" spans="1:20" x14ac:dyDescent="0.2">
      <c r="A49" t="s">
        <v>10</v>
      </c>
      <c r="C49">
        <f>C46/70.03</f>
        <v>1.2062544623732689</v>
      </c>
      <c r="D49">
        <f t="shared" ref="D49:G49" si="2">D46/70.03</f>
        <v>2.9042410395544764</v>
      </c>
      <c r="E49">
        <f t="shared" si="2"/>
        <v>1.4905040696844212</v>
      </c>
      <c r="F49">
        <f t="shared" si="2"/>
        <v>0.81959160359845762</v>
      </c>
      <c r="G49">
        <f t="shared" si="2"/>
        <v>0.72873054405254867</v>
      </c>
    </row>
    <row r="51" spans="1:20" s="1" customFormat="1" x14ac:dyDescent="0.2">
      <c r="A51" s="1" t="s">
        <v>18</v>
      </c>
      <c r="C51" s="1" t="s">
        <v>23</v>
      </c>
      <c r="D51" s="1" t="s">
        <v>25</v>
      </c>
    </row>
    <row r="52" spans="1:20" x14ac:dyDescent="0.2">
      <c r="A52" t="s">
        <v>9</v>
      </c>
      <c r="B52">
        <v>214.06899999999999</v>
      </c>
      <c r="C52">
        <v>269.72699999999998</v>
      </c>
      <c r="D52">
        <v>266.37099999999998</v>
      </c>
      <c r="E52">
        <v>315.32</v>
      </c>
      <c r="F52">
        <v>396.34399999999999</v>
      </c>
      <c r="G52">
        <v>287.44499999999999</v>
      </c>
      <c r="H52">
        <v>480.33199999999999</v>
      </c>
      <c r="I52">
        <v>289.25</v>
      </c>
      <c r="J52">
        <v>397.78500000000003</v>
      </c>
      <c r="K52">
        <v>382.38299999999998</v>
      </c>
      <c r="L52">
        <v>351.49200000000002</v>
      </c>
    </row>
    <row r="53" spans="1:20" x14ac:dyDescent="0.2">
      <c r="A53" t="s">
        <v>4</v>
      </c>
      <c r="C53">
        <f>C52-B52</f>
        <v>55.657999999999987</v>
      </c>
      <c r="D53">
        <f>D52-B52</f>
        <v>52.301999999999992</v>
      </c>
      <c r="E53">
        <f>E52-B52</f>
        <v>101.251</v>
      </c>
      <c r="F53">
        <f>F52-B52</f>
        <v>182.27500000000001</v>
      </c>
      <c r="G53">
        <f>G52-B52</f>
        <v>73.376000000000005</v>
      </c>
      <c r="H53">
        <f>H52-B52</f>
        <v>266.26300000000003</v>
      </c>
      <c r="I53">
        <f>I52-B52</f>
        <v>75.181000000000012</v>
      </c>
      <c r="J53">
        <f>J52-B52</f>
        <v>183.71600000000004</v>
      </c>
      <c r="K53">
        <f>K52-B52</f>
        <v>168.31399999999999</v>
      </c>
      <c r="L53">
        <f>L52-B52</f>
        <v>137.42300000000003</v>
      </c>
    </row>
    <row r="54" spans="1:20" x14ac:dyDescent="0.2">
      <c r="A54" t="s">
        <v>5</v>
      </c>
      <c r="C54">
        <v>9.8770000000000007</v>
      </c>
      <c r="D54">
        <v>2.98</v>
      </c>
      <c r="E54">
        <v>0.77100000000000002</v>
      </c>
      <c r="F54">
        <v>1.679</v>
      </c>
      <c r="G54">
        <v>3.407</v>
      </c>
      <c r="H54">
        <v>4.3490000000000002</v>
      </c>
      <c r="I54">
        <v>2.02</v>
      </c>
      <c r="J54">
        <v>2.2850000000000001</v>
      </c>
      <c r="K54">
        <v>2.1440000000000001</v>
      </c>
      <c r="L54">
        <v>1.758</v>
      </c>
    </row>
    <row r="55" spans="1:20" x14ac:dyDescent="0.2">
      <c r="A55" t="s">
        <v>6</v>
      </c>
      <c r="C55">
        <f>SQRT(4+C54^2)</f>
        <v>10.07745647472615</v>
      </c>
      <c r="D55">
        <f t="shared" ref="D55:L55" si="3">SQRT(4+D54^2)</f>
        <v>3.5889274163738669</v>
      </c>
      <c r="E55">
        <f t="shared" si="3"/>
        <v>2.1434647186272975</v>
      </c>
      <c r="F55">
        <f t="shared" si="3"/>
        <v>2.6113293549454846</v>
      </c>
      <c r="G55">
        <f t="shared" si="3"/>
        <v>3.9506517183877397</v>
      </c>
      <c r="H55">
        <f t="shared" si="3"/>
        <v>4.7868362203025079</v>
      </c>
      <c r="I55">
        <f t="shared" si="3"/>
        <v>2.8426044395940848</v>
      </c>
      <c r="J55">
        <f t="shared" si="3"/>
        <v>3.0366469995704146</v>
      </c>
      <c r="K55">
        <f t="shared" si="3"/>
        <v>2.9320190995285142</v>
      </c>
      <c r="L55">
        <f t="shared" si="3"/>
        <v>2.6628112963557897</v>
      </c>
    </row>
    <row r="56" spans="1:20" x14ac:dyDescent="0.2">
      <c r="A56" t="s">
        <v>10</v>
      </c>
      <c r="D56">
        <f>D53/70.03</f>
        <v>0.7468513494216763</v>
      </c>
      <c r="E56">
        <f t="shared" ref="E56:L56" si="4">E53/70.03</f>
        <v>1.4458232186205913</v>
      </c>
      <c r="F56">
        <f t="shared" si="4"/>
        <v>2.602813080108525</v>
      </c>
      <c r="G56">
        <f t="shared" si="4"/>
        <v>1.0477795230615452</v>
      </c>
      <c r="H56">
        <f t="shared" si="4"/>
        <v>3.8021276595744684</v>
      </c>
      <c r="I56">
        <f t="shared" si="4"/>
        <v>1.0735541910609741</v>
      </c>
      <c r="J56">
        <f t="shared" si="4"/>
        <v>2.6233899757246899</v>
      </c>
      <c r="K56">
        <f t="shared" si="4"/>
        <v>2.4034556618592031</v>
      </c>
      <c r="L56">
        <f t="shared" si="4"/>
        <v>1.9623447094102531</v>
      </c>
    </row>
    <row r="58" spans="1:20" s="1" customFormat="1" x14ac:dyDescent="0.2">
      <c r="A58" s="1" t="s">
        <v>19</v>
      </c>
      <c r="C58" s="1" t="s">
        <v>23</v>
      </c>
      <c r="G58" s="1" t="s">
        <v>25</v>
      </c>
    </row>
    <row r="59" spans="1:20" x14ac:dyDescent="0.2">
      <c r="A59" t="s">
        <v>9</v>
      </c>
      <c r="B59">
        <v>214.06899999999999</v>
      </c>
      <c r="C59">
        <v>282.25400000000002</v>
      </c>
      <c r="D59">
        <v>296.35899999999998</v>
      </c>
      <c r="E59">
        <v>279.88299999999998</v>
      </c>
      <c r="F59">
        <v>254.64099999999999</v>
      </c>
      <c r="G59">
        <v>293.43799999999999</v>
      </c>
      <c r="H59">
        <v>270.625</v>
      </c>
      <c r="I59">
        <v>337.66800000000001</v>
      </c>
      <c r="J59">
        <v>382.80900000000003</v>
      </c>
      <c r="K59">
        <v>463.17599999999999</v>
      </c>
      <c r="L59">
        <v>423.52699999999999</v>
      </c>
      <c r="M59">
        <v>269.86700000000002</v>
      </c>
      <c r="N59">
        <v>295.85500000000002</v>
      </c>
      <c r="O59">
        <v>332.46899999999999</v>
      </c>
      <c r="P59">
        <v>301.75</v>
      </c>
      <c r="Q59">
        <v>534.17999999999995</v>
      </c>
      <c r="R59">
        <v>539.23800000000006</v>
      </c>
      <c r="S59">
        <v>509.57799999999997</v>
      </c>
      <c r="T59">
        <v>431.59</v>
      </c>
    </row>
    <row r="60" spans="1:20" x14ac:dyDescent="0.2">
      <c r="A60" t="s">
        <v>21</v>
      </c>
      <c r="C60">
        <f>C59-B59</f>
        <v>68.185000000000031</v>
      </c>
      <c r="D60">
        <f>D59-B59</f>
        <v>82.289999999999992</v>
      </c>
      <c r="E60">
        <f>E59-B59</f>
        <v>65.813999999999993</v>
      </c>
      <c r="F60">
        <f>F59-B59</f>
        <v>40.572000000000003</v>
      </c>
      <c r="G60">
        <f>G59-B59</f>
        <v>79.369</v>
      </c>
      <c r="H60">
        <f>H59-B59</f>
        <v>56.556000000000012</v>
      </c>
      <c r="I60">
        <f>I59-B59</f>
        <v>123.59900000000002</v>
      </c>
      <c r="J60">
        <f>J59-B59</f>
        <v>168.74000000000004</v>
      </c>
      <c r="K60">
        <f>K59-B59</f>
        <v>249.107</v>
      </c>
      <c r="L60">
        <f>L59-B59</f>
        <v>209.458</v>
      </c>
      <c r="M60">
        <f>M59-B59</f>
        <v>55.79800000000003</v>
      </c>
      <c r="N60">
        <f>N59-B59</f>
        <v>81.78600000000003</v>
      </c>
      <c r="O60">
        <f>O59-B59</f>
        <v>118.4</v>
      </c>
      <c r="P60">
        <f>P59-B59</f>
        <v>87.681000000000012</v>
      </c>
      <c r="Q60">
        <f>Q59-B59</f>
        <v>320.11099999999999</v>
      </c>
      <c r="R60">
        <f>R59-B59</f>
        <v>325.1690000000001</v>
      </c>
      <c r="S60">
        <f>S59-B59</f>
        <v>295.50900000000001</v>
      </c>
      <c r="T60">
        <f>T59-B59</f>
        <v>217.52099999999999</v>
      </c>
    </row>
    <row r="61" spans="1:20" x14ac:dyDescent="0.2">
      <c r="A61" t="s">
        <v>5</v>
      </c>
      <c r="C61">
        <v>6.8380000000000001</v>
      </c>
      <c r="D61">
        <v>6.34</v>
      </c>
      <c r="E61">
        <v>9.8290000000000006</v>
      </c>
      <c r="F61">
        <v>4.1139999999999999</v>
      </c>
      <c r="G61">
        <v>9.1110000000000007</v>
      </c>
      <c r="H61">
        <v>3.629</v>
      </c>
      <c r="I61">
        <v>2.4380000000000002</v>
      </c>
      <c r="J61">
        <v>2.7069999999999999</v>
      </c>
      <c r="K61">
        <v>0.749</v>
      </c>
      <c r="L61">
        <v>1.5860000000000001</v>
      </c>
      <c r="M61">
        <v>5.5960000000000001</v>
      </c>
      <c r="N61">
        <v>4.4960000000000004</v>
      </c>
      <c r="O61">
        <v>4.968</v>
      </c>
      <c r="P61">
        <v>2.72</v>
      </c>
      <c r="Q61">
        <v>2.2450000000000001</v>
      </c>
      <c r="R61">
        <v>2.0790000000000002</v>
      </c>
      <c r="S61">
        <v>1.845</v>
      </c>
      <c r="T61">
        <v>1.427</v>
      </c>
    </row>
    <row r="62" spans="1:20" x14ac:dyDescent="0.2">
      <c r="A62" t="s">
        <v>6</v>
      </c>
      <c r="C62">
        <f>SQRT(1+C61^2)</f>
        <v>6.9107339697024948</v>
      </c>
      <c r="D62">
        <f t="shared" ref="D62:T62" si="5">SQRT(1+D61^2)</f>
        <v>6.418379857876908</v>
      </c>
      <c r="E62">
        <f t="shared" si="5"/>
        <v>9.8797389135543465</v>
      </c>
      <c r="F62">
        <f t="shared" si="5"/>
        <v>4.2337921536135896</v>
      </c>
      <c r="G62">
        <f t="shared" si="5"/>
        <v>9.1657144293284638</v>
      </c>
      <c r="H62">
        <f t="shared" si="5"/>
        <v>3.7642583598897672</v>
      </c>
      <c r="I62">
        <f t="shared" si="5"/>
        <v>2.6351174546877414</v>
      </c>
      <c r="J62">
        <f t="shared" si="5"/>
        <v>2.8858012752093654</v>
      </c>
      <c r="K62">
        <f t="shared" si="5"/>
        <v>1.2494002561229127</v>
      </c>
      <c r="L62">
        <f t="shared" si="5"/>
        <v>1.8749389323388643</v>
      </c>
      <c r="M62">
        <f t="shared" si="5"/>
        <v>5.6846473945179747</v>
      </c>
      <c r="N62">
        <f t="shared" si="5"/>
        <v>4.6058675621428806</v>
      </c>
      <c r="O62">
        <f t="shared" si="5"/>
        <v>5.0676448178616464</v>
      </c>
      <c r="P62">
        <f t="shared" si="5"/>
        <v>2.8979993098687933</v>
      </c>
      <c r="Q62">
        <f t="shared" si="5"/>
        <v>2.457646231661506</v>
      </c>
      <c r="R62">
        <f t="shared" si="5"/>
        <v>2.3069982661458592</v>
      </c>
      <c r="S62">
        <f t="shared" si="5"/>
        <v>2.0985768987578224</v>
      </c>
      <c r="T62">
        <f t="shared" si="5"/>
        <v>1.7425065279648166</v>
      </c>
    </row>
    <row r="63" spans="1:20" x14ac:dyDescent="0.2">
      <c r="A63" t="s">
        <v>10</v>
      </c>
      <c r="G63">
        <f>G60/70.03</f>
        <v>1.1333571326574325</v>
      </c>
      <c r="H63">
        <f t="shared" ref="H63:T63" si="6">H60/70.03</f>
        <v>0.80759674425246342</v>
      </c>
      <c r="I63">
        <f t="shared" si="6"/>
        <v>1.7649435956018851</v>
      </c>
      <c r="J63">
        <f t="shared" si="6"/>
        <v>2.4095387690989583</v>
      </c>
      <c r="K63">
        <f t="shared" si="6"/>
        <v>3.5571469370269884</v>
      </c>
      <c r="L63">
        <f t="shared" si="6"/>
        <v>2.9909752963015848</v>
      </c>
      <c r="M63">
        <f t="shared" si="6"/>
        <v>0.79677281165214953</v>
      </c>
      <c r="N63">
        <f t="shared" si="6"/>
        <v>1.1678709124660864</v>
      </c>
      <c r="O63">
        <f t="shared" si="6"/>
        <v>1.6907039840068543</v>
      </c>
      <c r="P63">
        <f t="shared" si="6"/>
        <v>1.252049121804941</v>
      </c>
      <c r="Q63">
        <f t="shared" si="6"/>
        <v>4.5710552620305585</v>
      </c>
      <c r="R63">
        <f t="shared" si="6"/>
        <v>4.6432814508067981</v>
      </c>
      <c r="S63">
        <f t="shared" si="6"/>
        <v>4.2197486791375125</v>
      </c>
      <c r="T63">
        <f t="shared" si="6"/>
        <v>3.106111666428673</v>
      </c>
    </row>
    <row r="65" spans="1:18" s="1" customFormat="1" x14ac:dyDescent="0.2">
      <c r="A65" s="1" t="s">
        <v>48</v>
      </c>
      <c r="C65" s="1" t="s">
        <v>23</v>
      </c>
      <c r="E65" s="1" t="s">
        <v>25</v>
      </c>
    </row>
    <row r="66" spans="1:18" x14ac:dyDescent="0.2">
      <c r="A66" t="s">
        <v>9</v>
      </c>
      <c r="B66">
        <v>214.06899999999999</v>
      </c>
      <c r="C66">
        <v>288.58199999999999</v>
      </c>
      <c r="D66">
        <v>295.46100000000001</v>
      </c>
      <c r="E66">
        <v>324.97699999999998</v>
      </c>
      <c r="F66">
        <v>364.93799999999999</v>
      </c>
      <c r="G66">
        <v>475.20699999999999</v>
      </c>
      <c r="H66">
        <v>568.50800000000004</v>
      </c>
      <c r="I66">
        <v>428.30900000000003</v>
      </c>
      <c r="J66">
        <v>377.93799999999999</v>
      </c>
      <c r="K66">
        <v>292.97300000000001</v>
      </c>
      <c r="L66">
        <v>446.18</v>
      </c>
      <c r="M66">
        <v>475.44900000000001</v>
      </c>
      <c r="N66">
        <v>459.49599999999998</v>
      </c>
      <c r="O66">
        <v>543.18799999999999</v>
      </c>
      <c r="P66">
        <v>486.80099999999999</v>
      </c>
      <c r="Q66">
        <v>368.34800000000001</v>
      </c>
      <c r="R66">
        <v>400.20699999999999</v>
      </c>
    </row>
    <row r="67" spans="1:18" x14ac:dyDescent="0.2">
      <c r="A67" t="s">
        <v>4</v>
      </c>
      <c r="C67">
        <f>C66-B66</f>
        <v>74.513000000000005</v>
      </c>
      <c r="D67">
        <f>D66-B66</f>
        <v>81.392000000000024</v>
      </c>
      <c r="E67">
        <f>E66-B66</f>
        <v>110.90799999999999</v>
      </c>
      <c r="F67">
        <f>F66-B66</f>
        <v>150.869</v>
      </c>
      <c r="G67">
        <f>G66-B66</f>
        <v>261.13800000000003</v>
      </c>
      <c r="H67">
        <f>H66-B66</f>
        <v>354.43900000000008</v>
      </c>
      <c r="I67">
        <f>I66-B66</f>
        <v>214.24000000000004</v>
      </c>
      <c r="J67">
        <f>J66-B66</f>
        <v>163.869</v>
      </c>
      <c r="K67">
        <f>K66-B66</f>
        <v>78.904000000000025</v>
      </c>
      <c r="L67">
        <f>L66-B66</f>
        <v>232.11100000000002</v>
      </c>
      <c r="M67">
        <f>M66-B66</f>
        <v>261.38</v>
      </c>
      <c r="N67">
        <f>N66-B66</f>
        <v>245.42699999999999</v>
      </c>
      <c r="O67">
        <f>O66-B66</f>
        <v>329.11900000000003</v>
      </c>
      <c r="P67">
        <f>P66-B66</f>
        <v>272.73199999999997</v>
      </c>
      <c r="Q67">
        <f>Q66-B66</f>
        <v>154.27900000000002</v>
      </c>
      <c r="R67">
        <f>R66-B66</f>
        <v>186.13800000000001</v>
      </c>
    </row>
    <row r="68" spans="1:18" x14ac:dyDescent="0.2">
      <c r="A68" t="s">
        <v>5</v>
      </c>
      <c r="C68">
        <v>4.1440000000000001</v>
      </c>
      <c r="D68">
        <v>3.1880000000000002</v>
      </c>
      <c r="E68">
        <v>9.1219999999999999</v>
      </c>
      <c r="F68">
        <v>3.161</v>
      </c>
      <c r="G68">
        <v>2.6440000000000001</v>
      </c>
      <c r="H68">
        <v>2.718</v>
      </c>
      <c r="I68">
        <v>2.6440000000000001</v>
      </c>
      <c r="J68">
        <v>5.38</v>
      </c>
      <c r="K68">
        <v>4.7839999999999998</v>
      </c>
      <c r="L68">
        <v>2.1659999999999999</v>
      </c>
      <c r="M68">
        <v>2.956</v>
      </c>
      <c r="N68">
        <v>2.0670000000000002</v>
      </c>
      <c r="O68">
        <v>2.1339999999999999</v>
      </c>
      <c r="P68">
        <v>1.746</v>
      </c>
      <c r="Q68">
        <v>2.0430000000000001</v>
      </c>
      <c r="R68">
        <v>3.7010000000000001</v>
      </c>
    </row>
    <row r="69" spans="1:18" x14ac:dyDescent="0.2">
      <c r="A69" t="s">
        <v>10</v>
      </c>
      <c r="E69">
        <f>E67/70.03</f>
        <v>1.5837212623161501</v>
      </c>
      <c r="F69">
        <f t="shared" ref="F69:R69" si="7">F67/70.03</f>
        <v>2.1543481365129229</v>
      </c>
      <c r="G69">
        <f t="shared" si="7"/>
        <v>3.7289447379694423</v>
      </c>
      <c r="H69">
        <f t="shared" si="7"/>
        <v>5.0612451806368712</v>
      </c>
      <c r="I69">
        <f t="shared" si="7"/>
        <v>3.0592603170069976</v>
      </c>
      <c r="J69">
        <f t="shared" si="7"/>
        <v>2.3399828644866485</v>
      </c>
      <c r="K69">
        <f t="shared" si="7"/>
        <v>1.1267171212337572</v>
      </c>
      <c r="L69">
        <f t="shared" si="7"/>
        <v>3.3144509495930317</v>
      </c>
      <c r="M69">
        <f t="shared" si="7"/>
        <v>3.7324003998286446</v>
      </c>
      <c r="N69">
        <f t="shared" si="7"/>
        <v>3.5045980294159644</v>
      </c>
      <c r="O69">
        <f t="shared" si="7"/>
        <v>4.6996858489218907</v>
      </c>
      <c r="P69">
        <f t="shared" si="7"/>
        <v>3.8945023561330854</v>
      </c>
      <c r="Q69">
        <f t="shared" si="7"/>
        <v>2.2030415536198773</v>
      </c>
      <c r="R69">
        <f t="shared" si="7"/>
        <v>2.6579751535056406</v>
      </c>
    </row>
    <row r="71" spans="1:18" s="1" customFormat="1" x14ac:dyDescent="0.2">
      <c r="A71" s="1" t="s">
        <v>22</v>
      </c>
      <c r="C71" s="1" t="s">
        <v>23</v>
      </c>
      <c r="D71" s="1" t="s">
        <v>25</v>
      </c>
    </row>
    <row r="72" spans="1:18" x14ac:dyDescent="0.2">
      <c r="A72" t="s">
        <v>9</v>
      </c>
      <c r="B72">
        <v>214.06899999999999</v>
      </c>
      <c r="C72">
        <v>288.62099999999998</v>
      </c>
      <c r="D72">
        <v>361.18</v>
      </c>
      <c r="E72">
        <v>465.60899999999998</v>
      </c>
      <c r="F72">
        <v>502.56599999999997</v>
      </c>
      <c r="G72">
        <v>450.613</v>
      </c>
      <c r="H72">
        <v>370.30099999999999</v>
      </c>
      <c r="I72">
        <v>521.05499999999995</v>
      </c>
      <c r="J72">
        <v>517.67600000000004</v>
      </c>
      <c r="K72">
        <v>504.18</v>
      </c>
      <c r="L72">
        <v>417.15600000000001</v>
      </c>
      <c r="M72">
        <v>461.14800000000002</v>
      </c>
      <c r="N72">
        <v>286.78899999999999</v>
      </c>
    </row>
    <row r="73" spans="1:18" x14ac:dyDescent="0.2">
      <c r="A73" t="s">
        <v>4</v>
      </c>
      <c r="C73">
        <f>C72-B72</f>
        <v>74.551999999999992</v>
      </c>
      <c r="D73">
        <f>D72-B72</f>
        <v>147.11100000000002</v>
      </c>
      <c r="E73">
        <f>E72-B72</f>
        <v>251.54</v>
      </c>
      <c r="F73">
        <f>F72-B72</f>
        <v>288.49699999999996</v>
      </c>
      <c r="G73">
        <f>G72-B72</f>
        <v>236.54400000000001</v>
      </c>
      <c r="H73">
        <f>H72-B72</f>
        <v>156.232</v>
      </c>
      <c r="I73">
        <f>I72-B72</f>
        <v>306.98599999999999</v>
      </c>
      <c r="J73">
        <f>J72-B72</f>
        <v>303.60700000000008</v>
      </c>
      <c r="K73">
        <f>K72-B72</f>
        <v>290.11099999999999</v>
      </c>
      <c r="L73">
        <f>L72-B72</f>
        <v>203.08700000000002</v>
      </c>
      <c r="M73">
        <f>M72-B72</f>
        <v>247.07900000000004</v>
      </c>
      <c r="N73">
        <f>N72-B72</f>
        <v>72.72</v>
      </c>
    </row>
    <row r="74" spans="1:18" x14ac:dyDescent="0.2">
      <c r="A74" t="s">
        <v>5</v>
      </c>
      <c r="C74">
        <v>1.161</v>
      </c>
      <c r="D74">
        <v>3.2429999999999999</v>
      </c>
      <c r="E74">
        <v>3.113</v>
      </c>
      <c r="F74">
        <v>2.2429999999999999</v>
      </c>
      <c r="G74">
        <v>3.2410000000000001</v>
      </c>
      <c r="H74">
        <v>2.8239999999999998</v>
      </c>
      <c r="I74">
        <v>2.0259999999999998</v>
      </c>
      <c r="J74">
        <v>2.75</v>
      </c>
      <c r="K74">
        <v>1.9339999999999999</v>
      </c>
      <c r="L74">
        <v>2.0209999999999999</v>
      </c>
      <c r="M74">
        <v>2.7810000000000001</v>
      </c>
      <c r="N74">
        <v>1.1639999999999999</v>
      </c>
    </row>
    <row r="75" spans="1:18" x14ac:dyDescent="0.2">
      <c r="A75" t="s">
        <v>6</v>
      </c>
      <c r="C75">
        <f>SQRT(1+C74^2)</f>
        <v>1.5322927266028512</v>
      </c>
      <c r="D75">
        <f t="shared" ref="D75:N75" si="8">SQRT(1+D74^2)</f>
        <v>3.3936777984953137</v>
      </c>
      <c r="E75">
        <f t="shared" si="8"/>
        <v>3.2696741427854854</v>
      </c>
      <c r="F75">
        <f t="shared" si="8"/>
        <v>2.4558194151850823</v>
      </c>
      <c r="G75">
        <f t="shared" si="8"/>
        <v>3.3917666488129754</v>
      </c>
      <c r="H75">
        <f t="shared" si="8"/>
        <v>2.9958264302192137</v>
      </c>
      <c r="I75">
        <f t="shared" si="8"/>
        <v>2.2593530047338772</v>
      </c>
      <c r="J75">
        <f t="shared" si="8"/>
        <v>2.9261749776799064</v>
      </c>
      <c r="K75">
        <f t="shared" si="8"/>
        <v>2.1772358622804284</v>
      </c>
      <c r="L75">
        <f t="shared" si="8"/>
        <v>2.2548705062597274</v>
      </c>
      <c r="M75">
        <f t="shared" si="8"/>
        <v>2.9553275622170889</v>
      </c>
      <c r="N75">
        <f t="shared" si="8"/>
        <v>1.5345670399171227</v>
      </c>
    </row>
    <row r="76" spans="1:18" x14ac:dyDescent="0.2">
      <c r="A76" t="s">
        <v>10</v>
      </c>
      <c r="D76">
        <f>D73/70.03</f>
        <v>2.1006854205340573</v>
      </c>
      <c r="E76">
        <f t="shared" ref="E76:N76" si="9">E73/70.03</f>
        <v>3.5918891903469938</v>
      </c>
      <c r="F76">
        <f t="shared" si="9"/>
        <v>4.1196201627873759</v>
      </c>
      <c r="G76">
        <f t="shared" si="9"/>
        <v>3.3777523918320722</v>
      </c>
      <c r="H76">
        <f t="shared" si="9"/>
        <v>2.2309296015993145</v>
      </c>
      <c r="I76">
        <f t="shared" si="9"/>
        <v>4.3836355847493929</v>
      </c>
      <c r="J76">
        <f t="shared" si="9"/>
        <v>4.335384835070685</v>
      </c>
      <c r="K76">
        <f t="shared" si="9"/>
        <v>4.142667428245038</v>
      </c>
      <c r="L76">
        <f t="shared" si="9"/>
        <v>2.9000000000000004</v>
      </c>
      <c r="M76">
        <f t="shared" si="9"/>
        <v>3.5281879194630879</v>
      </c>
      <c r="N76">
        <f t="shared" si="9"/>
        <v>1.0384121090961016</v>
      </c>
    </row>
    <row r="78" spans="1:18" s="1" customFormat="1" x14ac:dyDescent="0.2">
      <c r="A78" s="1" t="s">
        <v>45</v>
      </c>
      <c r="C78" s="1" t="s">
        <v>25</v>
      </c>
    </row>
    <row r="79" spans="1:18" x14ac:dyDescent="0.2">
      <c r="A79" t="s">
        <v>9</v>
      </c>
      <c r="B79">
        <v>214.06899999999999</v>
      </c>
      <c r="C79">
        <v>327.66000000000003</v>
      </c>
      <c r="D79">
        <v>332.988</v>
      </c>
      <c r="E79">
        <v>339.96100000000001</v>
      </c>
    </row>
    <row r="80" spans="1:18" x14ac:dyDescent="0.2">
      <c r="A80" t="s">
        <v>21</v>
      </c>
      <c r="C80">
        <f>C79-B79</f>
        <v>113.59100000000004</v>
      </c>
      <c r="D80">
        <f>D79-B79</f>
        <v>118.91900000000001</v>
      </c>
      <c r="E80">
        <f>E79-B79</f>
        <v>125.89200000000002</v>
      </c>
    </row>
    <row r="81" spans="1:5" x14ac:dyDescent="0.2">
      <c r="A81" t="s">
        <v>5</v>
      </c>
      <c r="C81">
        <v>2.4729999999999999</v>
      </c>
      <c r="D81">
        <v>2.9049999999999998</v>
      </c>
      <c r="E81">
        <v>2.2010000000000001</v>
      </c>
    </row>
    <row r="82" spans="1:5" x14ac:dyDescent="0.2">
      <c r="A82" t="s">
        <v>6</v>
      </c>
      <c r="C82">
        <f>SQRT(4+C81^2)</f>
        <v>3.1805233846019743</v>
      </c>
      <c r="D82">
        <f t="shared" ref="D82:E82" si="10">SQRT(4+D81^2)</f>
        <v>3.5269001970569001</v>
      </c>
      <c r="E82">
        <f t="shared" si="10"/>
        <v>2.9739537656123711</v>
      </c>
    </row>
    <row r="83" spans="1:5" x14ac:dyDescent="0.2">
      <c r="A83" t="s">
        <v>10</v>
      </c>
      <c r="C83">
        <f>C80/70.03</f>
        <v>1.6220334142510358</v>
      </c>
      <c r="D83">
        <f t="shared" ref="D83:E83" si="11">D80/70.03</f>
        <v>1.6981150935313438</v>
      </c>
      <c r="E83">
        <f t="shared" si="11"/>
        <v>1.7976867056975585</v>
      </c>
    </row>
    <row r="85" spans="1:5" x14ac:dyDescent="0.2">
      <c r="A85" t="s">
        <v>33</v>
      </c>
      <c r="B85">
        <f>AVERAGE(C73,C67:D67,C60:F60,C53,C39,C4)</f>
        <v>70.030900000000003</v>
      </c>
    </row>
    <row r="86" spans="1:5" x14ac:dyDescent="0.2">
      <c r="A86" t="s">
        <v>27</v>
      </c>
      <c r="B86">
        <v>41.087000000000003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5BF2-BF14-4704-B1BD-52DE836234FC}">
  <dimension ref="A1:Q58"/>
  <sheetViews>
    <sheetView topLeftCell="A36" workbookViewId="0">
      <selection activeCell="J63" sqref="J63"/>
    </sheetView>
  </sheetViews>
  <sheetFormatPr baseColWidth="10" defaultColWidth="8.83203125" defaultRowHeight="15" x14ac:dyDescent="0.2"/>
  <cols>
    <col min="1" max="1" width="17.5" customWidth="1"/>
    <col min="2" max="2" width="10" customWidth="1"/>
  </cols>
  <sheetData>
    <row r="1" spans="1:9" x14ac:dyDescent="0.2">
      <c r="A1" t="s">
        <v>50</v>
      </c>
    </row>
    <row r="2" spans="1:9" s="1" customFormat="1" x14ac:dyDescent="0.2">
      <c r="A2" s="1" t="s">
        <v>8</v>
      </c>
      <c r="B2" s="1" t="s">
        <v>2</v>
      </c>
      <c r="C2" s="1" t="s">
        <v>23</v>
      </c>
      <c r="E2" s="1" t="s">
        <v>25</v>
      </c>
    </row>
    <row r="3" spans="1:9" x14ac:dyDescent="0.2">
      <c r="A3" t="s">
        <v>9</v>
      </c>
      <c r="B3">
        <v>224.24799999999999</v>
      </c>
      <c r="C3">
        <v>480.64499999999998</v>
      </c>
      <c r="D3">
        <v>503.37900000000002</v>
      </c>
      <c r="E3">
        <v>1584.172</v>
      </c>
      <c r="F3">
        <v>1745.9059999999999</v>
      </c>
    </row>
    <row r="4" spans="1:9" x14ac:dyDescent="0.2">
      <c r="A4" t="s">
        <v>21</v>
      </c>
      <c r="C4">
        <f>C3-B3</f>
        <v>256.39699999999999</v>
      </c>
      <c r="D4">
        <f>D3-B3</f>
        <v>279.13100000000003</v>
      </c>
      <c r="E4">
        <f>E3-B3</f>
        <v>1359.924</v>
      </c>
      <c r="F4">
        <f>F3-B3</f>
        <v>1521.6579999999999</v>
      </c>
    </row>
    <row r="5" spans="1:9" x14ac:dyDescent="0.2">
      <c r="A5" t="s">
        <v>31</v>
      </c>
      <c r="C5">
        <v>7.1609999999999996</v>
      </c>
      <c r="D5">
        <v>1.8260000000000001</v>
      </c>
      <c r="E5">
        <v>2.9630000000000001</v>
      </c>
      <c r="F5">
        <v>3.5569999999999999</v>
      </c>
    </row>
    <row r="6" spans="1:9" x14ac:dyDescent="0.2">
      <c r="A6" t="s">
        <v>17</v>
      </c>
      <c r="C6">
        <f>SQRT(16+C5^2)</f>
        <v>8.2024338461215276</v>
      </c>
      <c r="D6">
        <f t="shared" ref="D6:F6" si="0">SQRT(16+D5^2)</f>
        <v>4.3970758465143627</v>
      </c>
      <c r="E6">
        <f t="shared" si="0"/>
        <v>4.9778880059720105</v>
      </c>
      <c r="F6">
        <f t="shared" si="0"/>
        <v>5.3527795583229461</v>
      </c>
    </row>
    <row r="7" spans="1:9" x14ac:dyDescent="0.2">
      <c r="A7" t="s">
        <v>10</v>
      </c>
      <c r="E7">
        <f>E4/236.8</f>
        <v>5.7429222972972971</v>
      </c>
      <c r="F7">
        <f>F4/236.8</f>
        <v>6.4259206081081075</v>
      </c>
    </row>
    <row r="9" spans="1:9" s="1" customFormat="1" x14ac:dyDescent="0.2">
      <c r="A9" s="1" t="s">
        <v>11</v>
      </c>
      <c r="C9" s="1" t="s">
        <v>25</v>
      </c>
    </row>
    <row r="10" spans="1:9" x14ac:dyDescent="0.2">
      <c r="A10" t="s">
        <v>9</v>
      </c>
      <c r="B10">
        <v>224.24799999999999</v>
      </c>
      <c r="C10">
        <v>666.78099999999995</v>
      </c>
      <c r="D10">
        <v>596.02</v>
      </c>
      <c r="E10">
        <v>878.97699999999998</v>
      </c>
      <c r="F10">
        <v>1244.1559999999999</v>
      </c>
      <c r="G10">
        <v>1008.527</v>
      </c>
      <c r="H10">
        <v>1472.5</v>
      </c>
      <c r="I10">
        <v>421.28500000000003</v>
      </c>
    </row>
    <row r="11" spans="1:9" x14ac:dyDescent="0.2">
      <c r="A11" t="s">
        <v>4</v>
      </c>
      <c r="C11">
        <f>C10-B10</f>
        <v>442.53299999999996</v>
      </c>
      <c r="D11">
        <f>D10-B10</f>
        <v>371.77199999999999</v>
      </c>
      <c r="E11">
        <f>E10-B10</f>
        <v>654.72900000000004</v>
      </c>
      <c r="F11">
        <f>F10-B10</f>
        <v>1019.9079999999999</v>
      </c>
      <c r="G11">
        <f>G10-B10</f>
        <v>784.279</v>
      </c>
      <c r="H11">
        <f>H10-B10</f>
        <v>1248.252</v>
      </c>
      <c r="I11">
        <f>I10-B10</f>
        <v>197.03700000000003</v>
      </c>
    </row>
    <row r="12" spans="1:9" x14ac:dyDescent="0.2">
      <c r="A12" t="s">
        <v>5</v>
      </c>
      <c r="C12">
        <v>6.0270000000000001</v>
      </c>
      <c r="D12">
        <v>3.28</v>
      </c>
      <c r="E12">
        <v>1.552</v>
      </c>
      <c r="F12">
        <v>2.0489999999999999</v>
      </c>
      <c r="G12">
        <v>3.335</v>
      </c>
      <c r="H12">
        <v>3.7290000000000001</v>
      </c>
      <c r="I12">
        <v>7.0019999999999998</v>
      </c>
    </row>
    <row r="13" spans="1:9" x14ac:dyDescent="0.2">
      <c r="A13" t="s">
        <v>6</v>
      </c>
      <c r="C13">
        <f>SQRT(9+C12^2)</f>
        <v>6.7323642949561195</v>
      </c>
      <c r="D13">
        <f t="shared" ref="D13:I13" si="1">SQRT(9+D12^2)</f>
        <v>4.4450421820270725</v>
      </c>
      <c r="E13">
        <f t="shared" si="1"/>
        <v>3.3776773084473302</v>
      </c>
      <c r="F13">
        <f t="shared" si="1"/>
        <v>3.6329603631198619</v>
      </c>
      <c r="G13">
        <f t="shared" si="1"/>
        <v>4.4857803111610357</v>
      </c>
      <c r="H13">
        <f t="shared" si="1"/>
        <v>4.7859629125182321</v>
      </c>
      <c r="I13">
        <f t="shared" si="1"/>
        <v>7.6176114366643821</v>
      </c>
    </row>
    <row r="14" spans="1:9" x14ac:dyDescent="0.2">
      <c r="A14" t="s">
        <v>10</v>
      </c>
      <c r="C14">
        <f>C11/236.8</f>
        <v>1.8688048986486483</v>
      </c>
      <c r="D14">
        <f t="shared" ref="D14:I14" si="2">D11/236.8</f>
        <v>1.5699831081081079</v>
      </c>
      <c r="E14">
        <f t="shared" si="2"/>
        <v>2.7649028716216217</v>
      </c>
      <c r="F14">
        <f t="shared" si="2"/>
        <v>4.307043918918918</v>
      </c>
      <c r="G14">
        <f t="shared" si="2"/>
        <v>3.31198902027027</v>
      </c>
      <c r="H14">
        <f t="shared" si="2"/>
        <v>5.2713344594594593</v>
      </c>
      <c r="I14">
        <f t="shared" si="2"/>
        <v>0.83208192567567574</v>
      </c>
    </row>
    <row r="16" spans="1:9" s="1" customFormat="1" x14ac:dyDescent="0.2">
      <c r="A16" s="1" t="s">
        <v>29</v>
      </c>
      <c r="C16" s="1" t="s">
        <v>25</v>
      </c>
    </row>
    <row r="17" spans="1:17" x14ac:dyDescent="0.2">
      <c r="A17" t="s">
        <v>9</v>
      </c>
      <c r="B17">
        <v>224.24799999999999</v>
      </c>
      <c r="C17">
        <v>1304.277</v>
      </c>
      <c r="D17">
        <v>1217.1020000000001</v>
      </c>
      <c r="E17">
        <v>1572.9449999999999</v>
      </c>
      <c r="F17">
        <v>1495.027</v>
      </c>
      <c r="G17">
        <v>685.49199999999996</v>
      </c>
      <c r="H17">
        <v>834.32799999999997</v>
      </c>
      <c r="I17">
        <v>907.72699999999998</v>
      </c>
      <c r="J17">
        <v>1063.1990000000001</v>
      </c>
      <c r="K17">
        <v>852.32799999999997</v>
      </c>
    </row>
    <row r="18" spans="1:17" x14ac:dyDescent="0.2">
      <c r="A18" t="s">
        <v>21</v>
      </c>
      <c r="C18">
        <f>C17-B17</f>
        <v>1080.029</v>
      </c>
      <c r="D18">
        <f>D17-B17</f>
        <v>992.85400000000004</v>
      </c>
      <c r="E18">
        <f>E17-B17</f>
        <v>1348.6969999999999</v>
      </c>
      <c r="F18">
        <f>F17-B17</f>
        <v>1270.779</v>
      </c>
      <c r="G18">
        <f>G17-B17</f>
        <v>461.24399999999997</v>
      </c>
      <c r="H18">
        <f>H17-B17</f>
        <v>610.07999999999993</v>
      </c>
      <c r="I18">
        <f>I17-B17</f>
        <v>683.47900000000004</v>
      </c>
      <c r="J18">
        <f>J17-B17</f>
        <v>838.95100000000002</v>
      </c>
      <c r="K18">
        <f>K17-B17</f>
        <v>628.07999999999993</v>
      </c>
    </row>
    <row r="19" spans="1:17" x14ac:dyDescent="0.2">
      <c r="A19" t="s">
        <v>5</v>
      </c>
      <c r="C19">
        <v>3.6930000000000001</v>
      </c>
      <c r="D19">
        <v>2.9449999999999998</v>
      </c>
      <c r="E19">
        <v>2.0880000000000001</v>
      </c>
      <c r="F19">
        <v>1.3839999999999999</v>
      </c>
      <c r="G19">
        <v>2.0219999999999998</v>
      </c>
      <c r="H19">
        <v>1.583</v>
      </c>
      <c r="I19">
        <v>2.3210000000000002</v>
      </c>
      <c r="J19">
        <v>3.56</v>
      </c>
      <c r="K19">
        <v>3.3690000000000002</v>
      </c>
    </row>
    <row r="20" spans="1:17" x14ac:dyDescent="0.2">
      <c r="A20" t="s">
        <v>6</v>
      </c>
      <c r="C20">
        <f>SQRT(4+C19^2)</f>
        <v>4.1997915424458867</v>
      </c>
      <c r="D20">
        <f t="shared" ref="D20:K20" si="3">SQRT(4+D19^2)</f>
        <v>3.5599192406570124</v>
      </c>
      <c r="E20">
        <f t="shared" si="3"/>
        <v>2.8913221888955922</v>
      </c>
      <c r="F20">
        <f t="shared" si="3"/>
        <v>2.432171046616582</v>
      </c>
      <c r="G20">
        <f t="shared" si="3"/>
        <v>2.844026019571551</v>
      </c>
      <c r="H20">
        <f t="shared" si="3"/>
        <v>2.550664423243481</v>
      </c>
      <c r="I20">
        <f t="shared" si="3"/>
        <v>3.0638278345886212</v>
      </c>
      <c r="J20">
        <f t="shared" si="3"/>
        <v>4.0833319727888888</v>
      </c>
      <c r="K20">
        <f t="shared" si="3"/>
        <v>3.9179281514596465</v>
      </c>
    </row>
    <row r="21" spans="1:17" x14ac:dyDescent="0.2">
      <c r="A21" t="s">
        <v>10</v>
      </c>
      <c r="C21">
        <f>C18/236.8</f>
        <v>4.5609332770270266</v>
      </c>
      <c r="D21">
        <f t="shared" ref="D21:K21" si="4">D18/236.8</f>
        <v>4.1927956081081081</v>
      </c>
      <c r="E21">
        <f t="shared" si="4"/>
        <v>5.695510979729729</v>
      </c>
      <c r="F21">
        <f t="shared" si="4"/>
        <v>5.3664653716216213</v>
      </c>
      <c r="G21">
        <f t="shared" si="4"/>
        <v>1.9478209459459457</v>
      </c>
      <c r="H21">
        <f t="shared" si="4"/>
        <v>2.576351351351351</v>
      </c>
      <c r="I21">
        <f t="shared" si="4"/>
        <v>2.8863133445945945</v>
      </c>
      <c r="J21">
        <f t="shared" si="4"/>
        <v>3.5428673986486485</v>
      </c>
      <c r="K21">
        <f t="shared" si="4"/>
        <v>2.6523648648648646</v>
      </c>
    </row>
    <row r="23" spans="1:17" s="1" customFormat="1" x14ac:dyDescent="0.2">
      <c r="A23" s="1" t="s">
        <v>13</v>
      </c>
      <c r="C23" s="1" t="s">
        <v>23</v>
      </c>
      <c r="F23" s="1" t="s">
        <v>25</v>
      </c>
    </row>
    <row r="24" spans="1:17" x14ac:dyDescent="0.2">
      <c r="A24" t="s">
        <v>9</v>
      </c>
      <c r="B24">
        <v>224.24799999999999</v>
      </c>
      <c r="C24">
        <v>529.16800000000001</v>
      </c>
      <c r="D24">
        <v>545.60500000000002</v>
      </c>
      <c r="E24">
        <v>423.35899999999998</v>
      </c>
      <c r="F24">
        <v>881.63699999999994</v>
      </c>
      <c r="G24">
        <v>874.66800000000001</v>
      </c>
      <c r="H24">
        <v>808.43799999999999</v>
      </c>
      <c r="I24">
        <v>810.76599999999996</v>
      </c>
      <c r="J24">
        <v>556.15200000000004</v>
      </c>
      <c r="K24">
        <v>509.25799999999998</v>
      </c>
      <c r="L24">
        <v>711.45299999999997</v>
      </c>
      <c r="M24">
        <v>771.33600000000001</v>
      </c>
      <c r="N24">
        <v>1317.6289999999999</v>
      </c>
      <c r="O24">
        <v>1804.2660000000001</v>
      </c>
      <c r="P24">
        <v>1350.297</v>
      </c>
      <c r="Q24">
        <v>908.53499999999997</v>
      </c>
    </row>
    <row r="25" spans="1:17" x14ac:dyDescent="0.2">
      <c r="A25" t="s">
        <v>4</v>
      </c>
      <c r="C25">
        <f>C24-B24</f>
        <v>304.92</v>
      </c>
      <c r="D25">
        <f>D24-B24</f>
        <v>321.35700000000003</v>
      </c>
      <c r="E25">
        <f>E24-B24</f>
        <v>199.11099999999999</v>
      </c>
      <c r="F25">
        <f>F24-B24</f>
        <v>657.3889999999999</v>
      </c>
      <c r="G25">
        <f>G24-B24</f>
        <v>650.42000000000007</v>
      </c>
      <c r="H25">
        <f>H24-B24</f>
        <v>584.19000000000005</v>
      </c>
      <c r="I25">
        <f>I24-B24</f>
        <v>586.51800000000003</v>
      </c>
      <c r="J25">
        <f>J24-B24</f>
        <v>331.90400000000005</v>
      </c>
      <c r="K25">
        <f>K24-B24</f>
        <v>285.01</v>
      </c>
      <c r="L25">
        <f>L24-B24</f>
        <v>487.20499999999998</v>
      </c>
      <c r="M25">
        <f>M24-B24</f>
        <v>547.08799999999997</v>
      </c>
      <c r="N25">
        <f>N24-B24</f>
        <v>1093.3809999999999</v>
      </c>
      <c r="O25">
        <f>O24-B24</f>
        <v>1580.018</v>
      </c>
      <c r="P25">
        <f>P24-B24</f>
        <v>1126.049</v>
      </c>
      <c r="Q25">
        <f>Q24-B24</f>
        <v>684.28700000000003</v>
      </c>
    </row>
    <row r="26" spans="1:17" x14ac:dyDescent="0.2">
      <c r="A26" t="s">
        <v>5</v>
      </c>
      <c r="C26">
        <v>2.7850000000000001</v>
      </c>
      <c r="D26">
        <v>0.90700000000000003</v>
      </c>
      <c r="E26">
        <v>2.58</v>
      </c>
      <c r="F26">
        <v>3.085</v>
      </c>
      <c r="G26">
        <v>2.7610000000000001</v>
      </c>
      <c r="H26">
        <v>1.776</v>
      </c>
      <c r="I26">
        <v>1.659</v>
      </c>
      <c r="J26">
        <v>2.3069999999999999</v>
      </c>
      <c r="K26">
        <v>3.96</v>
      </c>
      <c r="L26">
        <v>1.732</v>
      </c>
      <c r="M26">
        <v>2.306</v>
      </c>
      <c r="N26">
        <v>3.22</v>
      </c>
      <c r="O26">
        <v>2.8809999999999998</v>
      </c>
      <c r="P26">
        <v>3.806</v>
      </c>
      <c r="Q26">
        <v>4.0979999999999999</v>
      </c>
    </row>
    <row r="27" spans="1:17" x14ac:dyDescent="0.2">
      <c r="A27" t="s">
        <v>6</v>
      </c>
      <c r="C27">
        <f>SQRT(1+C26^2)</f>
        <v>2.9590919215191676</v>
      </c>
      <c r="D27">
        <f t="shared" ref="D27:Q27" si="5">SQRT(1+D26^2)</f>
        <v>1.3500551840573036</v>
      </c>
      <c r="E27">
        <f t="shared" si="5"/>
        <v>2.7670200577516599</v>
      </c>
      <c r="F27">
        <f t="shared" si="5"/>
        <v>3.2430271352549611</v>
      </c>
      <c r="G27">
        <f t="shared" si="5"/>
        <v>2.936515111488446</v>
      </c>
      <c r="H27">
        <f t="shared" si="5"/>
        <v>2.0381795799192965</v>
      </c>
      <c r="I27">
        <f t="shared" si="5"/>
        <v>1.9370805352385325</v>
      </c>
      <c r="J27">
        <f t="shared" si="5"/>
        <v>2.5144082802918066</v>
      </c>
      <c r="K27">
        <f t="shared" si="5"/>
        <v>4.0843114474780204</v>
      </c>
      <c r="L27">
        <f t="shared" si="5"/>
        <v>1.9999559995159892</v>
      </c>
      <c r="M27">
        <f t="shared" si="5"/>
        <v>2.5134907996648805</v>
      </c>
      <c r="N27">
        <f t="shared" si="5"/>
        <v>3.371705799739948</v>
      </c>
      <c r="O27">
        <f t="shared" si="5"/>
        <v>3.0496165332710272</v>
      </c>
      <c r="P27">
        <f t="shared" si="5"/>
        <v>3.9351792843528743</v>
      </c>
      <c r="Q27">
        <f t="shared" si="5"/>
        <v>4.2182465551458703</v>
      </c>
    </row>
    <row r="28" spans="1:17" x14ac:dyDescent="0.2">
      <c r="A28" t="s">
        <v>10</v>
      </c>
      <c r="F28">
        <f>F25/236.8</f>
        <v>2.7761359797297294</v>
      </c>
      <c r="G28">
        <f t="shared" ref="G28:Q28" si="6">G25/236.8</f>
        <v>2.7467060810810811</v>
      </c>
      <c r="H28">
        <f t="shared" si="6"/>
        <v>2.4670185810810814</v>
      </c>
      <c r="I28">
        <f t="shared" si="6"/>
        <v>2.4768496621621621</v>
      </c>
      <c r="J28">
        <f t="shared" si="6"/>
        <v>1.4016216216216217</v>
      </c>
      <c r="K28">
        <f t="shared" si="6"/>
        <v>1.2035895270270269</v>
      </c>
      <c r="L28">
        <f t="shared" si="6"/>
        <v>2.057453547297297</v>
      </c>
      <c r="M28">
        <f t="shared" si="6"/>
        <v>2.3103378378378374</v>
      </c>
      <c r="N28">
        <f t="shared" si="6"/>
        <v>4.6173184121621613</v>
      </c>
      <c r="O28">
        <f t="shared" si="6"/>
        <v>6.6723733108108103</v>
      </c>
      <c r="P28">
        <f t="shared" si="6"/>
        <v>4.7552744932432427</v>
      </c>
      <c r="Q28">
        <f t="shared" si="6"/>
        <v>2.8897255067567569</v>
      </c>
    </row>
    <row r="30" spans="1:17" s="1" customFormat="1" x14ac:dyDescent="0.2">
      <c r="A30" s="1" t="s">
        <v>35</v>
      </c>
      <c r="C30" s="1" t="s">
        <v>23</v>
      </c>
      <c r="E30" s="1" t="s">
        <v>25</v>
      </c>
    </row>
    <row r="31" spans="1:17" x14ac:dyDescent="0.2">
      <c r="A31" t="s">
        <v>9</v>
      </c>
      <c r="B31">
        <v>224.24799999999999</v>
      </c>
      <c r="C31">
        <v>408.07799999999997</v>
      </c>
      <c r="D31">
        <v>505.58600000000001</v>
      </c>
      <c r="E31">
        <v>816.54700000000003</v>
      </c>
      <c r="F31">
        <v>695.64499999999998</v>
      </c>
      <c r="G31">
        <v>586.05499999999995</v>
      </c>
      <c r="H31">
        <v>941.42200000000003</v>
      </c>
      <c r="I31">
        <v>1226.617</v>
      </c>
      <c r="J31">
        <v>1202.1130000000001</v>
      </c>
      <c r="K31">
        <v>795.05100000000004</v>
      </c>
      <c r="L31">
        <v>1435.8710000000001</v>
      </c>
      <c r="M31">
        <v>1400.5350000000001</v>
      </c>
      <c r="N31">
        <v>1750.008</v>
      </c>
      <c r="O31">
        <v>1422.375</v>
      </c>
    </row>
    <row r="32" spans="1:17" x14ac:dyDescent="0.2">
      <c r="A32" t="s">
        <v>21</v>
      </c>
      <c r="C32">
        <f>C31-B31</f>
        <v>183.82999999999998</v>
      </c>
      <c r="D32">
        <f>D31-B31</f>
        <v>281.33800000000002</v>
      </c>
      <c r="E32">
        <f>E31-B31</f>
        <v>592.29899999999998</v>
      </c>
      <c r="F32">
        <f>F31-B31</f>
        <v>471.39699999999999</v>
      </c>
      <c r="G32">
        <f>G31-B31</f>
        <v>361.80699999999996</v>
      </c>
      <c r="H32">
        <f>H31-B31</f>
        <v>717.17399999999998</v>
      </c>
      <c r="I32">
        <f>I31-B31</f>
        <v>1002.3689999999999</v>
      </c>
      <c r="J32">
        <f>J31-B31</f>
        <v>977.86500000000001</v>
      </c>
      <c r="K32">
        <f>K31-B31</f>
        <v>570.80300000000011</v>
      </c>
      <c r="L32">
        <f>L31-B31</f>
        <v>1211.623</v>
      </c>
      <c r="M32">
        <f>M31-B31</f>
        <v>1176.287</v>
      </c>
      <c r="N32">
        <f>N31-B31</f>
        <v>1525.76</v>
      </c>
      <c r="O32">
        <f>O31-B31</f>
        <v>1198.127</v>
      </c>
    </row>
    <row r="33" spans="1:15" x14ac:dyDescent="0.2">
      <c r="A33" t="s">
        <v>5</v>
      </c>
      <c r="C33">
        <v>7.2910000000000004</v>
      </c>
      <c r="D33">
        <v>0.74199999999999999</v>
      </c>
      <c r="E33">
        <v>3.1589999999999998</v>
      </c>
      <c r="F33">
        <v>2.99</v>
      </c>
      <c r="G33">
        <v>2.8239999999999998</v>
      </c>
      <c r="H33">
        <v>1.913</v>
      </c>
      <c r="I33">
        <v>2.17</v>
      </c>
      <c r="J33">
        <v>3.827</v>
      </c>
      <c r="K33">
        <v>2.238</v>
      </c>
      <c r="L33">
        <v>2.6139999999999999</v>
      </c>
      <c r="M33">
        <v>3.6429999999999998</v>
      </c>
      <c r="N33">
        <v>3.7130000000000001</v>
      </c>
      <c r="O33">
        <v>4.117</v>
      </c>
    </row>
    <row r="34" spans="1:15" x14ac:dyDescent="0.2">
      <c r="A34" t="s">
        <v>10</v>
      </c>
      <c r="E34">
        <f>E32/236.8</f>
        <v>2.5012626689189186</v>
      </c>
      <c r="F34">
        <f t="shared" ref="F34:O34" si="7">F32/236.8</f>
        <v>1.9906967905405404</v>
      </c>
      <c r="G34">
        <f t="shared" si="7"/>
        <v>1.5279011824324322</v>
      </c>
      <c r="H34">
        <f t="shared" si="7"/>
        <v>3.0286064189189186</v>
      </c>
      <c r="I34">
        <f t="shared" si="7"/>
        <v>4.2329771959459457</v>
      </c>
      <c r="J34">
        <f t="shared" si="7"/>
        <v>4.1294974662162165</v>
      </c>
      <c r="K34">
        <f t="shared" si="7"/>
        <v>2.4104856418918921</v>
      </c>
      <c r="L34">
        <f t="shared" si="7"/>
        <v>5.1166511824324328</v>
      </c>
      <c r="M34">
        <f t="shared" si="7"/>
        <v>4.9674282094594595</v>
      </c>
      <c r="N34">
        <f t="shared" si="7"/>
        <v>6.4432432432432432</v>
      </c>
      <c r="O34">
        <f t="shared" si="7"/>
        <v>5.0596579391891892</v>
      </c>
    </row>
    <row r="36" spans="1:15" s="1" customFormat="1" x14ac:dyDescent="0.2">
      <c r="A36" s="1" t="s">
        <v>15</v>
      </c>
      <c r="C36" s="1" t="s">
        <v>25</v>
      </c>
    </row>
    <row r="37" spans="1:15" x14ac:dyDescent="0.2">
      <c r="A37" t="s">
        <v>9</v>
      </c>
      <c r="B37">
        <v>224.24799999999999</v>
      </c>
      <c r="C37">
        <v>508.51600000000002</v>
      </c>
      <c r="D37">
        <v>693.23</v>
      </c>
      <c r="E37">
        <v>812.52700000000004</v>
      </c>
      <c r="F37">
        <v>743.84400000000005</v>
      </c>
      <c r="G37">
        <v>675.41800000000001</v>
      </c>
    </row>
    <row r="38" spans="1:15" x14ac:dyDescent="0.2">
      <c r="A38" t="s">
        <v>4</v>
      </c>
      <c r="C38">
        <f>C37-B37</f>
        <v>284.26800000000003</v>
      </c>
      <c r="D38">
        <f>D37-B37</f>
        <v>468.98200000000003</v>
      </c>
      <c r="E38">
        <f>E37-B37</f>
        <v>588.279</v>
      </c>
      <c r="F38">
        <f>F37-B37</f>
        <v>519.596</v>
      </c>
      <c r="G38">
        <f>G37-B37</f>
        <v>451.17</v>
      </c>
    </row>
    <row r="39" spans="1:15" x14ac:dyDescent="0.2">
      <c r="A39" t="s">
        <v>31</v>
      </c>
      <c r="C39">
        <v>3.762</v>
      </c>
      <c r="D39">
        <v>2.5110000000000001</v>
      </c>
      <c r="E39">
        <v>2.8079999999999998</v>
      </c>
      <c r="F39">
        <v>3.786</v>
      </c>
      <c r="G39">
        <v>3.7480000000000002</v>
      </c>
    </row>
    <row r="40" spans="1:15" x14ac:dyDescent="0.2">
      <c r="A40" t="s">
        <v>6</v>
      </c>
      <c r="C40">
        <f>SQRT(1+C39^2)</f>
        <v>3.8926397213202253</v>
      </c>
      <c r="D40">
        <f t="shared" ref="D40:G40" si="8">SQRT(1+D39^2)</f>
        <v>2.7027987346452567</v>
      </c>
      <c r="E40">
        <f t="shared" si="8"/>
        <v>2.980748899186243</v>
      </c>
      <c r="F40">
        <f t="shared" si="8"/>
        <v>3.9158391182478374</v>
      </c>
      <c r="G40">
        <f t="shared" si="8"/>
        <v>3.8791112384153155</v>
      </c>
    </row>
    <row r="41" spans="1:15" x14ac:dyDescent="0.2">
      <c r="A41" t="s">
        <v>10</v>
      </c>
      <c r="C41">
        <f>C38/236.8</f>
        <v>1.2004560810810811</v>
      </c>
      <c r="D41">
        <f t="shared" ref="D41:G41" si="9">D38/236.8</f>
        <v>1.9804983108108107</v>
      </c>
      <c r="E41">
        <f t="shared" si="9"/>
        <v>2.4842863175675673</v>
      </c>
      <c r="F41">
        <f t="shared" si="9"/>
        <v>2.1942398648648647</v>
      </c>
      <c r="G41">
        <f t="shared" si="9"/>
        <v>1.9052787162162161</v>
      </c>
    </row>
    <row r="43" spans="1:15" s="1" customFormat="1" x14ac:dyDescent="0.2">
      <c r="A43" s="1" t="s">
        <v>16</v>
      </c>
      <c r="C43" s="1" t="s">
        <v>23</v>
      </c>
    </row>
    <row r="44" spans="1:15" x14ac:dyDescent="0.2">
      <c r="A44" t="s">
        <v>9</v>
      </c>
      <c r="B44">
        <v>224.24799999999999</v>
      </c>
      <c r="C44">
        <v>356.54300000000001</v>
      </c>
      <c r="D44">
        <v>339.60500000000002</v>
      </c>
    </row>
    <row r="45" spans="1:15" x14ac:dyDescent="0.2">
      <c r="A45" t="s">
        <v>4</v>
      </c>
      <c r="C45">
        <f>C44-B44</f>
        <v>132.29500000000002</v>
      </c>
      <c r="D45">
        <f>D44-B44</f>
        <v>115.35700000000003</v>
      </c>
    </row>
    <row r="46" spans="1:15" x14ac:dyDescent="0.2">
      <c r="A46" t="s">
        <v>5</v>
      </c>
      <c r="C46">
        <v>11.904</v>
      </c>
      <c r="D46">
        <v>9.1999999999999993</v>
      </c>
    </row>
    <row r="47" spans="1:15" x14ac:dyDescent="0.2">
      <c r="A47" t="s">
        <v>6</v>
      </c>
      <c r="C47">
        <f>SQRT(4+C46^2)</f>
        <v>12.070841561382537</v>
      </c>
      <c r="D47">
        <f>SQRT(4+D46^2)</f>
        <v>9.4148818367518547</v>
      </c>
    </row>
    <row r="48" spans="1:15" x14ac:dyDescent="0.2">
      <c r="A48" t="s">
        <v>10</v>
      </c>
    </row>
    <row r="50" spans="1:4" s="1" customFormat="1" x14ac:dyDescent="0.2">
      <c r="A50" s="1" t="s">
        <v>18</v>
      </c>
      <c r="C50" s="1" t="s">
        <v>23</v>
      </c>
    </row>
    <row r="51" spans="1:4" x14ac:dyDescent="0.2">
      <c r="A51" t="s">
        <v>9</v>
      </c>
      <c r="B51">
        <v>224.24799999999999</v>
      </c>
      <c r="C51">
        <v>486.76600000000002</v>
      </c>
      <c r="D51">
        <v>492.77699999999999</v>
      </c>
    </row>
    <row r="52" spans="1:4" x14ac:dyDescent="0.2">
      <c r="A52" t="s">
        <v>4</v>
      </c>
      <c r="C52">
        <f>C51-B51</f>
        <v>262.51800000000003</v>
      </c>
      <c r="D52">
        <f>D51-B51</f>
        <v>268.529</v>
      </c>
    </row>
    <row r="53" spans="1:4" x14ac:dyDescent="0.2">
      <c r="A53" t="s">
        <v>5</v>
      </c>
      <c r="C53">
        <v>11.553000000000001</v>
      </c>
      <c r="D53">
        <v>2.387</v>
      </c>
    </row>
    <row r="54" spans="1:4" x14ac:dyDescent="0.2">
      <c r="A54" t="s">
        <v>6</v>
      </c>
      <c r="C54">
        <f>SQRT(9+C53^2)</f>
        <v>11.936155536855241</v>
      </c>
      <c r="D54">
        <f>SQRT(9+D53^2)</f>
        <v>3.8337669464900967</v>
      </c>
    </row>
    <row r="55" spans="1:4" x14ac:dyDescent="0.2">
      <c r="A55" t="s">
        <v>10</v>
      </c>
    </row>
    <row r="57" spans="1:4" x14ac:dyDescent="0.2">
      <c r="A57" t="s">
        <v>33</v>
      </c>
      <c r="B57">
        <f>AVERAGE(C52:D52,C45:D45,C32:D32,C25:E25,C4:D4)</f>
        <v>236.79845454545455</v>
      </c>
    </row>
    <row r="58" spans="1:4" x14ac:dyDescent="0.2">
      <c r="A58" t="s">
        <v>27</v>
      </c>
      <c r="B58">
        <v>46.661000000000001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373B-A7BE-074A-8CA1-FE916CD624C6}">
  <sheetPr>
    <outlinePr summaryBelow="0" summaryRight="0"/>
  </sheetPr>
  <dimension ref="A1:X80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3" ht="16" x14ac:dyDescent="0.2">
      <c r="A1" s="12" t="s">
        <v>75</v>
      </c>
      <c r="B1" s="12"/>
      <c r="C1" s="15">
        <v>45098</v>
      </c>
      <c r="D1" s="12"/>
      <c r="E1" s="12"/>
      <c r="F1" s="12"/>
      <c r="G1" s="12"/>
      <c r="H1" s="12"/>
    </row>
    <row r="2" spans="1:13" ht="16" x14ac:dyDescent="0.2">
      <c r="A2" s="12"/>
      <c r="B2" s="12"/>
      <c r="C2" s="12"/>
      <c r="D2" s="12"/>
      <c r="E2" s="12"/>
      <c r="F2" s="12"/>
      <c r="G2" s="12"/>
      <c r="H2" s="12"/>
    </row>
    <row r="3" spans="1:13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3" ht="16" x14ac:dyDescent="0.2">
      <c r="A4" s="12" t="s">
        <v>27</v>
      </c>
      <c r="B4" s="13">
        <v>40.061</v>
      </c>
      <c r="C4" s="12"/>
      <c r="D4" s="12" t="s">
        <v>73</v>
      </c>
      <c r="E4" s="13">
        <f>AVERAGE(C8,D8,C14,C35,D35,E35)</f>
        <v>365.42116666666669</v>
      </c>
      <c r="F4" s="12"/>
      <c r="G4" s="55" t="s">
        <v>72</v>
      </c>
      <c r="H4" s="56"/>
    </row>
    <row r="5" spans="1:13" ht="16" x14ac:dyDescent="0.2">
      <c r="A5" s="12"/>
      <c r="B5" s="12"/>
      <c r="C5" s="12"/>
      <c r="D5" s="12"/>
      <c r="E5" s="12"/>
      <c r="F5" s="12"/>
      <c r="G5" s="12"/>
      <c r="H5" s="12"/>
    </row>
    <row r="6" spans="1:13" ht="15" x14ac:dyDescent="0.2">
      <c r="A6" s="10" t="s">
        <v>126</v>
      </c>
      <c r="B6" s="14" t="s">
        <v>70</v>
      </c>
      <c r="C6" s="16">
        <v>1</v>
      </c>
      <c r="D6" s="16">
        <v>1</v>
      </c>
    </row>
    <row r="7" spans="1:13" ht="16" x14ac:dyDescent="0.2">
      <c r="A7" s="9" t="s">
        <v>63</v>
      </c>
      <c r="B7" s="13">
        <v>235.02799999999999</v>
      </c>
      <c r="C7" s="16">
        <v>579.44100000000003</v>
      </c>
      <c r="D7" s="16">
        <v>601.00400000000002</v>
      </c>
      <c r="E7" s="16">
        <v>481.37099999999998</v>
      </c>
      <c r="F7" s="8">
        <v>1069.1089999999999</v>
      </c>
      <c r="G7" s="8">
        <v>1089.6880000000001</v>
      </c>
      <c r="H7" s="8">
        <v>1617.039</v>
      </c>
      <c r="I7" s="8">
        <v>902.86300000000006</v>
      </c>
      <c r="J7" s="8">
        <v>1521.4449999999999</v>
      </c>
      <c r="K7" s="8">
        <v>1915.1559999999999</v>
      </c>
      <c r="L7" s="8">
        <v>1558.8119999999999</v>
      </c>
      <c r="M7" s="8">
        <v>1770.297</v>
      </c>
    </row>
    <row r="8" spans="1:13" ht="16" x14ac:dyDescent="0.2">
      <c r="A8" s="9" t="s">
        <v>62</v>
      </c>
      <c r="B8" s="12"/>
      <c r="C8" s="17">
        <f t="shared" ref="C8:M8" si="0">C7-$B$7</f>
        <v>344.41300000000001</v>
      </c>
      <c r="D8" s="17">
        <f t="shared" si="0"/>
        <v>365.976</v>
      </c>
      <c r="E8" s="17">
        <f t="shared" si="0"/>
        <v>246.34299999999999</v>
      </c>
      <c r="F8" s="17">
        <f t="shared" si="0"/>
        <v>834.0809999999999</v>
      </c>
      <c r="G8" s="17">
        <f t="shared" si="0"/>
        <v>854.66000000000008</v>
      </c>
      <c r="H8" s="17">
        <f t="shared" si="0"/>
        <v>1382.011</v>
      </c>
      <c r="I8" s="17">
        <f t="shared" si="0"/>
        <v>667.83500000000004</v>
      </c>
      <c r="J8" s="17">
        <f t="shared" si="0"/>
        <v>1286.4169999999999</v>
      </c>
      <c r="K8" s="17">
        <f t="shared" si="0"/>
        <v>1680.1279999999999</v>
      </c>
      <c r="L8" s="17">
        <f t="shared" si="0"/>
        <v>1323.7839999999999</v>
      </c>
      <c r="M8" s="17">
        <f t="shared" si="0"/>
        <v>1535.269</v>
      </c>
    </row>
    <row r="9" spans="1:13" ht="16" x14ac:dyDescent="0.2">
      <c r="A9" s="9" t="s">
        <v>61</v>
      </c>
      <c r="B9" s="12"/>
      <c r="C9" s="16">
        <v>3.3250000000000002</v>
      </c>
      <c r="D9" s="16">
        <v>2.8250000000000002</v>
      </c>
      <c r="E9" s="16">
        <v>3.0150000000000001</v>
      </c>
      <c r="F9" s="8">
        <v>1.8540000000000001</v>
      </c>
      <c r="G9" s="8">
        <v>4.0019999999999998</v>
      </c>
      <c r="H9" s="8">
        <v>2.9470000000000001</v>
      </c>
      <c r="I9" s="8">
        <v>3.4580000000000002</v>
      </c>
      <c r="J9" s="8">
        <v>1.4710000000000001</v>
      </c>
      <c r="K9" s="8">
        <v>2.181</v>
      </c>
      <c r="L9" s="8">
        <v>2.4049999999999998</v>
      </c>
      <c r="M9" s="8">
        <v>2.1469999999999998</v>
      </c>
    </row>
    <row r="10" spans="1:13" ht="16" x14ac:dyDescent="0.2">
      <c r="A10" s="9" t="s">
        <v>59</v>
      </c>
      <c r="B10" s="12"/>
      <c r="E10" s="8">
        <f t="shared" ref="E10:M10" si="1">E8/$E$4</f>
        <v>0.67413445763723767</v>
      </c>
      <c r="F10" s="8">
        <f t="shared" si="1"/>
        <v>2.2825196679447957</v>
      </c>
      <c r="G10" s="8">
        <f t="shared" si="1"/>
        <v>2.3388355080689998</v>
      </c>
      <c r="H10" s="8">
        <f t="shared" si="1"/>
        <v>3.7819675652796976</v>
      </c>
      <c r="I10" s="8">
        <f t="shared" si="1"/>
        <v>1.82757612563038</v>
      </c>
      <c r="J10" s="8">
        <f t="shared" si="1"/>
        <v>3.5203680501996093</v>
      </c>
      <c r="K10" s="8">
        <f t="shared" si="1"/>
        <v>4.5977851127945053</v>
      </c>
      <c r="L10" s="8">
        <f t="shared" si="1"/>
        <v>3.6226253998240381</v>
      </c>
      <c r="M10" s="8">
        <f t="shared" si="1"/>
        <v>4.2013685578330389</v>
      </c>
    </row>
    <row r="12" spans="1:13" ht="15" x14ac:dyDescent="0.2">
      <c r="A12" s="10" t="s">
        <v>125</v>
      </c>
      <c r="C12" s="8">
        <v>1</v>
      </c>
    </row>
    <row r="13" spans="1:13" ht="15" x14ac:dyDescent="0.2">
      <c r="A13" s="9" t="s">
        <v>63</v>
      </c>
      <c r="C13" s="8">
        <v>656.18399999999997</v>
      </c>
      <c r="D13" s="8">
        <v>460.36700000000002</v>
      </c>
      <c r="E13" s="8">
        <v>475.84800000000001</v>
      </c>
      <c r="F13" s="8">
        <v>385.93400000000003</v>
      </c>
      <c r="G13" s="8">
        <v>346.27</v>
      </c>
      <c r="H13" s="8">
        <v>588.76599999999996</v>
      </c>
      <c r="I13" s="8">
        <v>1257.961</v>
      </c>
      <c r="J13" s="8">
        <v>1658.133</v>
      </c>
      <c r="K13" s="8">
        <v>588.875</v>
      </c>
      <c r="L13" s="8">
        <v>387.12099999999998</v>
      </c>
    </row>
    <row r="14" spans="1:13" ht="15" x14ac:dyDescent="0.2">
      <c r="A14" s="9" t="s">
        <v>62</v>
      </c>
      <c r="C14" s="8">
        <f t="shared" ref="C14:L14" si="2">C13-$B$7</f>
        <v>421.15599999999995</v>
      </c>
      <c r="D14" s="8">
        <f t="shared" si="2"/>
        <v>225.33900000000003</v>
      </c>
      <c r="E14" s="8">
        <f t="shared" si="2"/>
        <v>240.82000000000002</v>
      </c>
      <c r="F14" s="8">
        <f t="shared" si="2"/>
        <v>150.90600000000003</v>
      </c>
      <c r="G14" s="8">
        <f t="shared" si="2"/>
        <v>111.24199999999999</v>
      </c>
      <c r="H14" s="8">
        <f t="shared" si="2"/>
        <v>353.73799999999994</v>
      </c>
      <c r="I14" s="8">
        <f t="shared" si="2"/>
        <v>1022.933</v>
      </c>
      <c r="J14" s="8">
        <f t="shared" si="2"/>
        <v>1423.105</v>
      </c>
      <c r="K14" s="8">
        <f t="shared" si="2"/>
        <v>353.84699999999998</v>
      </c>
      <c r="L14" s="8">
        <f t="shared" si="2"/>
        <v>152.09299999999999</v>
      </c>
    </row>
    <row r="15" spans="1:13" ht="15" x14ac:dyDescent="0.2">
      <c r="A15" s="9" t="s">
        <v>61</v>
      </c>
      <c r="C15" s="8">
        <v>1.8380000000000001</v>
      </c>
      <c r="D15" s="8">
        <v>3.1669999999999998</v>
      </c>
      <c r="E15" s="8">
        <v>2.4830000000000001</v>
      </c>
      <c r="F15" s="8">
        <v>3.077</v>
      </c>
      <c r="G15" s="8">
        <v>3.766</v>
      </c>
      <c r="H15" s="8">
        <v>2.0249999999999999</v>
      </c>
      <c r="I15" s="8">
        <v>1.3180000000000001</v>
      </c>
      <c r="J15" s="8">
        <v>2.052</v>
      </c>
      <c r="K15" s="8">
        <v>1.913</v>
      </c>
      <c r="L15" s="8">
        <v>3.7709999999999999</v>
      </c>
    </row>
    <row r="16" spans="1:13" ht="15" x14ac:dyDescent="0.2">
      <c r="A16" s="9" t="s">
        <v>60</v>
      </c>
      <c r="D16" s="8">
        <f t="shared" ref="D16:L16" si="3">D14/$E$4</f>
        <v>0.6166555759632607</v>
      </c>
      <c r="E16" s="8">
        <f t="shared" si="3"/>
        <v>0.65902039062688855</v>
      </c>
      <c r="F16" s="8">
        <f t="shared" si="3"/>
        <v>0.41296458378847795</v>
      </c>
      <c r="G16" s="8">
        <f t="shared" si="3"/>
        <v>0.30442133665856791</v>
      </c>
      <c r="H16" s="8">
        <f t="shared" si="3"/>
        <v>0.96802821584409204</v>
      </c>
      <c r="I16" s="8">
        <f t="shared" si="3"/>
        <v>2.7993260744337469</v>
      </c>
      <c r="J16" s="8">
        <f t="shared" si="3"/>
        <v>3.8944241051535511</v>
      </c>
      <c r="K16" s="8">
        <f t="shared" si="3"/>
        <v>0.96832650179450452</v>
      </c>
      <c r="L16" s="8">
        <f t="shared" si="3"/>
        <v>0.41621289042278609</v>
      </c>
    </row>
    <row r="17" spans="1:7" ht="15" x14ac:dyDescent="0.2">
      <c r="A17" s="9" t="s">
        <v>59</v>
      </c>
    </row>
    <row r="19" spans="1:7" ht="15" x14ac:dyDescent="0.2">
      <c r="A19" s="10" t="s">
        <v>124</v>
      </c>
    </row>
    <row r="20" spans="1:7" ht="15" x14ac:dyDescent="0.2">
      <c r="A20" s="9" t="s">
        <v>63</v>
      </c>
      <c r="C20" s="8">
        <v>316.32400000000001</v>
      </c>
      <c r="D20" s="8">
        <v>338.97300000000001</v>
      </c>
      <c r="E20" s="8">
        <v>523.35900000000004</v>
      </c>
      <c r="F20" s="8">
        <v>1100.191</v>
      </c>
      <c r="G20" s="8">
        <v>803.05899999999997</v>
      </c>
    </row>
    <row r="21" spans="1:7" ht="15" x14ac:dyDescent="0.2">
      <c r="A21" s="9" t="s">
        <v>62</v>
      </c>
      <c r="C21" s="8">
        <f>C20-$B$7</f>
        <v>81.296000000000021</v>
      </c>
      <c r="D21" s="8">
        <f>D20-$B$7</f>
        <v>103.94500000000002</v>
      </c>
      <c r="E21" s="8">
        <f>E20-$B$7</f>
        <v>288.33100000000002</v>
      </c>
      <c r="F21" s="8">
        <f>F20-$B$7</f>
        <v>865.16300000000001</v>
      </c>
      <c r="G21" s="8">
        <f>G20-$B$7</f>
        <v>568.03099999999995</v>
      </c>
    </row>
    <row r="22" spans="1:7" ht="15" x14ac:dyDescent="0.2">
      <c r="A22" s="9" t="s">
        <v>61</v>
      </c>
      <c r="C22" s="8">
        <v>3.641</v>
      </c>
      <c r="D22" s="8">
        <v>1.982</v>
      </c>
      <c r="E22" s="8">
        <v>1.645</v>
      </c>
      <c r="F22" s="8">
        <v>3.6</v>
      </c>
      <c r="G22" s="8">
        <v>3.4239999999999999</v>
      </c>
    </row>
    <row r="23" spans="1:7" ht="15" x14ac:dyDescent="0.2">
      <c r="A23" s="9" t="s">
        <v>60</v>
      </c>
      <c r="C23" s="8">
        <f>SQRT((C22^2)+4)</f>
        <v>4.1541402239211909</v>
      </c>
      <c r="D23" s="8">
        <f>SQRT((D22^2)+4)</f>
        <v>2.8157279698152662</v>
      </c>
      <c r="E23" s="8">
        <f>SQRT((E22^2)+4)</f>
        <v>2.589599389867089</v>
      </c>
      <c r="F23" s="8">
        <f>SQRT((F22^2)+4)</f>
        <v>4.1182520563948</v>
      </c>
      <c r="G23" s="8">
        <f>SQRT((G22^2)+4)</f>
        <v>3.9653216767369579</v>
      </c>
    </row>
    <row r="24" spans="1:7" ht="15" x14ac:dyDescent="0.2">
      <c r="A24" s="9" t="s">
        <v>59</v>
      </c>
      <c r="C24" s="8">
        <f>C21/$E$4</f>
        <v>0.22247206077735876</v>
      </c>
      <c r="D24" s="8">
        <f>D21/$E$4</f>
        <v>0.284452597391047</v>
      </c>
      <c r="E24" s="8">
        <f>E21/$E$4</f>
        <v>0.78903748961814379</v>
      </c>
      <c r="F24" s="8">
        <f>F21/$E$4</f>
        <v>2.3675776854743407</v>
      </c>
      <c r="G24" s="8">
        <f>G21/$E$4</f>
        <v>1.5544556577866542</v>
      </c>
    </row>
    <row r="26" spans="1:7" ht="15" x14ac:dyDescent="0.2">
      <c r="A26" s="10" t="s">
        <v>123</v>
      </c>
    </row>
    <row r="27" spans="1:7" ht="15" x14ac:dyDescent="0.2">
      <c r="A27" s="9" t="s">
        <v>63</v>
      </c>
      <c r="C27" s="8">
        <v>532.37099999999998</v>
      </c>
      <c r="D27" s="8">
        <v>561.86300000000006</v>
      </c>
    </row>
    <row r="28" spans="1:7" ht="15" x14ac:dyDescent="0.2">
      <c r="A28" s="9" t="s">
        <v>62</v>
      </c>
      <c r="C28" s="8">
        <f>C27-$B$7</f>
        <v>297.34299999999996</v>
      </c>
      <c r="D28" s="8">
        <f>D27-$B$7</f>
        <v>326.83500000000004</v>
      </c>
    </row>
    <row r="29" spans="1:7" ht="15" x14ac:dyDescent="0.2">
      <c r="A29" s="9" t="s">
        <v>61</v>
      </c>
      <c r="C29" s="8">
        <v>3.1749999999999998</v>
      </c>
      <c r="D29" s="8">
        <v>3.6309999999999998</v>
      </c>
    </row>
    <row r="30" spans="1:7" ht="15" x14ac:dyDescent="0.2">
      <c r="A30" s="9" t="s">
        <v>60</v>
      </c>
      <c r="C30" s="8">
        <f>SQRT((C29^2)+9)</f>
        <v>4.3681374749428388</v>
      </c>
      <c r="D30" s="8">
        <f>SQRT((D29^2)+9)</f>
        <v>4.7100064755794122</v>
      </c>
    </row>
    <row r="31" spans="1:7" ht="15" x14ac:dyDescent="0.2">
      <c r="A31" s="9" t="s">
        <v>59</v>
      </c>
      <c r="C31" s="8">
        <f>C28/$E$4</f>
        <v>0.81369944361004432</v>
      </c>
      <c r="D31" s="8">
        <f>D28/$E$4</f>
        <v>0.89440631745926047</v>
      </c>
    </row>
    <row r="33" spans="1:24" ht="15" x14ac:dyDescent="0.2">
      <c r="A33" s="10" t="s">
        <v>122</v>
      </c>
      <c r="C33" s="8">
        <v>1</v>
      </c>
      <c r="D33" s="8">
        <v>1</v>
      </c>
      <c r="E33" s="8">
        <v>1</v>
      </c>
    </row>
    <row r="34" spans="1:24" ht="15" x14ac:dyDescent="0.2">
      <c r="A34" s="9" t="s">
        <v>63</v>
      </c>
      <c r="C34" s="8">
        <v>646.40599999999995</v>
      </c>
      <c r="D34" s="8">
        <v>593.37099999999998</v>
      </c>
      <c r="E34" s="8">
        <v>526.28899999999999</v>
      </c>
      <c r="F34" s="8">
        <v>573.99599999999998</v>
      </c>
      <c r="G34" s="8">
        <v>405.80500000000001</v>
      </c>
      <c r="H34" s="8">
        <v>560.61300000000006</v>
      </c>
      <c r="I34" s="8">
        <v>984.52</v>
      </c>
      <c r="J34" s="8">
        <v>943.94899999999996</v>
      </c>
      <c r="K34" s="16">
        <v>926.79300000000001</v>
      </c>
      <c r="L34" s="16">
        <v>1024.2339999999999</v>
      </c>
    </row>
    <row r="35" spans="1:24" ht="15" x14ac:dyDescent="0.2">
      <c r="A35" s="9" t="s">
        <v>62</v>
      </c>
      <c r="C35" s="8">
        <f t="shared" ref="C35:L35" si="4">C34-$B$7</f>
        <v>411.37799999999993</v>
      </c>
      <c r="D35" s="8">
        <f t="shared" si="4"/>
        <v>358.34299999999996</v>
      </c>
      <c r="E35" s="8">
        <f t="shared" si="4"/>
        <v>291.26099999999997</v>
      </c>
      <c r="F35" s="8">
        <f t="shared" si="4"/>
        <v>338.96799999999996</v>
      </c>
      <c r="G35" s="8">
        <f t="shared" si="4"/>
        <v>170.77700000000002</v>
      </c>
      <c r="H35" s="8">
        <f t="shared" si="4"/>
        <v>325.58500000000004</v>
      </c>
      <c r="I35" s="8">
        <f t="shared" si="4"/>
        <v>749.49199999999996</v>
      </c>
      <c r="J35" s="8">
        <f t="shared" si="4"/>
        <v>708.92099999999994</v>
      </c>
      <c r="K35" s="8">
        <f t="shared" si="4"/>
        <v>691.76499999999999</v>
      </c>
      <c r="L35" s="8">
        <f t="shared" si="4"/>
        <v>789.2059999999999</v>
      </c>
    </row>
    <row r="36" spans="1:24" ht="15" x14ac:dyDescent="0.2">
      <c r="A36" s="9" t="s">
        <v>61</v>
      </c>
      <c r="C36" s="8">
        <v>1.034</v>
      </c>
      <c r="D36" s="8">
        <v>1.6319999999999999</v>
      </c>
      <c r="E36" s="8">
        <v>2.14</v>
      </c>
      <c r="F36" s="8">
        <v>2.1680000000000001</v>
      </c>
      <c r="G36" s="8">
        <v>3.4289999999999998</v>
      </c>
      <c r="H36" s="8">
        <v>3.9380000000000002</v>
      </c>
      <c r="I36" s="8">
        <v>3.1960000000000002</v>
      </c>
      <c r="J36" s="8">
        <v>2.39</v>
      </c>
      <c r="K36" s="16">
        <v>1.7909999999999999</v>
      </c>
      <c r="L36" s="16">
        <v>1.74</v>
      </c>
    </row>
    <row r="37" spans="1:24" ht="15" x14ac:dyDescent="0.2">
      <c r="A37" s="9" t="s">
        <v>60</v>
      </c>
      <c r="C37" s="8">
        <f t="shared" ref="C37:L37" si="5">SQRT((C36^2)+1)</f>
        <v>1.4384561168141348</v>
      </c>
      <c r="D37" s="8">
        <f t="shared" si="5"/>
        <v>1.9140073145105794</v>
      </c>
      <c r="E37" s="8">
        <f t="shared" si="5"/>
        <v>2.3621176939348301</v>
      </c>
      <c r="F37" s="8">
        <f t="shared" si="5"/>
        <v>2.3875141884395159</v>
      </c>
      <c r="G37" s="8">
        <f t="shared" si="5"/>
        <v>3.5718400020157675</v>
      </c>
      <c r="H37" s="8">
        <f t="shared" si="5"/>
        <v>4.0629846172487536</v>
      </c>
      <c r="I37" s="8">
        <f t="shared" si="5"/>
        <v>3.3487932154732998</v>
      </c>
      <c r="J37" s="8">
        <f t="shared" si="5"/>
        <v>2.5907720856918313</v>
      </c>
      <c r="K37" s="8">
        <f t="shared" si="5"/>
        <v>2.0512632693050397</v>
      </c>
      <c r="L37" s="8">
        <f t="shared" si="5"/>
        <v>2.0068881383873891</v>
      </c>
    </row>
    <row r="38" spans="1:24" ht="15" x14ac:dyDescent="0.2">
      <c r="A38" s="9" t="s">
        <v>59</v>
      </c>
      <c r="F38" s="8">
        <f t="shared" ref="F38:L38" si="6">F35/$E$4</f>
        <v>0.92760910127902629</v>
      </c>
      <c r="G38" s="8">
        <f t="shared" si="6"/>
        <v>0.46734293351917672</v>
      </c>
      <c r="H38" s="8">
        <f t="shared" si="6"/>
        <v>0.89098560701875051</v>
      </c>
      <c r="I38" s="8">
        <f t="shared" si="6"/>
        <v>2.0510360875829576</v>
      </c>
      <c r="J38" s="8">
        <f t="shared" si="6"/>
        <v>1.9400107729574136</v>
      </c>
      <c r="K38" s="8">
        <f t="shared" si="6"/>
        <v>1.8930622063035025</v>
      </c>
      <c r="L38" s="8">
        <f t="shared" si="6"/>
        <v>2.1597161631304878</v>
      </c>
    </row>
    <row r="40" spans="1:24" ht="15" x14ac:dyDescent="0.2">
      <c r="A40" s="10" t="s">
        <v>121</v>
      </c>
    </row>
    <row r="41" spans="1:24" ht="15" x14ac:dyDescent="0.2">
      <c r="A41" s="9" t="s">
        <v>63</v>
      </c>
      <c r="C41" s="16">
        <v>355.17599999999999</v>
      </c>
      <c r="D41" s="16">
        <v>319.73</v>
      </c>
      <c r="E41" s="8">
        <v>303.03500000000003</v>
      </c>
      <c r="F41" s="8">
        <v>393.387</v>
      </c>
    </row>
    <row r="42" spans="1:24" ht="15" x14ac:dyDescent="0.2">
      <c r="A42" s="9" t="s">
        <v>62</v>
      </c>
      <c r="C42" s="16">
        <f>C41-$B$7</f>
        <v>120.148</v>
      </c>
      <c r="D42" s="16">
        <f>D41-$B$7</f>
        <v>84.702000000000027</v>
      </c>
      <c r="E42" s="16">
        <f>E41-$B$7</f>
        <v>68.007000000000033</v>
      </c>
      <c r="F42" s="16">
        <f>F41-$B$7</f>
        <v>158.35900000000001</v>
      </c>
    </row>
    <row r="43" spans="1:24" ht="15" x14ac:dyDescent="0.2">
      <c r="A43" s="9" t="s">
        <v>61</v>
      </c>
      <c r="C43" s="16">
        <v>2.86</v>
      </c>
      <c r="D43" s="16">
        <v>2.2109999999999999</v>
      </c>
      <c r="E43" s="8">
        <v>1.226</v>
      </c>
      <c r="F43" s="8">
        <v>1.7889999999999999</v>
      </c>
    </row>
    <row r="44" spans="1:24" ht="15" x14ac:dyDescent="0.2">
      <c r="A44" s="9" t="s">
        <v>60</v>
      </c>
      <c r="C44" s="8">
        <f>SQRT((C43^2)+4)</f>
        <v>3.4899283660270162</v>
      </c>
      <c r="D44" s="8">
        <f>SQRT((D43^2)+4)</f>
        <v>2.9813622725190574</v>
      </c>
      <c r="E44" s="8">
        <f>SQRT((E43^2)+4)</f>
        <v>2.3458635936473375</v>
      </c>
      <c r="F44" s="8">
        <f>SQRT((F43^2)+4)</f>
        <v>2.6833786538615829</v>
      </c>
    </row>
    <row r="45" spans="1:24" ht="15" x14ac:dyDescent="0.2">
      <c r="A45" s="9" t="s">
        <v>59</v>
      </c>
      <c r="C45" s="8">
        <f>C42/$E$4</f>
        <v>0.32879321440511333</v>
      </c>
      <c r="D45" s="8">
        <f>D42/$E$4</f>
        <v>0.23179281258566034</v>
      </c>
      <c r="E45" s="8">
        <f>E42/$E$4</f>
        <v>0.18610580394220924</v>
      </c>
      <c r="F45" s="8">
        <f>F42/$E$4</f>
        <v>0.43336022771897448</v>
      </c>
    </row>
    <row r="47" spans="1:24" ht="15" x14ac:dyDescent="0.2">
      <c r="A47" s="9"/>
    </row>
    <row r="48" spans="1:24" ht="15" x14ac:dyDescent="0.2">
      <c r="A48" s="9"/>
      <c r="V48" s="8">
        <v>251.10900000000001</v>
      </c>
      <c r="W48" s="8">
        <v>242.47300000000001</v>
      </c>
      <c r="X48" s="8">
        <v>258.83999999999997</v>
      </c>
    </row>
    <row r="49" spans="1:24" ht="15" x14ac:dyDescent="0.2">
      <c r="A49" s="9"/>
      <c r="V49" s="8">
        <f>V48-$B$7</f>
        <v>16.081000000000017</v>
      </c>
      <c r="W49" s="8">
        <f>W48-$B$7</f>
        <v>7.4450000000000216</v>
      </c>
      <c r="X49" s="8">
        <f>X48-$B$7</f>
        <v>23.811999999999983</v>
      </c>
    </row>
    <row r="50" spans="1:24" ht="15" x14ac:dyDescent="0.2">
      <c r="A50" s="9"/>
      <c r="V50" s="8">
        <v>3.1789999999999998</v>
      </c>
      <c r="W50" s="8">
        <v>9.7810000000000006</v>
      </c>
      <c r="X50" s="8">
        <v>3.1469999999999998</v>
      </c>
    </row>
    <row r="51" spans="1:24" ht="15" x14ac:dyDescent="0.2">
      <c r="A51" s="9"/>
      <c r="V51" s="8">
        <f>SQRT((V50^2)+1)</f>
        <v>3.3325727298890269</v>
      </c>
      <c r="W51" s="8">
        <f>SQRT((W50^2)+1)</f>
        <v>9.8319866252960288</v>
      </c>
      <c r="X51" s="8">
        <f>SQRT((X50^2)+1)</f>
        <v>3.3020613258993237</v>
      </c>
    </row>
    <row r="52" spans="1:24" ht="15" x14ac:dyDescent="0.2">
      <c r="A52" s="9"/>
      <c r="V52" s="8">
        <f>V49/$E$4</f>
        <v>4.4006755675072687E-2</v>
      </c>
      <c r="W52" s="8">
        <f>W49/$E$4</f>
        <v>2.0373751383677433E-2</v>
      </c>
      <c r="X52" s="8">
        <f>X49/$E$4</f>
        <v>6.5163165607538653E-2</v>
      </c>
    </row>
    <row r="54" spans="1:24" ht="15" x14ac:dyDescent="0.2">
      <c r="A54" s="9"/>
    </row>
    <row r="55" spans="1:24" ht="15" x14ac:dyDescent="0.2">
      <c r="A55" s="9"/>
    </row>
    <row r="56" spans="1:24" ht="15" x14ac:dyDescent="0.2">
      <c r="A56" s="9"/>
    </row>
    <row r="57" spans="1:24" ht="15" x14ac:dyDescent="0.2">
      <c r="A57" s="9"/>
    </row>
    <row r="58" spans="1:24" ht="15" x14ac:dyDescent="0.2">
      <c r="A58" s="9"/>
    </row>
    <row r="59" spans="1:24" ht="15" x14ac:dyDescent="0.2">
      <c r="A59" s="9"/>
    </row>
    <row r="61" spans="1:24" ht="15" x14ac:dyDescent="0.2">
      <c r="A61" s="9"/>
    </row>
    <row r="62" spans="1:24" ht="15" x14ac:dyDescent="0.2">
      <c r="A62" s="9"/>
    </row>
    <row r="63" spans="1:24" ht="15" x14ac:dyDescent="0.2">
      <c r="A63" s="9"/>
    </row>
    <row r="64" spans="1:24" ht="15" x14ac:dyDescent="0.2">
      <c r="A64" s="9"/>
    </row>
    <row r="65" spans="1:4" ht="15" x14ac:dyDescent="0.2">
      <c r="A65" s="9"/>
    </row>
    <row r="66" spans="1:4" ht="15" x14ac:dyDescent="0.2">
      <c r="A66" s="9"/>
    </row>
    <row r="68" spans="1:4" ht="15" x14ac:dyDescent="0.2">
      <c r="A68" s="9"/>
    </row>
    <row r="69" spans="1:4" ht="15" x14ac:dyDescent="0.2">
      <c r="A69" s="9"/>
      <c r="D69" s="11"/>
    </row>
    <row r="70" spans="1:4" ht="15" x14ac:dyDescent="0.2">
      <c r="A70" s="9"/>
    </row>
    <row r="71" spans="1:4" ht="15" x14ac:dyDescent="0.2">
      <c r="A71" s="9"/>
    </row>
    <row r="72" spans="1:4" ht="15" x14ac:dyDescent="0.2">
      <c r="A72" s="9"/>
    </row>
    <row r="73" spans="1:4" ht="15" x14ac:dyDescent="0.2">
      <c r="A73" s="9"/>
    </row>
    <row r="75" spans="1:4" ht="15" x14ac:dyDescent="0.2">
      <c r="A75" s="9"/>
    </row>
    <row r="76" spans="1:4" ht="15" x14ac:dyDescent="0.2">
      <c r="A76" s="9"/>
    </row>
    <row r="77" spans="1:4" ht="15" x14ac:dyDescent="0.2">
      <c r="A77" s="9"/>
    </row>
    <row r="78" spans="1:4" ht="15" x14ac:dyDescent="0.2">
      <c r="A78" s="9"/>
    </row>
    <row r="79" spans="1:4" ht="15" x14ac:dyDescent="0.2">
      <c r="A79" s="9"/>
    </row>
    <row r="80" spans="1:4" ht="15" x14ac:dyDescent="0.2">
      <c r="A80" s="9"/>
    </row>
  </sheetData>
  <mergeCells count="1">
    <mergeCell ref="G4:H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A2D4-C521-FC4D-807C-78D9787C9FE5}">
  <sheetPr>
    <outlinePr summaryBelow="0" summaryRight="0"/>
  </sheetPr>
  <dimension ref="A1:P80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6" ht="16" x14ac:dyDescent="0.2">
      <c r="A1" s="12" t="s">
        <v>75</v>
      </c>
      <c r="B1" s="12"/>
      <c r="C1" s="15">
        <v>45215</v>
      </c>
      <c r="D1" s="12"/>
      <c r="E1" s="12"/>
      <c r="F1" s="12"/>
      <c r="G1" s="12"/>
      <c r="H1" s="12"/>
    </row>
    <row r="2" spans="1:16" ht="16" x14ac:dyDescent="0.2">
      <c r="A2" s="12"/>
      <c r="B2" s="12"/>
      <c r="C2" s="12"/>
      <c r="D2" s="12"/>
      <c r="E2" s="12"/>
      <c r="F2" s="12"/>
      <c r="G2" s="12"/>
      <c r="H2" s="12"/>
    </row>
    <row r="3" spans="1:16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6" ht="16" x14ac:dyDescent="0.2">
      <c r="A4" s="12" t="s">
        <v>27</v>
      </c>
      <c r="B4" s="13">
        <v>39.384999999999998</v>
      </c>
      <c r="C4" s="12"/>
      <c r="D4" s="12" t="s">
        <v>73</v>
      </c>
      <c r="E4" s="13">
        <f>AVERAGE(C28,D28,C35)</f>
        <v>847.34700000000009</v>
      </c>
      <c r="F4" s="12"/>
      <c r="G4" s="55" t="s">
        <v>72</v>
      </c>
      <c r="H4" s="56"/>
    </row>
    <row r="5" spans="1:16" ht="16" x14ac:dyDescent="0.2">
      <c r="A5" s="12"/>
      <c r="B5" s="12"/>
      <c r="C5" s="17"/>
      <c r="D5" s="17"/>
      <c r="E5" s="17"/>
      <c r="F5" s="12"/>
      <c r="G5" s="12"/>
      <c r="H5" s="12"/>
    </row>
    <row r="6" spans="1:16" ht="15" x14ac:dyDescent="0.2">
      <c r="A6" s="10" t="s">
        <v>139</v>
      </c>
      <c r="B6" s="14" t="s">
        <v>70</v>
      </c>
      <c r="C6" s="16"/>
      <c r="D6" s="16"/>
      <c r="E6" s="17"/>
      <c r="P6" s="8"/>
    </row>
    <row r="7" spans="1:16" ht="16" x14ac:dyDescent="0.2">
      <c r="A7" s="9" t="s">
        <v>63</v>
      </c>
      <c r="B7" s="13">
        <v>221.18700000000001</v>
      </c>
      <c r="C7" s="16">
        <v>2513.8159999999998</v>
      </c>
      <c r="D7" s="16">
        <v>3024.2809999999999</v>
      </c>
      <c r="E7" s="17">
        <v>1745.57</v>
      </c>
      <c r="F7" s="8">
        <v>1941</v>
      </c>
      <c r="G7" s="8">
        <v>1837.336</v>
      </c>
      <c r="H7" s="8">
        <v>1500.867</v>
      </c>
      <c r="I7" s="8">
        <v>3036.6370000000002</v>
      </c>
      <c r="J7" s="8">
        <v>2999.3090000000002</v>
      </c>
      <c r="K7" s="8">
        <v>2968.9490000000001</v>
      </c>
      <c r="L7" s="8">
        <v>1642.75</v>
      </c>
    </row>
    <row r="8" spans="1:16" ht="16" x14ac:dyDescent="0.2">
      <c r="A8" s="9" t="s">
        <v>62</v>
      </c>
      <c r="B8" s="12"/>
      <c r="C8" s="17">
        <f t="shared" ref="C8:L8" si="0">C7-$B$7</f>
        <v>2292.6289999999999</v>
      </c>
      <c r="D8" s="17">
        <f t="shared" si="0"/>
        <v>2803.0940000000001</v>
      </c>
      <c r="E8" s="17">
        <f t="shared" si="0"/>
        <v>1524.3829999999998</v>
      </c>
      <c r="F8" s="17">
        <f t="shared" si="0"/>
        <v>1719.8130000000001</v>
      </c>
      <c r="G8" s="17">
        <f t="shared" si="0"/>
        <v>1616.1489999999999</v>
      </c>
      <c r="H8" s="17">
        <f t="shared" si="0"/>
        <v>1279.6799999999998</v>
      </c>
      <c r="I8" s="17">
        <f t="shared" si="0"/>
        <v>2815.4500000000003</v>
      </c>
      <c r="J8" s="17">
        <f t="shared" si="0"/>
        <v>2778.1220000000003</v>
      </c>
      <c r="K8" s="17">
        <f t="shared" si="0"/>
        <v>2747.7620000000002</v>
      </c>
      <c r="L8" s="17">
        <f t="shared" si="0"/>
        <v>1421.5630000000001</v>
      </c>
      <c r="M8" s="17"/>
      <c r="N8" s="17"/>
      <c r="O8" s="17"/>
    </row>
    <row r="9" spans="1:16" ht="16" x14ac:dyDescent="0.2">
      <c r="A9" s="9" t="s">
        <v>61</v>
      </c>
      <c r="B9" s="12"/>
      <c r="C9" s="16">
        <v>1.53</v>
      </c>
      <c r="D9" s="16">
        <v>1.417</v>
      </c>
      <c r="E9" s="17">
        <v>2.181</v>
      </c>
      <c r="F9" s="8">
        <v>2.1440000000000001</v>
      </c>
      <c r="G9" s="8">
        <v>1.841</v>
      </c>
      <c r="H9" s="8">
        <v>1.802</v>
      </c>
      <c r="I9" s="8">
        <v>1.9650000000000001</v>
      </c>
      <c r="J9" s="8">
        <v>2.5739999999999998</v>
      </c>
      <c r="K9" s="8">
        <v>1.944</v>
      </c>
      <c r="L9" s="8">
        <v>2.262</v>
      </c>
    </row>
    <row r="10" spans="1:16" ht="16" x14ac:dyDescent="0.2">
      <c r="A10" s="9" t="s">
        <v>59</v>
      </c>
      <c r="B10" s="12"/>
      <c r="C10" s="17">
        <f t="shared" ref="C10:L10" si="1">C8/$E$4</f>
        <v>2.705655416258038</v>
      </c>
      <c r="D10" s="17">
        <f t="shared" si="1"/>
        <v>3.3080827571231146</v>
      </c>
      <c r="E10" s="17">
        <f t="shared" si="1"/>
        <v>1.799006782345367</v>
      </c>
      <c r="F10" s="17">
        <f t="shared" si="1"/>
        <v>2.029644289765586</v>
      </c>
      <c r="G10" s="17">
        <f t="shared" si="1"/>
        <v>1.9073047995685353</v>
      </c>
      <c r="H10" s="17">
        <f t="shared" si="1"/>
        <v>1.5102195440592812</v>
      </c>
      <c r="I10" s="17">
        <f t="shared" si="1"/>
        <v>3.3226647406552452</v>
      </c>
      <c r="J10" s="17">
        <f t="shared" si="1"/>
        <v>3.2786119500039534</v>
      </c>
      <c r="K10" s="17">
        <f t="shared" si="1"/>
        <v>3.2427824728240022</v>
      </c>
      <c r="L10" s="17">
        <f t="shared" si="1"/>
        <v>1.6776633421726872</v>
      </c>
      <c r="M10" s="17"/>
      <c r="N10" s="17"/>
      <c r="O10" s="17"/>
    </row>
    <row r="12" spans="1:16" ht="15" x14ac:dyDescent="0.2">
      <c r="A12" s="10" t="s">
        <v>138</v>
      </c>
    </row>
    <row r="13" spans="1:16" ht="15" x14ac:dyDescent="0.2">
      <c r="A13" s="9" t="s">
        <v>63</v>
      </c>
      <c r="C13" s="8">
        <v>1744.809</v>
      </c>
      <c r="D13" s="8">
        <v>1749.1479999999999</v>
      </c>
      <c r="E13" s="8">
        <v>1307.98</v>
      </c>
      <c r="F13" s="16">
        <v>1946.145</v>
      </c>
      <c r="G13" s="16">
        <v>1911.211</v>
      </c>
      <c r="H13" s="16">
        <v>2839.348</v>
      </c>
      <c r="I13" s="16">
        <v>2728.098</v>
      </c>
      <c r="J13" s="16">
        <v>1963.73</v>
      </c>
      <c r="K13" s="16"/>
    </row>
    <row r="14" spans="1:16" ht="15" x14ac:dyDescent="0.2">
      <c r="A14" s="9" t="s">
        <v>62</v>
      </c>
      <c r="C14" s="8">
        <f t="shared" ref="C14:J14" si="2">C13-$B$7</f>
        <v>1523.6219999999998</v>
      </c>
      <c r="D14" s="8">
        <f t="shared" si="2"/>
        <v>1527.9609999999998</v>
      </c>
      <c r="E14" s="8">
        <f t="shared" si="2"/>
        <v>1086.7930000000001</v>
      </c>
      <c r="F14" s="8">
        <f t="shared" si="2"/>
        <v>1724.9580000000001</v>
      </c>
      <c r="G14" s="8">
        <f t="shared" si="2"/>
        <v>1690.0239999999999</v>
      </c>
      <c r="H14" s="8">
        <f t="shared" si="2"/>
        <v>2618.1610000000001</v>
      </c>
      <c r="I14" s="8">
        <f t="shared" si="2"/>
        <v>2506.9110000000001</v>
      </c>
      <c r="J14" s="8">
        <f t="shared" si="2"/>
        <v>1742.5430000000001</v>
      </c>
    </row>
    <row r="15" spans="1:16" ht="15" x14ac:dyDescent="0.2">
      <c r="A15" s="9" t="s">
        <v>61</v>
      </c>
      <c r="C15" s="8">
        <v>1.5589999999999999</v>
      </c>
      <c r="D15" s="8">
        <v>1.605</v>
      </c>
      <c r="E15" s="8">
        <v>2.0510000000000002</v>
      </c>
      <c r="F15" s="16">
        <v>2.7719999999999998</v>
      </c>
      <c r="G15" s="16">
        <v>2.1269999999999998</v>
      </c>
      <c r="H15" s="16">
        <v>2.2989999999999999</v>
      </c>
      <c r="I15" s="16">
        <v>2.3820000000000001</v>
      </c>
      <c r="J15" s="16">
        <v>1.962</v>
      </c>
      <c r="K15" s="16"/>
    </row>
    <row r="16" spans="1:16" ht="15" x14ac:dyDescent="0.2">
      <c r="A16" s="9" t="s">
        <v>60</v>
      </c>
      <c r="C16" s="8">
        <f t="shared" ref="C16:J16" si="3">SQRT((C15^2)+1)</f>
        <v>1.852155770986879</v>
      </c>
      <c r="D16" s="8">
        <f t="shared" si="3"/>
        <v>1.8910380747092324</v>
      </c>
      <c r="E16" s="8">
        <f t="shared" si="3"/>
        <v>2.2817977561563163</v>
      </c>
      <c r="F16" s="8">
        <f t="shared" si="3"/>
        <v>2.9468600238219662</v>
      </c>
      <c r="G16" s="8">
        <f t="shared" si="3"/>
        <v>2.350346570189171</v>
      </c>
      <c r="H16" s="8">
        <f t="shared" si="3"/>
        <v>2.50707020244747</v>
      </c>
      <c r="I16" s="8">
        <f t="shared" si="3"/>
        <v>2.5833938917633139</v>
      </c>
      <c r="J16" s="8">
        <f t="shared" si="3"/>
        <v>2.2021453176391423</v>
      </c>
    </row>
    <row r="17" spans="1:11" ht="15" x14ac:dyDescent="0.2">
      <c r="A17" s="9" t="s">
        <v>59</v>
      </c>
      <c r="C17" s="8">
        <f t="shared" ref="C17:J17" si="4">C14/$E$4</f>
        <v>1.7981086851077537</v>
      </c>
      <c r="D17" s="8">
        <f t="shared" si="4"/>
        <v>1.8032293735624243</v>
      </c>
      <c r="E17" s="8">
        <f t="shared" si="4"/>
        <v>1.2825831684068039</v>
      </c>
      <c r="F17" s="8">
        <f t="shared" si="4"/>
        <v>2.0357161823904493</v>
      </c>
      <c r="G17" s="8">
        <f t="shared" si="4"/>
        <v>1.994488680552359</v>
      </c>
      <c r="H17" s="8">
        <f t="shared" si="4"/>
        <v>3.0898333268424856</v>
      </c>
      <c r="I17" s="8">
        <f t="shared" si="4"/>
        <v>2.9585411879666768</v>
      </c>
      <c r="J17" s="8">
        <f t="shared" si="4"/>
        <v>2.0564691914882567</v>
      </c>
    </row>
    <row r="19" spans="1:11" ht="15" x14ac:dyDescent="0.2">
      <c r="A19" s="10" t="s">
        <v>137</v>
      </c>
    </row>
    <row r="20" spans="1:11" ht="15" x14ac:dyDescent="0.2">
      <c r="A20" s="9" t="s">
        <v>63</v>
      </c>
      <c r="C20" s="8">
        <v>1605.723</v>
      </c>
      <c r="D20" s="8">
        <v>827.875</v>
      </c>
      <c r="E20" s="8">
        <v>844.05499999999995</v>
      </c>
      <c r="F20" s="8">
        <v>655.73800000000006</v>
      </c>
      <c r="G20" s="8">
        <v>630.39099999999996</v>
      </c>
    </row>
    <row r="21" spans="1:11" ht="15" x14ac:dyDescent="0.2">
      <c r="A21" s="9" t="s">
        <v>62</v>
      </c>
      <c r="C21" s="8">
        <f>C20-$B$7</f>
        <v>1384.5360000000001</v>
      </c>
      <c r="D21" s="8">
        <f>D20-$B$7</f>
        <v>606.68799999999999</v>
      </c>
      <c r="E21" s="8">
        <f>E20-$B$7</f>
        <v>622.86799999999994</v>
      </c>
      <c r="F21" s="8">
        <f>F20-$B$7</f>
        <v>434.55100000000004</v>
      </c>
      <c r="G21" s="8">
        <f>G20-$B$7</f>
        <v>409.20399999999995</v>
      </c>
    </row>
    <row r="22" spans="1:11" ht="15" x14ac:dyDescent="0.2">
      <c r="A22" s="9" t="s">
        <v>61</v>
      </c>
      <c r="C22" s="8">
        <v>1.681</v>
      </c>
      <c r="D22" s="8">
        <v>1.5149999999999999</v>
      </c>
      <c r="E22" s="8">
        <v>2.141</v>
      </c>
      <c r="F22" s="8">
        <v>2.2629999999999999</v>
      </c>
      <c r="G22" s="8">
        <v>2.452</v>
      </c>
    </row>
    <row r="23" spans="1:11" ht="15" x14ac:dyDescent="0.2">
      <c r="A23" s="9" t="s">
        <v>60</v>
      </c>
      <c r="C23" s="8">
        <f>SQRT((C22^2)+4)</f>
        <v>2.6126157390630564</v>
      </c>
      <c r="D23" s="8">
        <f>SQRT((D22^2)+4)</f>
        <v>2.5090286965278019</v>
      </c>
      <c r="E23" s="8">
        <f>SQRT((E22^2)+4)</f>
        <v>2.9298261040546416</v>
      </c>
      <c r="F23" s="8">
        <f>SQRT((F22^2)+4)</f>
        <v>3.0201273151971586</v>
      </c>
      <c r="G23" s="8">
        <f>SQRT((G22^2)+4)</f>
        <v>3.16422249533752</v>
      </c>
    </row>
    <row r="24" spans="1:11" ht="15" x14ac:dyDescent="0.2">
      <c r="A24" s="9" t="s">
        <v>59</v>
      </c>
      <c r="C24" s="8">
        <f>C21/$E$4</f>
        <v>1.633965777892646</v>
      </c>
      <c r="D24" s="8">
        <f>D21/$E$4</f>
        <v>0.71598530472167832</v>
      </c>
      <c r="E24" s="8">
        <f>E21/$E$4</f>
        <v>0.73508019736896435</v>
      </c>
      <c r="F24" s="8">
        <f>F21/$E$4</f>
        <v>0.51283712575839646</v>
      </c>
      <c r="G24" s="8">
        <f>G21/$E$4</f>
        <v>0.48292376086774358</v>
      </c>
    </row>
    <row r="26" spans="1:11" ht="15" x14ac:dyDescent="0.2">
      <c r="A26" s="10" t="s">
        <v>136</v>
      </c>
      <c r="C26" s="8">
        <v>1</v>
      </c>
      <c r="D26" s="8">
        <v>1</v>
      </c>
    </row>
    <row r="27" spans="1:11" ht="15" x14ac:dyDescent="0.2">
      <c r="A27" s="9" t="s">
        <v>63</v>
      </c>
      <c r="C27" s="8">
        <v>1378.8320000000001</v>
      </c>
      <c r="D27" s="8">
        <v>1118.797</v>
      </c>
      <c r="E27" s="8">
        <v>2351.0619999999999</v>
      </c>
      <c r="F27" s="8">
        <v>2499.5859999999998</v>
      </c>
      <c r="G27" s="8">
        <v>1382.098</v>
      </c>
      <c r="H27" s="8">
        <v>1968.2190000000001</v>
      </c>
      <c r="I27" s="8">
        <v>2072.8119999999999</v>
      </c>
      <c r="J27" s="8">
        <v>1658.836</v>
      </c>
      <c r="K27" s="8">
        <v>1773.7539999999999</v>
      </c>
    </row>
    <row r="28" spans="1:11" ht="15" x14ac:dyDescent="0.2">
      <c r="A28" s="9" t="s">
        <v>62</v>
      </c>
      <c r="C28" s="8">
        <f t="shared" ref="C28:K28" si="5">C27-$B$7</f>
        <v>1157.645</v>
      </c>
      <c r="D28" s="8">
        <f t="shared" si="5"/>
        <v>897.61</v>
      </c>
      <c r="E28" s="8">
        <f t="shared" si="5"/>
        <v>2129.875</v>
      </c>
      <c r="F28" s="8">
        <f t="shared" si="5"/>
        <v>2278.3989999999999</v>
      </c>
      <c r="G28" s="8">
        <f t="shared" si="5"/>
        <v>1160.9110000000001</v>
      </c>
      <c r="H28" s="8">
        <f t="shared" si="5"/>
        <v>1747.0320000000002</v>
      </c>
      <c r="I28" s="8">
        <f t="shared" si="5"/>
        <v>1851.625</v>
      </c>
      <c r="J28" s="8">
        <f t="shared" si="5"/>
        <v>1437.6489999999999</v>
      </c>
      <c r="K28" s="8">
        <f t="shared" si="5"/>
        <v>1552.567</v>
      </c>
    </row>
    <row r="29" spans="1:11" ht="15" x14ac:dyDescent="0.2">
      <c r="A29" s="9" t="s">
        <v>61</v>
      </c>
      <c r="C29" s="8">
        <v>2.1880000000000002</v>
      </c>
      <c r="D29" s="8">
        <v>1.798</v>
      </c>
      <c r="E29" s="8">
        <v>1.653</v>
      </c>
      <c r="F29" s="8">
        <v>1.796</v>
      </c>
      <c r="G29" s="8">
        <v>2.3039999999999998</v>
      </c>
      <c r="H29" s="8">
        <v>1.643</v>
      </c>
      <c r="I29" s="8">
        <v>0.54600000000000004</v>
      </c>
      <c r="J29" s="8">
        <v>1.423</v>
      </c>
      <c r="K29" s="8">
        <v>1.4510000000000001</v>
      </c>
    </row>
    <row r="30" spans="1:11" ht="15" x14ac:dyDescent="0.2">
      <c r="A30" s="9" t="s">
        <v>60</v>
      </c>
      <c r="C30" s="8">
        <f t="shared" ref="C30:K30" si="6">SQRT((C29^2)+1)</f>
        <v>2.4056899218311574</v>
      </c>
      <c r="D30" s="8">
        <f t="shared" si="6"/>
        <v>2.0573779429166632</v>
      </c>
      <c r="E30" s="8">
        <f t="shared" si="6"/>
        <v>1.9319443573767854</v>
      </c>
      <c r="F30" s="8">
        <f t="shared" si="6"/>
        <v>2.0556303169587671</v>
      </c>
      <c r="G30" s="8">
        <f t="shared" si="6"/>
        <v>2.5116560274050266</v>
      </c>
      <c r="H30" s="8">
        <f t="shared" si="6"/>
        <v>1.9233951752045131</v>
      </c>
      <c r="I30" s="8">
        <f t="shared" si="6"/>
        <v>1.1393489368933469</v>
      </c>
      <c r="J30" s="8">
        <f t="shared" si="6"/>
        <v>1.7392323019079425</v>
      </c>
      <c r="K30" s="8">
        <f t="shared" si="6"/>
        <v>1.762214799620069</v>
      </c>
    </row>
    <row r="31" spans="1:11" ht="15" x14ac:dyDescent="0.2">
      <c r="A31" s="9" t="s">
        <v>59</v>
      </c>
      <c r="E31" s="8">
        <f t="shared" ref="E31:K31" si="7">E28/$E$4</f>
        <v>2.5135806228145019</v>
      </c>
      <c r="F31" s="8">
        <f t="shared" si="7"/>
        <v>2.6888618240225073</v>
      </c>
      <c r="G31" s="8">
        <f t="shared" si="7"/>
        <v>1.3700538268265539</v>
      </c>
      <c r="H31" s="8">
        <f t="shared" si="7"/>
        <v>2.0617669030515242</v>
      </c>
      <c r="I31" s="8">
        <f t="shared" si="7"/>
        <v>2.1852027563678158</v>
      </c>
      <c r="J31" s="8">
        <f t="shared" si="7"/>
        <v>1.6966473003385858</v>
      </c>
      <c r="K31" s="8">
        <f t="shared" si="7"/>
        <v>1.8322682442966103</v>
      </c>
    </row>
    <row r="33" spans="1:13" ht="15" x14ac:dyDescent="0.2">
      <c r="A33" s="10" t="s">
        <v>135</v>
      </c>
      <c r="C33" s="8">
        <v>1</v>
      </c>
    </row>
    <row r="34" spans="1:13" ht="15" x14ac:dyDescent="0.2">
      <c r="A34" s="9" t="s">
        <v>63</v>
      </c>
      <c r="C34" s="8">
        <v>707.97299999999996</v>
      </c>
      <c r="D34" s="8">
        <v>1064.9179999999999</v>
      </c>
      <c r="E34" s="8">
        <v>689.42200000000003</v>
      </c>
      <c r="F34" s="8">
        <v>715.97299999999996</v>
      </c>
      <c r="G34" s="8">
        <v>536.23</v>
      </c>
    </row>
    <row r="35" spans="1:13" ht="15" x14ac:dyDescent="0.2">
      <c r="A35" s="9" t="s">
        <v>62</v>
      </c>
      <c r="C35" s="8">
        <f>C34-$B$7</f>
        <v>486.78599999999994</v>
      </c>
      <c r="D35" s="8">
        <f>D34-$B$7</f>
        <v>843.73099999999988</v>
      </c>
      <c r="E35" s="8">
        <f>E34-$B$7</f>
        <v>468.23500000000001</v>
      </c>
      <c r="F35" s="8">
        <f>F34-$B$7</f>
        <v>494.78599999999994</v>
      </c>
      <c r="G35" s="8">
        <f>G34-$B$7</f>
        <v>315.04300000000001</v>
      </c>
    </row>
    <row r="36" spans="1:13" ht="15" x14ac:dyDescent="0.2">
      <c r="A36" s="9" t="s">
        <v>61</v>
      </c>
      <c r="C36" s="8">
        <v>3.335</v>
      </c>
      <c r="D36" s="8">
        <v>0.35799999999999998</v>
      </c>
      <c r="E36" s="8">
        <v>1.08</v>
      </c>
      <c r="F36" s="8">
        <v>1.4379999999999999</v>
      </c>
      <c r="G36" s="8">
        <v>2.016</v>
      </c>
    </row>
    <row r="37" spans="1:13" ht="15" x14ac:dyDescent="0.2">
      <c r="A37" s="9" t="s">
        <v>60</v>
      </c>
      <c r="C37" s="8">
        <f>SQRT((C36^2)+4)</f>
        <v>3.8887305126480545</v>
      </c>
      <c r="D37" s="8">
        <f>SQRT((D36^2)+4)</f>
        <v>2.0317883748067858</v>
      </c>
      <c r="E37" s="8">
        <f>SQRT((E36^2)+4)</f>
        <v>2.2729716232280595</v>
      </c>
      <c r="F37" s="8">
        <f>SQRT((F36^2)+4)</f>
        <v>2.4632994133884738</v>
      </c>
      <c r="G37" s="8">
        <f>SQRT((G36^2)+4)</f>
        <v>2.8397633704236696</v>
      </c>
    </row>
    <row r="38" spans="1:13" ht="15" x14ac:dyDescent="0.2">
      <c r="A38" s="9" t="s">
        <v>59</v>
      </c>
      <c r="D38" s="8">
        <f>D35/$E$4</f>
        <v>0.99573256292876444</v>
      </c>
      <c r="E38" s="8">
        <f>E35/$E$4</f>
        <v>0.55258943502484814</v>
      </c>
      <c r="F38" s="8">
        <f>F35/$E$4</f>
        <v>0.58392370540050287</v>
      </c>
      <c r="G38" s="8">
        <f>G35/$E$4</f>
        <v>0.37179927467731633</v>
      </c>
    </row>
    <row r="40" spans="1:13" ht="15" x14ac:dyDescent="0.2">
      <c r="A40" s="9"/>
    </row>
    <row r="41" spans="1:13" ht="15" x14ac:dyDescent="0.2">
      <c r="A41" s="9"/>
    </row>
    <row r="42" spans="1:13" ht="15" x14ac:dyDescent="0.2">
      <c r="A42" s="9"/>
    </row>
    <row r="43" spans="1:13" ht="15" x14ac:dyDescent="0.2">
      <c r="A43" s="9"/>
    </row>
    <row r="44" spans="1:13" ht="15" x14ac:dyDescent="0.2">
      <c r="A44" s="9"/>
    </row>
    <row r="45" spans="1:13" ht="15" x14ac:dyDescent="0.2">
      <c r="A45" s="9"/>
    </row>
    <row r="47" spans="1:13" ht="15" x14ac:dyDescent="0.2">
      <c r="A47" s="9"/>
      <c r="M47" s="17"/>
    </row>
    <row r="48" spans="1:13" ht="15" x14ac:dyDescent="0.2">
      <c r="A48" s="9"/>
      <c r="M48" s="16"/>
    </row>
    <row r="49" spans="1:13" ht="15" x14ac:dyDescent="0.2">
      <c r="A49" s="9"/>
      <c r="M49" s="16"/>
    </row>
    <row r="50" spans="1:13" ht="15" x14ac:dyDescent="0.2">
      <c r="A50" s="9"/>
      <c r="M50" s="16"/>
    </row>
    <row r="51" spans="1:13" ht="15" x14ac:dyDescent="0.2">
      <c r="A51" s="9"/>
    </row>
    <row r="52" spans="1:13" ht="15" x14ac:dyDescent="0.2">
      <c r="A52" s="9"/>
    </row>
    <row r="54" spans="1:13" ht="15" x14ac:dyDescent="0.2">
      <c r="A54" s="9"/>
    </row>
    <row r="55" spans="1:13" ht="15" x14ac:dyDescent="0.2">
      <c r="A55" s="9"/>
    </row>
    <row r="56" spans="1:13" ht="15" x14ac:dyDescent="0.2">
      <c r="A56" s="9"/>
    </row>
    <row r="57" spans="1:13" ht="15" x14ac:dyDescent="0.2">
      <c r="A57" s="9"/>
    </row>
    <row r="58" spans="1:13" ht="15" x14ac:dyDescent="0.2">
      <c r="A58" s="9"/>
    </row>
    <row r="59" spans="1:13" ht="15" x14ac:dyDescent="0.2">
      <c r="A59" s="9"/>
    </row>
    <row r="61" spans="1:13" ht="15" x14ac:dyDescent="0.2">
      <c r="A61" s="9"/>
    </row>
    <row r="62" spans="1:13" ht="15" x14ac:dyDescent="0.2">
      <c r="A62" s="9"/>
    </row>
    <row r="63" spans="1:13" ht="15" x14ac:dyDescent="0.2">
      <c r="A63" s="9"/>
    </row>
    <row r="64" spans="1:13" ht="15" x14ac:dyDescent="0.2">
      <c r="A64" s="9"/>
      <c r="D64" s="18"/>
    </row>
    <row r="65" spans="1:4" ht="15" x14ac:dyDescent="0.2">
      <c r="A65" s="9"/>
    </row>
    <row r="66" spans="1:4" ht="15" x14ac:dyDescent="0.2">
      <c r="A66" s="9"/>
    </row>
    <row r="68" spans="1:4" ht="15" x14ac:dyDescent="0.2">
      <c r="A68" s="9"/>
    </row>
    <row r="69" spans="1:4" ht="15" x14ac:dyDescent="0.2">
      <c r="A69" s="9"/>
      <c r="D69" s="11"/>
    </row>
    <row r="70" spans="1:4" ht="15" x14ac:dyDescent="0.2">
      <c r="A70" s="9"/>
    </row>
    <row r="71" spans="1:4" ht="15" x14ac:dyDescent="0.2">
      <c r="A71" s="9"/>
    </row>
    <row r="72" spans="1:4" ht="15" x14ac:dyDescent="0.2">
      <c r="A72" s="9"/>
    </row>
    <row r="73" spans="1:4" ht="15" x14ac:dyDescent="0.2">
      <c r="A73" s="9"/>
    </row>
    <row r="75" spans="1:4" ht="15" x14ac:dyDescent="0.2">
      <c r="A75" s="9"/>
    </row>
    <row r="76" spans="1:4" ht="15" x14ac:dyDescent="0.2">
      <c r="A76" s="9"/>
    </row>
    <row r="77" spans="1:4" ht="15" x14ac:dyDescent="0.2">
      <c r="A77" s="9"/>
    </row>
    <row r="78" spans="1:4" ht="15" x14ac:dyDescent="0.2">
      <c r="A78" s="9"/>
    </row>
    <row r="79" spans="1:4" ht="15" x14ac:dyDescent="0.2">
      <c r="A79" s="9"/>
    </row>
    <row r="80" spans="1:4" ht="15" x14ac:dyDescent="0.2">
      <c r="A80" s="9"/>
    </row>
  </sheetData>
  <mergeCells count="1">
    <mergeCell ref="G4:H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1856-31F5-FE4C-96FC-1067734E3C85}">
  <sheetPr>
    <outlinePr summaryBelow="0" summaryRight="0"/>
  </sheetPr>
  <dimension ref="A1:P80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6" ht="16" x14ac:dyDescent="0.2">
      <c r="A1" s="12" t="s">
        <v>75</v>
      </c>
      <c r="B1" s="12"/>
      <c r="C1" s="15">
        <v>45098</v>
      </c>
      <c r="D1" s="12"/>
      <c r="E1" s="12"/>
      <c r="F1" s="12"/>
      <c r="G1" s="12"/>
      <c r="H1" s="12"/>
    </row>
    <row r="2" spans="1:16" ht="16" x14ac:dyDescent="0.2">
      <c r="A2" s="12"/>
      <c r="B2" s="12"/>
      <c r="C2" s="12"/>
      <c r="D2" s="12"/>
      <c r="E2" s="12"/>
      <c r="F2" s="12"/>
      <c r="G2" s="12"/>
      <c r="H2" s="12"/>
    </row>
    <row r="3" spans="1:16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6" ht="16" x14ac:dyDescent="0.2">
      <c r="A4" s="12" t="s">
        <v>27</v>
      </c>
      <c r="B4" s="13">
        <v>34.96</v>
      </c>
      <c r="C4" s="12"/>
      <c r="D4" s="12" t="s">
        <v>73</v>
      </c>
      <c r="E4" s="13">
        <f>AVERAGE(C8,D8,C14,D14,E14,F14,C28,C35,C42,D42,E42,F42,C49,C56)</f>
        <v>131.6875714285714</v>
      </c>
      <c r="F4" s="12"/>
      <c r="G4" s="55" t="s">
        <v>72</v>
      </c>
      <c r="H4" s="56"/>
    </row>
    <row r="5" spans="1:16" ht="16" x14ac:dyDescent="0.2">
      <c r="A5" s="12"/>
      <c r="B5" s="12"/>
      <c r="C5" s="17"/>
      <c r="D5" s="17"/>
      <c r="E5" s="17"/>
      <c r="F5" s="12"/>
      <c r="G5" s="12"/>
      <c r="H5" s="12"/>
    </row>
    <row r="6" spans="1:16" ht="15" x14ac:dyDescent="0.2">
      <c r="A6" s="10" t="s">
        <v>157</v>
      </c>
      <c r="B6" s="14" t="s">
        <v>70</v>
      </c>
      <c r="C6" s="16">
        <v>1</v>
      </c>
      <c r="D6" s="16">
        <v>1</v>
      </c>
      <c r="E6" s="17"/>
      <c r="P6" s="8"/>
    </row>
    <row r="7" spans="1:16" ht="16" x14ac:dyDescent="0.2">
      <c r="A7" s="9" t="s">
        <v>63</v>
      </c>
      <c r="B7" s="13">
        <v>248.71</v>
      </c>
      <c r="C7" s="16">
        <v>400.95299999999997</v>
      </c>
      <c r="D7" s="16">
        <v>352.03899999999999</v>
      </c>
      <c r="E7" s="17">
        <v>528.66399999999999</v>
      </c>
      <c r="F7" s="8">
        <v>679.35900000000004</v>
      </c>
      <c r="G7" s="8">
        <v>346.81200000000001</v>
      </c>
      <c r="H7" s="8">
        <v>303.93799999999999</v>
      </c>
      <c r="I7" s="8">
        <v>652.71500000000003</v>
      </c>
      <c r="J7" s="8">
        <v>600.10900000000004</v>
      </c>
      <c r="K7" s="8">
        <v>779.79300000000001</v>
      </c>
      <c r="L7" s="8">
        <v>518.16399999999999</v>
      </c>
      <c r="M7" s="8">
        <v>477.35199999999998</v>
      </c>
      <c r="N7" s="8">
        <v>563.45699999999999</v>
      </c>
      <c r="O7" s="8">
        <v>335.84399999999999</v>
      </c>
    </row>
    <row r="8" spans="1:16" ht="16" x14ac:dyDescent="0.2">
      <c r="A8" s="9" t="s">
        <v>62</v>
      </c>
      <c r="B8" s="12"/>
      <c r="C8" s="17">
        <f t="shared" ref="C8:O8" si="0">C7-$B$7</f>
        <v>152.24299999999997</v>
      </c>
      <c r="D8" s="17">
        <f t="shared" si="0"/>
        <v>103.32899999999998</v>
      </c>
      <c r="E8" s="17">
        <f t="shared" si="0"/>
        <v>279.95399999999995</v>
      </c>
      <c r="F8" s="17">
        <f t="shared" si="0"/>
        <v>430.649</v>
      </c>
      <c r="G8" s="17">
        <f t="shared" si="0"/>
        <v>98.102000000000004</v>
      </c>
      <c r="H8" s="17">
        <f t="shared" si="0"/>
        <v>55.22799999999998</v>
      </c>
      <c r="I8" s="17">
        <f t="shared" si="0"/>
        <v>404.005</v>
      </c>
      <c r="J8" s="17">
        <f t="shared" si="0"/>
        <v>351.399</v>
      </c>
      <c r="K8" s="17">
        <f t="shared" si="0"/>
        <v>531.08299999999997</v>
      </c>
      <c r="L8" s="17">
        <f t="shared" si="0"/>
        <v>269.45399999999995</v>
      </c>
      <c r="M8" s="17">
        <f t="shared" si="0"/>
        <v>228.64199999999997</v>
      </c>
      <c r="N8" s="17">
        <f t="shared" si="0"/>
        <v>314.74699999999996</v>
      </c>
      <c r="O8" s="17">
        <f t="shared" si="0"/>
        <v>87.133999999999986</v>
      </c>
    </row>
    <row r="9" spans="1:16" ht="16" x14ac:dyDescent="0.2">
      <c r="A9" s="9" t="s">
        <v>61</v>
      </c>
      <c r="B9" s="12"/>
      <c r="C9" s="16">
        <v>2.2000000000000002</v>
      </c>
      <c r="D9" s="16">
        <v>4.0940000000000003</v>
      </c>
      <c r="E9" s="17">
        <v>1.8169999999999999</v>
      </c>
      <c r="F9" s="8">
        <v>2.9449999999999998</v>
      </c>
      <c r="G9" s="8">
        <v>3.306</v>
      </c>
      <c r="H9" s="8">
        <v>2.7109999999999999</v>
      </c>
      <c r="I9" s="8">
        <v>3.012</v>
      </c>
      <c r="J9" s="8">
        <v>2.5910000000000002</v>
      </c>
      <c r="K9" s="8">
        <v>2.2149999999999999</v>
      </c>
      <c r="L9" s="8">
        <v>1.927</v>
      </c>
      <c r="M9" s="8">
        <v>2.8050000000000002</v>
      </c>
      <c r="N9" s="8">
        <v>3.508</v>
      </c>
      <c r="O9" s="8">
        <v>1.5580000000000001</v>
      </c>
    </row>
    <row r="10" spans="1:16" ht="16" x14ac:dyDescent="0.2">
      <c r="A10" s="9" t="s">
        <v>59</v>
      </c>
      <c r="B10" s="12"/>
      <c r="C10" s="17"/>
      <c r="D10" s="17"/>
      <c r="E10" s="17">
        <f t="shared" ref="E10:O10" si="1">E8/$E$4</f>
        <v>2.1258953822521489</v>
      </c>
      <c r="F10" s="17">
        <f t="shared" si="1"/>
        <v>3.270232682767547</v>
      </c>
      <c r="G10" s="17">
        <f t="shared" si="1"/>
        <v>0.74496020342520686</v>
      </c>
      <c r="H10" s="17">
        <f t="shared" si="1"/>
        <v>0.41938657840581545</v>
      </c>
      <c r="I10" s="17">
        <f t="shared" si="1"/>
        <v>3.0679053126827247</v>
      </c>
      <c r="J10" s="17">
        <f t="shared" si="1"/>
        <v>2.6684294970888893</v>
      </c>
      <c r="K10" s="17">
        <f t="shared" si="1"/>
        <v>4.0329014670003573</v>
      </c>
      <c r="L10" s="17">
        <f t="shared" si="1"/>
        <v>2.0461612062316328</v>
      </c>
      <c r="M10" s="17">
        <f t="shared" si="1"/>
        <v>1.736245854636461</v>
      </c>
      <c r="N10" s="17">
        <f t="shared" si="1"/>
        <v>2.3901040666599411</v>
      </c>
      <c r="O10" s="17">
        <f t="shared" si="1"/>
        <v>0.66167216127349038</v>
      </c>
    </row>
    <row r="12" spans="1:16" ht="15" x14ac:dyDescent="0.2">
      <c r="A12" s="10" t="s">
        <v>156</v>
      </c>
      <c r="C12" s="8">
        <v>1</v>
      </c>
      <c r="D12" s="8">
        <v>1</v>
      </c>
      <c r="E12" s="8">
        <v>1</v>
      </c>
      <c r="F12" s="8">
        <v>1</v>
      </c>
    </row>
    <row r="13" spans="1:16" ht="15" x14ac:dyDescent="0.2">
      <c r="A13" s="9" t="s">
        <v>63</v>
      </c>
      <c r="C13" s="8">
        <v>391.41399999999999</v>
      </c>
      <c r="D13" s="8">
        <v>374.20299999999997</v>
      </c>
      <c r="E13" s="8">
        <v>472.78500000000003</v>
      </c>
      <c r="F13" s="16">
        <v>343.03100000000001</v>
      </c>
      <c r="G13" s="16">
        <v>415.74200000000002</v>
      </c>
      <c r="H13" s="16">
        <v>311.07799999999997</v>
      </c>
      <c r="I13" s="16">
        <v>305.89100000000002</v>
      </c>
      <c r="J13" s="16">
        <v>819.91800000000001</v>
      </c>
      <c r="K13" s="16">
        <v>398.48</v>
      </c>
      <c r="L13" s="8">
        <v>440.98399999999998</v>
      </c>
      <c r="M13" s="8">
        <v>443.69099999999997</v>
      </c>
      <c r="N13" s="8">
        <v>328.79300000000001</v>
      </c>
      <c r="O13" s="8">
        <v>527.28099999999995</v>
      </c>
      <c r="P13" s="8">
        <v>460.25400000000002</v>
      </c>
    </row>
    <row r="14" spans="1:16" ht="15" x14ac:dyDescent="0.2">
      <c r="A14" s="9" t="s">
        <v>62</v>
      </c>
      <c r="C14" s="8">
        <f t="shared" ref="C14:P14" si="2">C13-$B$7</f>
        <v>142.70399999999998</v>
      </c>
      <c r="D14" s="8">
        <f t="shared" si="2"/>
        <v>125.49299999999997</v>
      </c>
      <c r="E14" s="8">
        <f t="shared" si="2"/>
        <v>224.07500000000002</v>
      </c>
      <c r="F14" s="8">
        <f t="shared" si="2"/>
        <v>94.320999999999998</v>
      </c>
      <c r="G14" s="8">
        <f t="shared" si="2"/>
        <v>167.03200000000001</v>
      </c>
      <c r="H14" s="8">
        <f t="shared" si="2"/>
        <v>62.367999999999967</v>
      </c>
      <c r="I14" s="8">
        <f t="shared" si="2"/>
        <v>57.181000000000012</v>
      </c>
      <c r="J14" s="8">
        <f t="shared" si="2"/>
        <v>571.20799999999997</v>
      </c>
      <c r="K14" s="8">
        <f t="shared" si="2"/>
        <v>149.77000000000001</v>
      </c>
      <c r="L14" s="8">
        <f t="shared" si="2"/>
        <v>192.27399999999997</v>
      </c>
      <c r="M14" s="8">
        <f t="shared" si="2"/>
        <v>194.98099999999997</v>
      </c>
      <c r="N14" s="8">
        <f t="shared" si="2"/>
        <v>80.082999999999998</v>
      </c>
      <c r="O14" s="8">
        <f t="shared" si="2"/>
        <v>278.57099999999991</v>
      </c>
      <c r="P14" s="8">
        <f t="shared" si="2"/>
        <v>211.54400000000001</v>
      </c>
    </row>
    <row r="15" spans="1:16" ht="15" x14ac:dyDescent="0.2">
      <c r="A15" s="9" t="s">
        <v>61</v>
      </c>
      <c r="C15" s="8">
        <v>1.153</v>
      </c>
      <c r="D15" s="8">
        <v>4.87</v>
      </c>
      <c r="E15" s="8">
        <v>1.3320000000000001</v>
      </c>
      <c r="F15" s="16">
        <v>12.132999999999999</v>
      </c>
      <c r="G15" s="16">
        <v>1.149</v>
      </c>
      <c r="H15" s="16">
        <v>5.649</v>
      </c>
      <c r="I15" s="16">
        <v>7.4859999999999998</v>
      </c>
      <c r="J15" s="16">
        <v>1.86</v>
      </c>
      <c r="K15" s="16">
        <v>2.4990000000000001</v>
      </c>
      <c r="L15" s="8">
        <v>2.6429999999999998</v>
      </c>
      <c r="M15" s="8">
        <v>3.4569999999999999</v>
      </c>
      <c r="N15" s="8">
        <v>2.0030000000000001</v>
      </c>
      <c r="O15" s="8">
        <v>3.0350000000000001</v>
      </c>
      <c r="P15" s="8">
        <v>2.4769999999999999</v>
      </c>
    </row>
    <row r="16" spans="1:16" ht="15" x14ac:dyDescent="0.2">
      <c r="A16" s="9" t="s">
        <v>60</v>
      </c>
      <c r="C16" s="8">
        <f t="shared" ref="C16:P16" si="3">SQRT((C15^2)+1)</f>
        <v>1.5262401514833766</v>
      </c>
      <c r="D16" s="8">
        <f t="shared" si="3"/>
        <v>4.9716093973682209</v>
      </c>
      <c r="E16" s="8">
        <f t="shared" si="3"/>
        <v>1.6656001921229477</v>
      </c>
      <c r="F16" s="8">
        <f t="shared" si="3"/>
        <v>12.174140174977449</v>
      </c>
      <c r="G16" s="8">
        <f t="shared" si="3"/>
        <v>1.5232206012262308</v>
      </c>
      <c r="H16" s="8">
        <f t="shared" si="3"/>
        <v>5.7368284792209021</v>
      </c>
      <c r="I16" s="8">
        <f t="shared" si="3"/>
        <v>7.5524960112534982</v>
      </c>
      <c r="J16" s="8">
        <f t="shared" si="3"/>
        <v>2.1117765033260505</v>
      </c>
      <c r="K16" s="8">
        <f t="shared" si="3"/>
        <v>2.6916539524983518</v>
      </c>
      <c r="L16" s="8">
        <f t="shared" si="3"/>
        <v>2.8258536763250852</v>
      </c>
      <c r="M16" s="8">
        <f t="shared" si="3"/>
        <v>3.5987288033415354</v>
      </c>
      <c r="N16" s="8">
        <f t="shared" si="3"/>
        <v>2.2387516610825777</v>
      </c>
      <c r="O16" s="8">
        <f t="shared" si="3"/>
        <v>3.1955007432325848</v>
      </c>
      <c r="P16" s="8">
        <f t="shared" si="3"/>
        <v>2.671241097317874</v>
      </c>
    </row>
    <row r="17" spans="1:16" ht="15" x14ac:dyDescent="0.2">
      <c r="A17" s="9" t="s">
        <v>59</v>
      </c>
      <c r="G17" s="8">
        <f t="shared" ref="G17:P17" si="4">G14/$E$4</f>
        <v>1.2683960846722713</v>
      </c>
      <c r="H17" s="8">
        <f t="shared" si="4"/>
        <v>0.47360581809976626</v>
      </c>
      <c r="I17" s="8">
        <f t="shared" si="4"/>
        <v>0.43421713514563165</v>
      </c>
      <c r="J17" s="8">
        <f t="shared" si="4"/>
        <v>4.337599925364473</v>
      </c>
      <c r="K17" s="8">
        <f t="shared" si="4"/>
        <v>1.1373130992945426</v>
      </c>
      <c r="L17" s="8">
        <f t="shared" si="4"/>
        <v>1.4600770438255917</v>
      </c>
      <c r="M17" s="8">
        <f t="shared" si="4"/>
        <v>1.4806332737767856</v>
      </c>
      <c r="N17" s="8">
        <f t="shared" si="4"/>
        <v>0.60812876364295154</v>
      </c>
      <c r="O17" s="8">
        <f t="shared" si="4"/>
        <v>2.1153932522105889</v>
      </c>
      <c r="P17" s="8">
        <f t="shared" si="4"/>
        <v>1.6064082411508629</v>
      </c>
    </row>
    <row r="19" spans="1:16" ht="15" x14ac:dyDescent="0.2">
      <c r="A19" s="10" t="s">
        <v>155</v>
      </c>
    </row>
    <row r="20" spans="1:16" ht="15" x14ac:dyDescent="0.2">
      <c r="A20" s="9" t="s">
        <v>63</v>
      </c>
      <c r="C20" s="8">
        <v>297.137</v>
      </c>
      <c r="D20" s="8">
        <v>315.19099999999997</v>
      </c>
      <c r="E20" s="8">
        <v>416.42200000000003</v>
      </c>
      <c r="F20" s="8">
        <v>418.16399999999999</v>
      </c>
      <c r="G20" s="8">
        <v>307.39800000000002</v>
      </c>
      <c r="H20" s="8">
        <v>562.29300000000001</v>
      </c>
      <c r="I20" s="8">
        <v>631.65200000000004</v>
      </c>
      <c r="J20" s="8">
        <v>387.53100000000001</v>
      </c>
      <c r="K20" s="8">
        <v>371.19099999999997</v>
      </c>
      <c r="L20" s="8">
        <v>316.48</v>
      </c>
    </row>
    <row r="21" spans="1:16" ht="15" x14ac:dyDescent="0.2">
      <c r="A21" s="9" t="s">
        <v>62</v>
      </c>
      <c r="C21" s="8">
        <f t="shared" ref="C21:L21" si="5">C20-$B$7</f>
        <v>48.426999999999992</v>
      </c>
      <c r="D21" s="8">
        <f t="shared" si="5"/>
        <v>66.480999999999966</v>
      </c>
      <c r="E21" s="8">
        <f t="shared" si="5"/>
        <v>167.71200000000002</v>
      </c>
      <c r="F21" s="8">
        <f t="shared" si="5"/>
        <v>169.45399999999998</v>
      </c>
      <c r="G21" s="8">
        <f t="shared" si="5"/>
        <v>58.688000000000017</v>
      </c>
      <c r="H21" s="8">
        <f t="shared" si="5"/>
        <v>313.58299999999997</v>
      </c>
      <c r="I21" s="8">
        <f t="shared" si="5"/>
        <v>382.94200000000001</v>
      </c>
      <c r="J21" s="8">
        <f t="shared" si="5"/>
        <v>138.821</v>
      </c>
      <c r="K21" s="8">
        <f t="shared" si="5"/>
        <v>122.48099999999997</v>
      </c>
      <c r="L21" s="8">
        <f t="shared" si="5"/>
        <v>67.77000000000001</v>
      </c>
    </row>
    <row r="22" spans="1:16" ht="15" x14ac:dyDescent="0.2">
      <c r="A22" s="9" t="s">
        <v>61</v>
      </c>
      <c r="C22" s="8">
        <v>4.2450000000000001</v>
      </c>
      <c r="D22" s="8">
        <v>6.7149999999999999</v>
      </c>
      <c r="E22" s="8">
        <v>7.5140000000000002</v>
      </c>
      <c r="F22" s="8">
        <v>1.4219999999999999</v>
      </c>
      <c r="G22" s="8">
        <v>1.901</v>
      </c>
      <c r="H22" s="8">
        <v>2.4689999999999999</v>
      </c>
      <c r="I22" s="8">
        <v>2.8929999999999998</v>
      </c>
      <c r="J22" s="8">
        <v>1.472</v>
      </c>
      <c r="K22" s="8">
        <v>1.899</v>
      </c>
      <c r="L22" s="8">
        <v>2.6230000000000002</v>
      </c>
    </row>
    <row r="23" spans="1:16" ht="15" x14ac:dyDescent="0.2">
      <c r="A23" s="9" t="s">
        <v>60</v>
      </c>
      <c r="C23" s="8">
        <f t="shared" ref="C23:L23" si="6">SQRT((C22^2)+4)</f>
        <v>4.6925499464576825</v>
      </c>
      <c r="D23" s="8">
        <f t="shared" si="6"/>
        <v>7.006513041449363</v>
      </c>
      <c r="E23" s="8">
        <f t="shared" si="6"/>
        <v>7.7756154740316221</v>
      </c>
      <c r="F23" s="8">
        <f t="shared" si="6"/>
        <v>2.4539934800239385</v>
      </c>
      <c r="G23" s="8">
        <f t="shared" si="6"/>
        <v>2.7593116895341852</v>
      </c>
      <c r="H23" s="8">
        <f t="shared" si="6"/>
        <v>3.1774142002578132</v>
      </c>
      <c r="I23" s="8">
        <f t="shared" si="6"/>
        <v>3.5170227465855262</v>
      </c>
      <c r="J23" s="8">
        <f t="shared" si="6"/>
        <v>2.4833010288726576</v>
      </c>
      <c r="K23" s="8">
        <f t="shared" si="6"/>
        <v>2.7579341906579282</v>
      </c>
      <c r="L23" s="8">
        <f t="shared" si="6"/>
        <v>3.2985040548709348</v>
      </c>
    </row>
    <row r="24" spans="1:16" ht="15" x14ac:dyDescent="0.2">
      <c r="A24" s="9" t="s">
        <v>59</v>
      </c>
      <c r="C24" s="8">
        <f t="shared" ref="C24:L24" si="7">C21/$E$4</f>
        <v>0.36774161353766982</v>
      </c>
      <c r="D24" s="8">
        <f t="shared" si="7"/>
        <v>0.50483883390665985</v>
      </c>
      <c r="E24" s="8">
        <f t="shared" si="7"/>
        <v>1.2735598217859809</v>
      </c>
      <c r="F24" s="8">
        <f t="shared" si="7"/>
        <v>1.2867881012743367</v>
      </c>
      <c r="G24" s="8">
        <f t="shared" si="7"/>
        <v>0.44566088783733815</v>
      </c>
      <c r="H24" s="8">
        <f t="shared" si="7"/>
        <v>2.3812649637182379</v>
      </c>
      <c r="I24" s="8">
        <f t="shared" si="7"/>
        <v>2.9079585555855694</v>
      </c>
      <c r="J24" s="8">
        <f t="shared" si="7"/>
        <v>1.0541693380327681</v>
      </c>
      <c r="K24" s="8">
        <f t="shared" si="7"/>
        <v>0.93008777268274578</v>
      </c>
      <c r="L24" s="8">
        <f t="shared" si="7"/>
        <v>0.51462715322955976</v>
      </c>
    </row>
    <row r="26" spans="1:16" ht="15" x14ac:dyDescent="0.2">
      <c r="A26" s="10" t="s">
        <v>154</v>
      </c>
      <c r="C26" s="8">
        <v>1</v>
      </c>
    </row>
    <row r="27" spans="1:16" ht="15" x14ac:dyDescent="0.2">
      <c r="A27" s="9" t="s">
        <v>63</v>
      </c>
      <c r="C27" s="8">
        <v>362.56599999999997</v>
      </c>
      <c r="D27" s="8">
        <v>325.62099999999998</v>
      </c>
      <c r="E27" s="8">
        <v>348.40600000000001</v>
      </c>
    </row>
    <row r="28" spans="1:16" ht="15" x14ac:dyDescent="0.2">
      <c r="A28" s="9" t="s">
        <v>62</v>
      </c>
      <c r="C28" s="8">
        <f>C27-$B$7</f>
        <v>113.85599999999997</v>
      </c>
      <c r="D28" s="8">
        <f>D27-$B$7</f>
        <v>76.910999999999973</v>
      </c>
      <c r="E28" s="8">
        <f>E27-$B$7</f>
        <v>99.695999999999998</v>
      </c>
    </row>
    <row r="29" spans="1:16" ht="15" x14ac:dyDescent="0.2">
      <c r="A29" s="9" t="s">
        <v>61</v>
      </c>
      <c r="C29" s="8">
        <v>2.012</v>
      </c>
      <c r="D29" s="8">
        <v>3.1240000000000001</v>
      </c>
      <c r="E29" s="8">
        <v>2.4950000000000001</v>
      </c>
    </row>
    <row r="30" spans="1:16" ht="15" x14ac:dyDescent="0.2">
      <c r="A30" s="9" t="s">
        <v>60</v>
      </c>
      <c r="C30" s="8">
        <f>SQRT((C29^2)+9)</f>
        <v>3.6122214771522523</v>
      </c>
      <c r="D30" s="8">
        <f>SQRT((D29^2)+9)</f>
        <v>4.3312095308354692</v>
      </c>
      <c r="E30" s="8">
        <f>SQRT((E29^2)+9)</f>
        <v>3.9019258065729545</v>
      </c>
    </row>
    <row r="31" spans="1:16" ht="15" x14ac:dyDescent="0.2">
      <c r="A31" s="9" t="s">
        <v>59</v>
      </c>
      <c r="D31" s="8">
        <f>D28/$E$4</f>
        <v>0.58404144875370589</v>
      </c>
      <c r="E31" s="8">
        <f>E28/$E$4</f>
        <v>0.75706461071822606</v>
      </c>
    </row>
    <row r="33" spans="1:16" ht="15" x14ac:dyDescent="0.2">
      <c r="A33" s="10" t="s">
        <v>153</v>
      </c>
      <c r="C33" s="8">
        <v>1</v>
      </c>
    </row>
    <row r="34" spans="1:16" ht="15" x14ac:dyDescent="0.2">
      <c r="A34" s="9" t="s">
        <v>63</v>
      </c>
      <c r="C34" s="8">
        <v>340.28100000000001</v>
      </c>
      <c r="D34" s="8">
        <v>310.74200000000002</v>
      </c>
    </row>
    <row r="35" spans="1:16" ht="15" x14ac:dyDescent="0.2">
      <c r="A35" s="9" t="s">
        <v>62</v>
      </c>
      <c r="C35" s="8">
        <f>C34-$B$7</f>
        <v>91.570999999999998</v>
      </c>
      <c r="D35" s="8">
        <f>D34-$B$7</f>
        <v>62.032000000000011</v>
      </c>
    </row>
    <row r="36" spans="1:16" ht="15" x14ac:dyDescent="0.2">
      <c r="A36" s="9" t="s">
        <v>61</v>
      </c>
      <c r="C36" s="8">
        <v>9.6219999999999999</v>
      </c>
      <c r="D36" s="8">
        <v>2.2709999999999999</v>
      </c>
    </row>
    <row r="37" spans="1:16" ht="15" x14ac:dyDescent="0.2">
      <c r="A37" s="9" t="s">
        <v>60</v>
      </c>
      <c r="C37" s="8">
        <f>SQRT((C36^2)+16)</f>
        <v>10.420311127792681</v>
      </c>
      <c r="D37" s="8">
        <f>SQRT((D36^2)+16)</f>
        <v>4.5997218394159445</v>
      </c>
    </row>
    <row r="38" spans="1:16" ht="15" x14ac:dyDescent="0.2">
      <c r="A38" s="9" t="s">
        <v>59</v>
      </c>
      <c r="D38" s="8">
        <f>D35/$E$4</f>
        <v>0.4710543244671101</v>
      </c>
    </row>
    <row r="40" spans="1:16" ht="15" x14ac:dyDescent="0.2">
      <c r="A40" s="10" t="s">
        <v>152</v>
      </c>
      <c r="B40" s="8"/>
      <c r="C40" s="8">
        <v>1</v>
      </c>
      <c r="D40" s="8">
        <v>1</v>
      </c>
      <c r="E40" s="8">
        <v>1</v>
      </c>
      <c r="F40" s="8">
        <v>1</v>
      </c>
    </row>
    <row r="41" spans="1:16" ht="15" x14ac:dyDescent="0.2">
      <c r="A41" s="9" t="s">
        <v>63</v>
      </c>
      <c r="C41" s="8">
        <v>429.45699999999999</v>
      </c>
      <c r="D41" s="8">
        <v>356.52</v>
      </c>
      <c r="E41" s="8">
        <v>319.74200000000002</v>
      </c>
      <c r="F41" s="8">
        <v>462.14499999999998</v>
      </c>
      <c r="G41" s="8">
        <v>315.80900000000003</v>
      </c>
      <c r="H41" s="8">
        <v>332.78100000000001</v>
      </c>
      <c r="I41" s="8">
        <v>375.41399999999999</v>
      </c>
      <c r="J41" s="8">
        <v>330.863</v>
      </c>
      <c r="K41" s="8">
        <v>458.94099999999997</v>
      </c>
      <c r="L41" s="8">
        <v>617.68799999999999</v>
      </c>
      <c r="M41" s="8">
        <v>322.53500000000003</v>
      </c>
      <c r="N41" s="8">
        <v>633.06200000000001</v>
      </c>
      <c r="O41" s="8">
        <v>552.38699999999994</v>
      </c>
      <c r="P41" s="8">
        <v>648.77700000000004</v>
      </c>
    </row>
    <row r="42" spans="1:16" ht="15" x14ac:dyDescent="0.2">
      <c r="A42" s="9" t="s">
        <v>62</v>
      </c>
      <c r="C42" s="8">
        <f t="shared" ref="C42:P42" si="8">C41-$B$7</f>
        <v>180.74699999999999</v>
      </c>
      <c r="D42" s="8">
        <f t="shared" si="8"/>
        <v>107.80999999999997</v>
      </c>
      <c r="E42" s="8">
        <f t="shared" si="8"/>
        <v>71.032000000000011</v>
      </c>
      <c r="F42" s="8">
        <f t="shared" si="8"/>
        <v>213.43499999999997</v>
      </c>
      <c r="G42" s="8">
        <f t="shared" si="8"/>
        <v>67.099000000000018</v>
      </c>
      <c r="H42" s="8">
        <f t="shared" si="8"/>
        <v>84.070999999999998</v>
      </c>
      <c r="I42" s="8">
        <f t="shared" si="8"/>
        <v>126.70399999999998</v>
      </c>
      <c r="J42" s="8">
        <f t="shared" si="8"/>
        <v>82.152999999999992</v>
      </c>
      <c r="K42" s="8">
        <f t="shared" si="8"/>
        <v>210.23099999999997</v>
      </c>
      <c r="L42" s="8">
        <f t="shared" si="8"/>
        <v>368.97799999999995</v>
      </c>
      <c r="M42" s="8">
        <f t="shared" si="8"/>
        <v>73.825000000000017</v>
      </c>
      <c r="N42" s="8">
        <f t="shared" si="8"/>
        <v>384.35199999999998</v>
      </c>
      <c r="O42" s="8">
        <f t="shared" si="8"/>
        <v>303.67699999999991</v>
      </c>
      <c r="P42" s="8">
        <f t="shared" si="8"/>
        <v>400.06700000000001</v>
      </c>
    </row>
    <row r="43" spans="1:16" ht="15" x14ac:dyDescent="0.2">
      <c r="A43" s="9" t="s">
        <v>61</v>
      </c>
      <c r="C43" s="8">
        <v>3.2530000000000001</v>
      </c>
      <c r="D43" s="8">
        <v>2.3530000000000002</v>
      </c>
      <c r="E43" s="8">
        <v>4.3</v>
      </c>
      <c r="F43" s="8">
        <v>2.34</v>
      </c>
      <c r="G43" s="8">
        <v>1.843</v>
      </c>
      <c r="H43" s="8">
        <v>2.4889999999999999</v>
      </c>
      <c r="I43" s="8">
        <v>2.653</v>
      </c>
      <c r="J43" s="8">
        <v>3.0790000000000002</v>
      </c>
      <c r="K43" s="8">
        <v>0.94099999999999995</v>
      </c>
      <c r="L43" s="8">
        <v>0.30399999999999999</v>
      </c>
      <c r="M43" s="8">
        <v>4.6790000000000003</v>
      </c>
      <c r="N43" s="8">
        <v>1.948</v>
      </c>
      <c r="O43" s="8">
        <v>1.171</v>
      </c>
      <c r="P43" s="8">
        <v>2.9470000000000001</v>
      </c>
    </row>
    <row r="44" spans="1:16" ht="15" x14ac:dyDescent="0.2">
      <c r="A44" s="9" t="s">
        <v>60</v>
      </c>
      <c r="C44" s="8">
        <f t="shared" ref="C44:P44" si="9">SQRT((C43^2)+1)</f>
        <v>3.4032350785686258</v>
      </c>
      <c r="D44" s="8">
        <f t="shared" si="9"/>
        <v>2.5566792915811716</v>
      </c>
      <c r="E44" s="8">
        <f t="shared" si="9"/>
        <v>4.4147480109288226</v>
      </c>
      <c r="F44" s="8">
        <f t="shared" si="9"/>
        <v>2.5447200238926087</v>
      </c>
      <c r="G44" s="8">
        <f t="shared" si="9"/>
        <v>2.0968187809155086</v>
      </c>
      <c r="H44" s="8">
        <f t="shared" si="9"/>
        <v>2.6823722709571838</v>
      </c>
      <c r="I44" s="8">
        <f t="shared" si="9"/>
        <v>2.8352088106522242</v>
      </c>
      <c r="J44" s="8">
        <f t="shared" si="9"/>
        <v>3.2373200336080461</v>
      </c>
      <c r="K44" s="8">
        <f t="shared" si="9"/>
        <v>1.3731281804696893</v>
      </c>
      <c r="L44" s="8">
        <f t="shared" si="9"/>
        <v>1.0451870645965726</v>
      </c>
      <c r="M44" s="8">
        <f t="shared" si="9"/>
        <v>4.784667282058388</v>
      </c>
      <c r="N44" s="8">
        <f t="shared" si="9"/>
        <v>2.1896812553428866</v>
      </c>
      <c r="O44" s="8">
        <f t="shared" si="9"/>
        <v>1.5398834371471108</v>
      </c>
      <c r="P44" s="8">
        <f t="shared" si="9"/>
        <v>3.1120425768295652</v>
      </c>
    </row>
    <row r="45" spans="1:16" ht="15" x14ac:dyDescent="0.2">
      <c r="A45" s="9" t="s">
        <v>59</v>
      </c>
      <c r="F45" s="8">
        <f t="shared" ref="F45:P45" si="10">F42/$E$4</f>
        <v>1.6207679865656051</v>
      </c>
      <c r="G45" s="8">
        <f t="shared" si="10"/>
        <v>0.5095317596952964</v>
      </c>
      <c r="H45" s="8">
        <f t="shared" si="10"/>
        <v>0.63841256306864858</v>
      </c>
      <c r="I45" s="8">
        <f t="shared" si="10"/>
        <v>0.96215609890509246</v>
      </c>
      <c r="J45" s="8">
        <f t="shared" si="10"/>
        <v>0.62384778691556753</v>
      </c>
      <c r="K45" s="8">
        <f t="shared" si="10"/>
        <v>1.5964376722827733</v>
      </c>
      <c r="L45" s="8">
        <f t="shared" si="10"/>
        <v>2.8019196952093322</v>
      </c>
      <c r="M45" s="8">
        <f t="shared" si="10"/>
        <v>0.56060719473472409</v>
      </c>
      <c r="N45" s="8">
        <f t="shared" si="10"/>
        <v>2.9186657163654672</v>
      </c>
      <c r="O45" s="8">
        <f t="shared" si="10"/>
        <v>2.3060414639411677</v>
      </c>
      <c r="P45" s="8">
        <f t="shared" si="10"/>
        <v>3.0380011998095067</v>
      </c>
    </row>
    <row r="47" spans="1:16" ht="15" x14ac:dyDescent="0.2">
      <c r="A47" s="10" t="s">
        <v>151</v>
      </c>
      <c r="C47" s="8">
        <v>1</v>
      </c>
      <c r="M47" s="17"/>
    </row>
    <row r="48" spans="1:16" ht="15" x14ac:dyDescent="0.2">
      <c r="A48" s="9" t="s">
        <v>63</v>
      </c>
      <c r="C48" s="8">
        <v>333.20299999999997</v>
      </c>
      <c r="D48" s="8">
        <v>365.95299999999997</v>
      </c>
      <c r="E48" s="8">
        <v>350.09</v>
      </c>
      <c r="F48" s="8">
        <v>320.08199999999999</v>
      </c>
      <c r="G48" s="8">
        <v>500.07</v>
      </c>
      <c r="H48" s="8">
        <v>514.39499999999998</v>
      </c>
      <c r="I48" s="8">
        <v>588.60500000000002</v>
      </c>
      <c r="J48" s="8">
        <v>571.97699999999998</v>
      </c>
      <c r="M48" s="16"/>
    </row>
    <row r="49" spans="1:13" ht="15" x14ac:dyDescent="0.2">
      <c r="A49" s="9" t="s">
        <v>62</v>
      </c>
      <c r="C49" s="8">
        <f t="shared" ref="C49:J49" si="11">C48-$B$7</f>
        <v>84.492999999999967</v>
      </c>
      <c r="D49" s="8">
        <f t="shared" si="11"/>
        <v>117.24299999999997</v>
      </c>
      <c r="E49" s="8">
        <f t="shared" si="11"/>
        <v>101.37999999999997</v>
      </c>
      <c r="F49" s="8">
        <f t="shared" si="11"/>
        <v>71.371999999999986</v>
      </c>
      <c r="G49" s="8">
        <f t="shared" si="11"/>
        <v>251.35999999999999</v>
      </c>
      <c r="H49" s="8">
        <f t="shared" si="11"/>
        <v>265.68499999999995</v>
      </c>
      <c r="I49" s="8">
        <f t="shared" si="11"/>
        <v>339.89499999999998</v>
      </c>
      <c r="J49" s="8">
        <f t="shared" si="11"/>
        <v>323.26699999999994</v>
      </c>
      <c r="M49" s="16"/>
    </row>
    <row r="50" spans="1:13" ht="15" x14ac:dyDescent="0.2">
      <c r="A50" s="9" t="s">
        <v>61</v>
      </c>
      <c r="C50" s="8">
        <v>4.6840000000000002</v>
      </c>
      <c r="D50" s="8">
        <v>2.899</v>
      </c>
      <c r="E50" s="8">
        <v>6.6109999999999998</v>
      </c>
      <c r="F50" s="8">
        <v>2.2559999999999998</v>
      </c>
      <c r="G50" s="8">
        <v>1.9079999999999999</v>
      </c>
      <c r="H50" s="8">
        <v>1.238</v>
      </c>
      <c r="I50" s="8">
        <v>0.80700000000000005</v>
      </c>
      <c r="J50" s="8">
        <v>0.16600000000000001</v>
      </c>
      <c r="M50" s="16"/>
    </row>
    <row r="51" spans="1:13" ht="15" x14ac:dyDescent="0.2">
      <c r="A51" s="9" t="s">
        <v>60</v>
      </c>
      <c r="C51" s="8">
        <f t="shared" ref="C51:J51" si="12">SQRT((C50^2)+4)</f>
        <v>5.0931184945964096</v>
      </c>
      <c r="D51" s="8">
        <f t="shared" si="12"/>
        <v>3.5219598237345071</v>
      </c>
      <c r="E51" s="8">
        <f t="shared" si="12"/>
        <v>6.9069038649745229</v>
      </c>
      <c r="F51" s="8">
        <f t="shared" si="12"/>
        <v>3.0148857358115579</v>
      </c>
      <c r="G51" s="8">
        <f t="shared" si="12"/>
        <v>2.7641389255969027</v>
      </c>
      <c r="H51" s="8">
        <f t="shared" si="12"/>
        <v>2.3521573076646041</v>
      </c>
      <c r="I51" s="8">
        <f t="shared" si="12"/>
        <v>2.1566754507806687</v>
      </c>
      <c r="J51" s="8">
        <f t="shared" si="12"/>
        <v>2.0068771761121806</v>
      </c>
    </row>
    <row r="52" spans="1:13" ht="15" x14ac:dyDescent="0.2">
      <c r="A52" s="9" t="s">
        <v>59</v>
      </c>
      <c r="D52" s="8">
        <f t="shared" ref="D52:J52" si="13">D49/$E$4</f>
        <v>0.89031180944508259</v>
      </c>
      <c r="E52" s="8">
        <f t="shared" si="13"/>
        <v>0.76985245380570666</v>
      </c>
      <c r="F52" s="8">
        <f t="shared" si="13"/>
        <v>0.54197977247012141</v>
      </c>
      <c r="G52" s="8">
        <f t="shared" si="13"/>
        <v>1.9087602366206597</v>
      </c>
      <c r="H52" s="8">
        <f t="shared" si="13"/>
        <v>2.0175404339057921</v>
      </c>
      <c r="I52" s="8">
        <f t="shared" si="13"/>
        <v>2.5810712150946018</v>
      </c>
      <c r="J52" s="8">
        <f t="shared" si="13"/>
        <v>2.4548026552023026</v>
      </c>
    </row>
    <row r="54" spans="1:13" ht="15" x14ac:dyDescent="0.2">
      <c r="A54" s="10" t="s">
        <v>150</v>
      </c>
      <c r="C54" s="8">
        <v>1</v>
      </c>
    </row>
    <row r="55" spans="1:13" ht="15" x14ac:dyDescent="0.2">
      <c r="A55" s="9" t="s">
        <v>63</v>
      </c>
      <c r="C55" s="8">
        <v>387.22699999999998</v>
      </c>
      <c r="D55" s="8">
        <v>312.68</v>
      </c>
    </row>
    <row r="56" spans="1:13" ht="15" x14ac:dyDescent="0.2">
      <c r="A56" s="9" t="s">
        <v>62</v>
      </c>
      <c r="C56" s="8">
        <f>C55-$B$7</f>
        <v>138.51699999999997</v>
      </c>
      <c r="D56" s="8">
        <f>D55-$B$7</f>
        <v>63.97</v>
      </c>
    </row>
    <row r="57" spans="1:13" ht="15" x14ac:dyDescent="0.2">
      <c r="A57" s="9" t="s">
        <v>61</v>
      </c>
      <c r="C57" s="8">
        <v>0.38500000000000001</v>
      </c>
      <c r="D57" s="8">
        <v>1.746</v>
      </c>
    </row>
    <row r="58" spans="1:13" ht="15" x14ac:dyDescent="0.2">
      <c r="A58" s="9" t="s">
        <v>60</v>
      </c>
      <c r="C58" s="8">
        <f>SQRT((C57^2)+9)</f>
        <v>3.0246032797707536</v>
      </c>
      <c r="D58" s="8">
        <f>SQRT((D57^2)+9)</f>
        <v>3.4710972328645591</v>
      </c>
    </row>
    <row r="59" spans="1:13" ht="15" x14ac:dyDescent="0.2">
      <c r="A59" s="9" t="s">
        <v>59</v>
      </c>
      <c r="D59" s="8">
        <f>D56/$E$4</f>
        <v>0.4857709752411824</v>
      </c>
    </row>
    <row r="61" spans="1:13" ht="15" x14ac:dyDescent="0.2">
      <c r="A61" s="9"/>
    </row>
    <row r="62" spans="1:13" ht="15" x14ac:dyDescent="0.2">
      <c r="A62" s="9"/>
    </row>
    <row r="63" spans="1:13" ht="15" x14ac:dyDescent="0.2">
      <c r="A63" s="9"/>
    </row>
    <row r="64" spans="1:13" ht="15" x14ac:dyDescent="0.2">
      <c r="A64" s="9"/>
      <c r="D64" s="18"/>
    </row>
    <row r="65" spans="1:4" ht="15" x14ac:dyDescent="0.2">
      <c r="A65" s="9"/>
    </row>
    <row r="66" spans="1:4" ht="15" x14ac:dyDescent="0.2">
      <c r="A66" s="9"/>
    </row>
    <row r="68" spans="1:4" ht="15" x14ac:dyDescent="0.2">
      <c r="A68" s="9"/>
    </row>
    <row r="69" spans="1:4" ht="15" x14ac:dyDescent="0.2">
      <c r="A69" s="9"/>
      <c r="D69" s="11"/>
    </row>
    <row r="70" spans="1:4" ht="15" x14ac:dyDescent="0.2">
      <c r="A70" s="9"/>
    </row>
    <row r="71" spans="1:4" ht="15" x14ac:dyDescent="0.2">
      <c r="A71" s="9"/>
    </row>
    <row r="72" spans="1:4" ht="15" x14ac:dyDescent="0.2">
      <c r="A72" s="9"/>
    </row>
    <row r="73" spans="1:4" ht="15" x14ac:dyDescent="0.2">
      <c r="A73" s="9"/>
    </row>
    <row r="75" spans="1:4" ht="15" x14ac:dyDescent="0.2">
      <c r="A75" s="9"/>
    </row>
    <row r="76" spans="1:4" ht="15" x14ac:dyDescent="0.2">
      <c r="A76" s="9"/>
    </row>
    <row r="77" spans="1:4" ht="15" x14ac:dyDescent="0.2">
      <c r="A77" s="9"/>
    </row>
    <row r="78" spans="1:4" ht="15" x14ac:dyDescent="0.2">
      <c r="A78" s="9"/>
    </row>
    <row r="79" spans="1:4" ht="15" x14ac:dyDescent="0.2">
      <c r="A79" s="9"/>
    </row>
    <row r="80" spans="1:4" ht="15" x14ac:dyDescent="0.2">
      <c r="A80" s="9"/>
    </row>
  </sheetData>
  <mergeCells count="1">
    <mergeCell ref="G4:H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91316-A858-5749-9599-EEC91E35446C}">
  <sheetPr>
    <outlinePr summaryBelow="0" summaryRight="0"/>
  </sheetPr>
  <dimension ref="A1:O80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5" ht="16" x14ac:dyDescent="0.2">
      <c r="A1" s="12" t="s">
        <v>75</v>
      </c>
      <c r="B1" s="12"/>
      <c r="C1" s="15">
        <v>45098</v>
      </c>
      <c r="D1" s="12"/>
      <c r="E1" s="12"/>
      <c r="F1" s="12"/>
      <c r="G1" s="12"/>
      <c r="H1" s="12"/>
    </row>
    <row r="2" spans="1:15" ht="16" x14ac:dyDescent="0.2">
      <c r="A2" s="12"/>
      <c r="B2" s="12"/>
      <c r="C2" s="12"/>
      <c r="D2" s="12"/>
      <c r="E2" s="12"/>
      <c r="F2" s="12"/>
      <c r="G2" s="12"/>
      <c r="H2" s="12"/>
    </row>
    <row r="3" spans="1:15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5" ht="16" x14ac:dyDescent="0.2">
      <c r="A4" s="12" t="s">
        <v>27</v>
      </c>
      <c r="B4" s="13">
        <v>40.356000000000002</v>
      </c>
      <c r="C4" s="12"/>
      <c r="D4" s="12" t="s">
        <v>73</v>
      </c>
      <c r="E4" s="13">
        <f>AVERAGE(C8,D8,E8,C14,D14,C28,C42,C49)</f>
        <v>194.22662499999998</v>
      </c>
      <c r="F4" s="12"/>
      <c r="G4" s="55" t="s">
        <v>72</v>
      </c>
      <c r="H4" s="56"/>
    </row>
    <row r="5" spans="1:15" ht="16" x14ac:dyDescent="0.2">
      <c r="A5" s="12"/>
      <c r="B5" s="12"/>
      <c r="C5" s="12"/>
      <c r="D5" s="12"/>
      <c r="E5" s="12"/>
      <c r="F5" s="12"/>
      <c r="G5" s="12"/>
      <c r="H5" s="12"/>
    </row>
    <row r="6" spans="1:15" ht="15" x14ac:dyDescent="0.2">
      <c r="A6" s="10" t="s">
        <v>134</v>
      </c>
      <c r="B6" s="14" t="s">
        <v>70</v>
      </c>
      <c r="C6" s="8">
        <v>1</v>
      </c>
      <c r="D6" s="8">
        <v>1</v>
      </c>
      <c r="E6" s="8">
        <v>1</v>
      </c>
    </row>
    <row r="7" spans="1:15" ht="16" x14ac:dyDescent="0.2">
      <c r="A7" s="9" t="s">
        <v>63</v>
      </c>
      <c r="B7" s="13">
        <v>222.935</v>
      </c>
      <c r="C7" s="8">
        <v>365.66</v>
      </c>
      <c r="D7" s="8">
        <v>418.89499999999998</v>
      </c>
      <c r="E7" s="8">
        <v>464.59</v>
      </c>
      <c r="F7" s="8">
        <v>515.38699999999994</v>
      </c>
      <c r="G7" s="8">
        <v>357.5</v>
      </c>
      <c r="H7" s="8">
        <v>664.93399999999997</v>
      </c>
      <c r="I7" s="8">
        <v>357.89499999999998</v>
      </c>
      <c r="J7" s="8">
        <v>391.262</v>
      </c>
      <c r="K7" s="8">
        <v>353.60199999999998</v>
      </c>
      <c r="L7" s="8">
        <v>787.875</v>
      </c>
      <c r="M7" s="8">
        <v>729.88699999999994</v>
      </c>
      <c r="N7" s="8">
        <v>641.46900000000005</v>
      </c>
      <c r="O7" s="8">
        <v>627.375</v>
      </c>
    </row>
    <row r="8" spans="1:15" ht="16" x14ac:dyDescent="0.2">
      <c r="A8" s="9" t="s">
        <v>62</v>
      </c>
      <c r="B8" s="12"/>
      <c r="C8" s="8">
        <f t="shared" ref="C8:O8" si="0">C7-$B$7</f>
        <v>142.72500000000002</v>
      </c>
      <c r="D8" s="8">
        <f t="shared" si="0"/>
        <v>195.95999999999998</v>
      </c>
      <c r="E8" s="8">
        <f t="shared" si="0"/>
        <v>241.65499999999997</v>
      </c>
      <c r="F8" s="8">
        <f t="shared" si="0"/>
        <v>292.45199999999994</v>
      </c>
      <c r="G8" s="8">
        <f t="shared" si="0"/>
        <v>134.565</v>
      </c>
      <c r="H8" s="8">
        <f t="shared" si="0"/>
        <v>441.99899999999997</v>
      </c>
      <c r="I8" s="8">
        <f t="shared" si="0"/>
        <v>134.95999999999998</v>
      </c>
      <c r="J8" s="8">
        <f t="shared" si="0"/>
        <v>168.327</v>
      </c>
      <c r="K8" s="8">
        <f t="shared" si="0"/>
        <v>130.66699999999997</v>
      </c>
      <c r="L8" s="8">
        <f t="shared" si="0"/>
        <v>564.94000000000005</v>
      </c>
      <c r="M8" s="8">
        <f t="shared" si="0"/>
        <v>506.95199999999994</v>
      </c>
      <c r="N8" s="8">
        <f t="shared" si="0"/>
        <v>418.53400000000005</v>
      </c>
      <c r="O8" s="8">
        <f t="shared" si="0"/>
        <v>404.44</v>
      </c>
    </row>
    <row r="9" spans="1:15" ht="16" x14ac:dyDescent="0.2">
      <c r="A9" s="9" t="s">
        <v>61</v>
      </c>
      <c r="B9" s="12"/>
      <c r="C9" s="8">
        <v>6.3869999999999996</v>
      </c>
      <c r="D9" s="8">
        <v>1.887</v>
      </c>
      <c r="E9" s="8">
        <v>1.518</v>
      </c>
      <c r="F9" s="8">
        <v>2.0190000000000001</v>
      </c>
      <c r="G9" s="8">
        <v>1.302</v>
      </c>
      <c r="H9" s="8">
        <v>1.2609999999999999</v>
      </c>
      <c r="I9" s="8">
        <v>0.92500000000000004</v>
      </c>
      <c r="J9" s="8">
        <v>0.72299999999999998</v>
      </c>
      <c r="K9" s="8">
        <v>1.17</v>
      </c>
      <c r="L9" s="8">
        <v>1.2430000000000001</v>
      </c>
      <c r="M9" s="8">
        <v>1.708</v>
      </c>
      <c r="N9" s="8">
        <v>2.0489999999999999</v>
      </c>
      <c r="O9" s="8">
        <v>2.7669999999999999</v>
      </c>
    </row>
    <row r="10" spans="1:15" ht="16" x14ac:dyDescent="0.2">
      <c r="A10" s="9" t="s">
        <v>59</v>
      </c>
      <c r="B10" s="12"/>
      <c r="F10" s="8">
        <f t="shared" ref="F10:O10" si="1">F8/$E$4</f>
        <v>1.5057255924618984</v>
      </c>
      <c r="G10" s="8">
        <f t="shared" si="1"/>
        <v>0.69282468353656457</v>
      </c>
      <c r="H10" s="8">
        <f t="shared" si="1"/>
        <v>2.2756869713408241</v>
      </c>
      <c r="I10" s="8">
        <f t="shared" si="1"/>
        <v>0.69485839029535723</v>
      </c>
      <c r="J10" s="8">
        <f t="shared" si="1"/>
        <v>0.86665255085393167</v>
      </c>
      <c r="K10" s="8">
        <f t="shared" si="1"/>
        <v>0.67275534443333906</v>
      </c>
      <c r="L10" s="8">
        <f t="shared" si="1"/>
        <v>2.9086640412971194</v>
      </c>
      <c r="M10" s="8">
        <f t="shared" si="1"/>
        <v>2.6101055918569349</v>
      </c>
      <c r="N10" s="8">
        <f t="shared" si="1"/>
        <v>2.154874492619125</v>
      </c>
      <c r="O10" s="8">
        <f t="shared" si="1"/>
        <v>2.082309776015518</v>
      </c>
    </row>
    <row r="12" spans="1:15" ht="15" x14ac:dyDescent="0.2">
      <c r="A12" s="10" t="s">
        <v>133</v>
      </c>
      <c r="C12" s="8">
        <v>1</v>
      </c>
      <c r="D12" s="8">
        <v>1</v>
      </c>
    </row>
    <row r="13" spans="1:15" ht="15" x14ac:dyDescent="0.2">
      <c r="A13" s="9" t="s">
        <v>63</v>
      </c>
      <c r="C13" s="8">
        <v>409.02300000000002</v>
      </c>
      <c r="D13" s="8">
        <v>509.59</v>
      </c>
      <c r="E13" s="8">
        <v>952.01199999999994</v>
      </c>
      <c r="F13" s="8">
        <v>352.67200000000003</v>
      </c>
      <c r="G13" s="8">
        <v>387.97699999999998</v>
      </c>
      <c r="H13" s="8">
        <v>597.65599999999995</v>
      </c>
      <c r="I13" s="8">
        <v>599.78099999999995</v>
      </c>
    </row>
    <row r="14" spans="1:15" ht="15" x14ac:dyDescent="0.2">
      <c r="A14" s="9" t="s">
        <v>62</v>
      </c>
      <c r="C14" s="8">
        <f t="shared" ref="C14:I14" si="2">C13-$B$7</f>
        <v>186.08800000000002</v>
      </c>
      <c r="D14" s="8">
        <f t="shared" si="2"/>
        <v>286.65499999999997</v>
      </c>
      <c r="E14" s="8">
        <f t="shared" si="2"/>
        <v>729.077</v>
      </c>
      <c r="F14" s="8">
        <f t="shared" si="2"/>
        <v>129.73700000000002</v>
      </c>
      <c r="G14" s="8">
        <f t="shared" si="2"/>
        <v>165.04199999999997</v>
      </c>
      <c r="H14" s="8">
        <f t="shared" si="2"/>
        <v>374.72099999999995</v>
      </c>
      <c r="I14" s="8">
        <f t="shared" si="2"/>
        <v>376.84599999999995</v>
      </c>
    </row>
    <row r="15" spans="1:15" ht="15" x14ac:dyDescent="0.2">
      <c r="A15" s="9" t="s">
        <v>61</v>
      </c>
      <c r="C15" s="8">
        <v>3.0649999999999999</v>
      </c>
      <c r="D15" s="8">
        <v>0.67300000000000004</v>
      </c>
      <c r="E15" s="8">
        <v>1.917</v>
      </c>
      <c r="F15" s="8">
        <v>0.96299999999999997</v>
      </c>
      <c r="G15" s="8">
        <v>1.5669999999999999</v>
      </c>
      <c r="H15" s="8">
        <v>1.339</v>
      </c>
      <c r="I15" s="8">
        <v>1.8859999999999999</v>
      </c>
    </row>
    <row r="16" spans="1:15" ht="15" x14ac:dyDescent="0.2">
      <c r="A16" s="9" t="s">
        <v>60</v>
      </c>
      <c r="C16" s="8">
        <f t="shared" ref="C16:I16" si="3">SQRT((C15^2)+1)</f>
        <v>3.2240075992466273</v>
      </c>
      <c r="D16" s="8">
        <f t="shared" si="3"/>
        <v>1.2053750453696974</v>
      </c>
      <c r="E16" s="8">
        <f t="shared" si="3"/>
        <v>2.1621491622920006</v>
      </c>
      <c r="F16" s="8">
        <f t="shared" si="3"/>
        <v>1.3882971583922514</v>
      </c>
      <c r="G16" s="8">
        <f t="shared" si="3"/>
        <v>1.8588945639815078</v>
      </c>
      <c r="H16" s="8">
        <f t="shared" si="3"/>
        <v>1.6712034585890492</v>
      </c>
      <c r="I16" s="8">
        <f t="shared" si="3"/>
        <v>2.1347121585825102</v>
      </c>
    </row>
    <row r="17" spans="1:13" ht="15" x14ac:dyDescent="0.2">
      <c r="A17" s="9" t="s">
        <v>59</v>
      </c>
      <c r="E17" s="8">
        <f>E14/$E$4</f>
        <v>3.7537438546337305</v>
      </c>
      <c r="F17" s="8">
        <f>F14/$E$4</f>
        <v>0.66796712345694131</v>
      </c>
      <c r="G17" s="8">
        <f>G14/$E$4</f>
        <v>0.84973931869536412</v>
      </c>
      <c r="H17" s="8">
        <f>H14/$E$4</f>
        <v>1.9292977983837178</v>
      </c>
      <c r="I17" s="8">
        <f>I14/$E$4</f>
        <v>1.9402386258835522</v>
      </c>
    </row>
    <row r="19" spans="1:13" ht="15" x14ac:dyDescent="0.2">
      <c r="A19" s="10" t="s">
        <v>132</v>
      </c>
    </row>
    <row r="20" spans="1:13" ht="15" x14ac:dyDescent="0.2">
      <c r="A20" s="9" t="s">
        <v>63</v>
      </c>
      <c r="C20" s="8">
        <v>743.39499999999998</v>
      </c>
      <c r="D20" s="8">
        <v>326.82400000000001</v>
      </c>
      <c r="E20" s="8">
        <v>310.19099999999997</v>
      </c>
    </row>
    <row r="21" spans="1:13" ht="15" x14ac:dyDescent="0.2">
      <c r="A21" s="9" t="s">
        <v>62</v>
      </c>
      <c r="C21" s="8">
        <f>C20-$B$7</f>
        <v>520.46</v>
      </c>
      <c r="D21" s="8">
        <f>D20-$B$7</f>
        <v>103.88900000000001</v>
      </c>
      <c r="E21" s="8">
        <f>E20-$B$7</f>
        <v>87.255999999999972</v>
      </c>
    </row>
    <row r="22" spans="1:13" ht="15" x14ac:dyDescent="0.2">
      <c r="A22" s="9" t="s">
        <v>61</v>
      </c>
      <c r="C22" s="8">
        <v>0.92600000000000005</v>
      </c>
      <c r="D22" s="8">
        <v>2.9140000000000001</v>
      </c>
      <c r="E22" s="8">
        <v>1.722</v>
      </c>
    </row>
    <row r="23" spans="1:13" ht="15" x14ac:dyDescent="0.2">
      <c r="A23" s="9" t="s">
        <v>60</v>
      </c>
      <c r="C23" s="8">
        <f>SQRT((C22^2)+4)</f>
        <v>2.2039682393355853</v>
      </c>
      <c r="D23" s="8">
        <f>SQRT((D22^2)+4)</f>
        <v>3.5343169071264677</v>
      </c>
      <c r="E23" s="8">
        <f>SQRT((E22^2)+4)</f>
        <v>2.6391824491686817</v>
      </c>
    </row>
    <row r="24" spans="1:13" ht="15" x14ac:dyDescent="0.2">
      <c r="A24" s="9" t="s">
        <v>59</v>
      </c>
      <c r="C24" s="8">
        <f>C21/$E$4</f>
        <v>2.6796532143829408</v>
      </c>
      <c r="D24" s="8">
        <f>D21/$E$4</f>
        <v>0.53488547206130987</v>
      </c>
      <c r="E24" s="8">
        <f>E21/$E$4</f>
        <v>0.44924839732966571</v>
      </c>
    </row>
    <row r="26" spans="1:13" ht="15" x14ac:dyDescent="0.2">
      <c r="A26" s="10" t="s">
        <v>131</v>
      </c>
      <c r="C26" s="16">
        <v>1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" x14ac:dyDescent="0.2">
      <c r="A27" s="9" t="s">
        <v>63</v>
      </c>
      <c r="C27" s="16">
        <v>514.91399999999999</v>
      </c>
      <c r="D27" s="16">
        <v>1029.9490000000001</v>
      </c>
      <c r="E27" s="16">
        <v>749.99199999999996</v>
      </c>
      <c r="F27" s="16">
        <v>833.76199999999994</v>
      </c>
      <c r="G27" s="16">
        <v>891.875</v>
      </c>
      <c r="H27" s="16">
        <v>975.10900000000004</v>
      </c>
      <c r="I27" s="16">
        <v>952.51599999999996</v>
      </c>
      <c r="J27" s="16">
        <v>587.63699999999994</v>
      </c>
      <c r="K27" s="16">
        <v>539.75400000000002</v>
      </c>
      <c r="L27" s="16">
        <v>333.68799999999999</v>
      </c>
      <c r="M27" s="16">
        <v>355.29300000000001</v>
      </c>
    </row>
    <row r="28" spans="1:13" ht="15" x14ac:dyDescent="0.2">
      <c r="A28" s="9" t="s">
        <v>62</v>
      </c>
      <c r="C28" s="17">
        <f t="shared" ref="C28:M28" si="4">C27-$B$7</f>
        <v>291.97899999999998</v>
      </c>
      <c r="D28" s="17">
        <f t="shared" si="4"/>
        <v>807.01400000000012</v>
      </c>
      <c r="E28" s="17">
        <f t="shared" si="4"/>
        <v>527.05700000000002</v>
      </c>
      <c r="F28" s="17">
        <f t="shared" si="4"/>
        <v>610.827</v>
      </c>
      <c r="G28" s="17">
        <f t="shared" si="4"/>
        <v>668.94</v>
      </c>
      <c r="H28" s="17">
        <f t="shared" si="4"/>
        <v>752.17399999999998</v>
      </c>
      <c r="I28" s="17">
        <f t="shared" si="4"/>
        <v>729.5809999999999</v>
      </c>
      <c r="J28" s="17">
        <f t="shared" si="4"/>
        <v>364.70199999999994</v>
      </c>
      <c r="K28" s="17">
        <f t="shared" si="4"/>
        <v>316.81900000000002</v>
      </c>
      <c r="L28" s="17">
        <f t="shared" si="4"/>
        <v>110.75299999999999</v>
      </c>
      <c r="M28" s="17">
        <f t="shared" si="4"/>
        <v>132.358</v>
      </c>
    </row>
    <row r="29" spans="1:13" ht="15" x14ac:dyDescent="0.2">
      <c r="A29" s="9" t="s">
        <v>61</v>
      </c>
      <c r="C29" s="16">
        <v>1.175</v>
      </c>
      <c r="D29" s="16">
        <v>1.41</v>
      </c>
      <c r="E29" s="16">
        <v>1.3680000000000001</v>
      </c>
      <c r="F29" s="16">
        <v>0.41399999999999998</v>
      </c>
      <c r="G29" s="16">
        <v>1.2350000000000001</v>
      </c>
      <c r="H29" s="16">
        <v>1.222</v>
      </c>
      <c r="I29" s="16">
        <v>0.88800000000000001</v>
      </c>
      <c r="J29" s="16">
        <v>1.353</v>
      </c>
      <c r="K29" s="16">
        <v>2.09</v>
      </c>
      <c r="L29" s="16">
        <v>2.8959999999999999</v>
      </c>
      <c r="M29" s="16">
        <v>1.502</v>
      </c>
    </row>
    <row r="30" spans="1:13" ht="15" x14ac:dyDescent="0.2">
      <c r="A30" s="9" t="s">
        <v>60</v>
      </c>
      <c r="C30" s="8">
        <f t="shared" ref="C30:M30" si="5">SQRT((C29^2)+1)</f>
        <v>1.5429274124209473</v>
      </c>
      <c r="D30" s="8">
        <f t="shared" si="5"/>
        <v>1.7286121600868136</v>
      </c>
      <c r="E30" s="8">
        <f t="shared" si="5"/>
        <v>1.6945276628016435</v>
      </c>
      <c r="F30" s="8">
        <f t="shared" si="5"/>
        <v>1.0823104914949315</v>
      </c>
      <c r="G30" s="8">
        <f t="shared" si="5"/>
        <v>1.5890956547672013</v>
      </c>
      <c r="H30" s="8">
        <f t="shared" si="5"/>
        <v>1.5790136161540851</v>
      </c>
      <c r="I30" s="8">
        <f t="shared" si="5"/>
        <v>1.3373645725829588</v>
      </c>
      <c r="J30" s="8">
        <f t="shared" si="5"/>
        <v>1.6824413808510537</v>
      </c>
      <c r="K30" s="8">
        <f t="shared" si="5"/>
        <v>2.3169160537231379</v>
      </c>
      <c r="L30" s="8">
        <f t="shared" si="5"/>
        <v>3.0637911155951869</v>
      </c>
      <c r="M30" s="8">
        <f t="shared" si="5"/>
        <v>1.8044400793597997</v>
      </c>
    </row>
    <row r="31" spans="1:13" ht="15" x14ac:dyDescent="0.2">
      <c r="A31" s="9" t="s">
        <v>59</v>
      </c>
      <c r="D31" s="8">
        <f t="shared" ref="D31:M31" si="6">D28/$E$4</f>
        <v>4.1550122183300058</v>
      </c>
      <c r="E31" s="8">
        <f t="shared" si="6"/>
        <v>2.7136186915671323</v>
      </c>
      <c r="F31" s="8">
        <f t="shared" si="6"/>
        <v>3.1449189831723641</v>
      </c>
      <c r="G31" s="8">
        <f t="shared" si="6"/>
        <v>3.4441210107007736</v>
      </c>
      <c r="H31" s="8">
        <f t="shared" si="6"/>
        <v>3.8726616394636939</v>
      </c>
      <c r="I31" s="8">
        <f t="shared" si="6"/>
        <v>3.7563387614854551</v>
      </c>
      <c r="J31" s="8">
        <f t="shared" si="6"/>
        <v>1.8777137274562639</v>
      </c>
      <c r="K31" s="8">
        <f t="shared" si="6"/>
        <v>1.6311821306682337</v>
      </c>
      <c r="L31" s="8">
        <f t="shared" si="6"/>
        <v>0.57022563204195098</v>
      </c>
      <c r="M31" s="8">
        <f t="shared" si="6"/>
        <v>0.68146166881085446</v>
      </c>
    </row>
    <row r="33" spans="1:10" ht="15" x14ac:dyDescent="0.2">
      <c r="A33" s="10" t="s">
        <v>130</v>
      </c>
    </row>
    <row r="34" spans="1:10" ht="15" x14ac:dyDescent="0.2">
      <c r="A34" s="9" t="s">
        <v>63</v>
      </c>
      <c r="C34" s="8">
        <v>603.22699999999998</v>
      </c>
      <c r="D34" s="8">
        <v>399.14100000000002</v>
      </c>
      <c r="E34" s="8">
        <v>327.65199999999999</v>
      </c>
      <c r="F34" s="8">
        <v>412.42200000000003</v>
      </c>
      <c r="G34" s="8">
        <v>312.21499999999997</v>
      </c>
      <c r="H34" s="8">
        <v>651.16399999999999</v>
      </c>
      <c r="I34" s="8">
        <v>555.15200000000004</v>
      </c>
      <c r="J34" s="8">
        <v>408.37099999999998</v>
      </c>
    </row>
    <row r="35" spans="1:10" ht="15" x14ac:dyDescent="0.2">
      <c r="A35" s="9" t="s">
        <v>62</v>
      </c>
      <c r="C35" s="8">
        <f t="shared" ref="C35:J35" si="7">C34-$B$7</f>
        <v>380.29199999999997</v>
      </c>
      <c r="D35" s="8">
        <f t="shared" si="7"/>
        <v>176.20600000000002</v>
      </c>
      <c r="E35" s="8">
        <f t="shared" si="7"/>
        <v>104.71699999999998</v>
      </c>
      <c r="F35" s="8">
        <f t="shared" si="7"/>
        <v>189.48700000000002</v>
      </c>
      <c r="G35" s="8">
        <f t="shared" si="7"/>
        <v>89.279999999999973</v>
      </c>
      <c r="H35" s="8">
        <f t="shared" si="7"/>
        <v>428.22899999999998</v>
      </c>
      <c r="I35" s="8">
        <f t="shared" si="7"/>
        <v>332.21700000000004</v>
      </c>
      <c r="J35" s="8">
        <f t="shared" si="7"/>
        <v>185.43599999999998</v>
      </c>
    </row>
    <row r="36" spans="1:10" ht="15" x14ac:dyDescent="0.2">
      <c r="A36" s="9" t="s">
        <v>61</v>
      </c>
      <c r="C36" s="8">
        <v>1.762</v>
      </c>
      <c r="D36" s="8">
        <v>1.2050000000000001</v>
      </c>
      <c r="E36" s="8">
        <v>1.613</v>
      </c>
      <c r="F36" s="8">
        <v>0.53</v>
      </c>
      <c r="G36" s="8">
        <v>1.2190000000000001</v>
      </c>
      <c r="H36" s="8">
        <v>0.999</v>
      </c>
      <c r="I36" s="8">
        <v>1.1850000000000001</v>
      </c>
      <c r="J36" s="8">
        <v>1.2989999999999999</v>
      </c>
    </row>
    <row r="37" spans="1:10" ht="15" x14ac:dyDescent="0.2">
      <c r="A37" s="9" t="s">
        <v>60</v>
      </c>
      <c r="C37" s="8">
        <f t="shared" ref="C37:J37" si="8">SQRT((C36^2)+4)</f>
        <v>2.665453807515711</v>
      </c>
      <c r="D37" s="8">
        <f t="shared" si="8"/>
        <v>2.3349571730547862</v>
      </c>
      <c r="E37" s="8">
        <f t="shared" si="8"/>
        <v>2.5693907838240566</v>
      </c>
      <c r="F37" s="8">
        <f t="shared" si="8"/>
        <v>2.0690335908341364</v>
      </c>
      <c r="G37" s="8">
        <f t="shared" si="8"/>
        <v>2.3422128425913815</v>
      </c>
      <c r="H37" s="8">
        <f t="shared" si="8"/>
        <v>2.2356209428255052</v>
      </c>
      <c r="I37" s="8">
        <f t="shared" si="8"/>
        <v>2.3246989052348264</v>
      </c>
      <c r="J37" s="8">
        <f t="shared" si="8"/>
        <v>2.3848272474122734</v>
      </c>
    </row>
    <row r="38" spans="1:10" ht="15" x14ac:dyDescent="0.2">
      <c r="A38" s="9" t="s">
        <v>59</v>
      </c>
      <c r="C38" s="8">
        <f t="shared" ref="C38:J38" si="9">C35/$E$4</f>
        <v>1.9579807866197541</v>
      </c>
      <c r="D38" s="8">
        <f t="shared" si="9"/>
        <v>0.90721856491096431</v>
      </c>
      <c r="E38" s="8">
        <f t="shared" si="9"/>
        <v>0.53914853331771584</v>
      </c>
      <c r="F38" s="8">
        <f t="shared" si="9"/>
        <v>0.97559744962875217</v>
      </c>
      <c r="G38" s="8">
        <f t="shared" si="9"/>
        <v>0.45966921373421371</v>
      </c>
      <c r="H38" s="8">
        <f t="shared" si="9"/>
        <v>2.2047904091418982</v>
      </c>
      <c r="I38" s="8">
        <f t="shared" si="9"/>
        <v>1.7104606538882094</v>
      </c>
      <c r="J38" s="8">
        <f t="shared" si="9"/>
        <v>0.95474037094553843</v>
      </c>
    </row>
    <row r="40" spans="1:10" ht="15" x14ac:dyDescent="0.2">
      <c r="A40" s="10" t="s">
        <v>129</v>
      </c>
      <c r="B40" s="8"/>
      <c r="C40" s="8">
        <v>1</v>
      </c>
    </row>
    <row r="41" spans="1:10" ht="15" x14ac:dyDescent="0.2">
      <c r="A41" s="9" t="s">
        <v>63</v>
      </c>
      <c r="C41" s="8">
        <v>330.32</v>
      </c>
      <c r="D41" s="8">
        <v>418.5</v>
      </c>
    </row>
    <row r="42" spans="1:10" ht="15" x14ac:dyDescent="0.2">
      <c r="A42" s="9" t="s">
        <v>62</v>
      </c>
      <c r="C42" s="16">
        <f>C41-$B$7</f>
        <v>107.38499999999999</v>
      </c>
      <c r="D42" s="16">
        <f>D41-$B$7</f>
        <v>195.565</v>
      </c>
    </row>
    <row r="43" spans="1:10" ht="15" x14ac:dyDescent="0.2">
      <c r="A43" s="9" t="s">
        <v>61</v>
      </c>
      <c r="C43" s="16">
        <v>1.774</v>
      </c>
      <c r="D43" s="16">
        <v>5.1210000000000004</v>
      </c>
    </row>
    <row r="44" spans="1:10" ht="15" x14ac:dyDescent="0.2">
      <c r="A44" s="9" t="s">
        <v>60</v>
      </c>
      <c r="C44" s="8">
        <f>SQRT((C43^2)+9)</f>
        <v>3.4852655565967998</v>
      </c>
      <c r="D44" s="8">
        <f>SQRT((D43^2)+9)</f>
        <v>5.9350350462318255</v>
      </c>
    </row>
    <row r="45" spans="1:10" ht="15" x14ac:dyDescent="0.2">
      <c r="A45" s="9" t="s">
        <v>59</v>
      </c>
      <c r="D45" s="8">
        <f>D42/$E$4</f>
        <v>1.006890790590631</v>
      </c>
    </row>
    <row r="47" spans="1:10" ht="15" x14ac:dyDescent="0.2">
      <c r="A47" s="10" t="s">
        <v>128</v>
      </c>
      <c r="C47" s="8">
        <v>1</v>
      </c>
    </row>
    <row r="48" spans="1:10" ht="15" x14ac:dyDescent="0.2">
      <c r="A48" s="9" t="s">
        <v>63</v>
      </c>
      <c r="C48" s="8">
        <v>324.30099999999999</v>
      </c>
    </row>
    <row r="49" spans="1:3" ht="15" x14ac:dyDescent="0.2">
      <c r="A49" s="9" t="s">
        <v>62</v>
      </c>
      <c r="C49" s="8">
        <f>C48-$B$7</f>
        <v>101.36599999999999</v>
      </c>
    </row>
    <row r="50" spans="1:3" ht="15" x14ac:dyDescent="0.2">
      <c r="A50" s="9" t="s">
        <v>61</v>
      </c>
      <c r="C50" s="8">
        <v>5.1159999999999997</v>
      </c>
    </row>
    <row r="51" spans="1:3" ht="15" x14ac:dyDescent="0.2">
      <c r="A51" s="9" t="s">
        <v>60</v>
      </c>
      <c r="C51" s="8">
        <f>SQRT((C50^2)+16)</f>
        <v>6.4941093307704643</v>
      </c>
    </row>
    <row r="52" spans="1:3" ht="15" x14ac:dyDescent="0.2">
      <c r="A52" s="9" t="s">
        <v>59</v>
      </c>
      <c r="C52" s="8">
        <f>C49/$E$4</f>
        <v>0.52189549192856532</v>
      </c>
    </row>
    <row r="53" spans="1:3" ht="15.75" customHeight="1" x14ac:dyDescent="0.2">
      <c r="C53" s="8" t="s">
        <v>127</v>
      </c>
    </row>
    <row r="54" spans="1:3" ht="15" x14ac:dyDescent="0.2">
      <c r="A54" s="9"/>
    </row>
    <row r="55" spans="1:3" ht="15" x14ac:dyDescent="0.2">
      <c r="A55" s="9"/>
    </row>
    <row r="56" spans="1:3" ht="15" x14ac:dyDescent="0.2">
      <c r="A56" s="9"/>
    </row>
    <row r="57" spans="1:3" ht="15" x14ac:dyDescent="0.2">
      <c r="A57" s="9"/>
    </row>
    <row r="58" spans="1:3" ht="15" x14ac:dyDescent="0.2">
      <c r="A58" s="9"/>
    </row>
    <row r="59" spans="1:3" ht="15" x14ac:dyDescent="0.2">
      <c r="A59" s="9"/>
    </row>
    <row r="61" spans="1:3" ht="15" x14ac:dyDescent="0.2">
      <c r="A61" s="9"/>
    </row>
    <row r="62" spans="1:3" ht="15" x14ac:dyDescent="0.2">
      <c r="A62" s="9"/>
    </row>
    <row r="63" spans="1:3" ht="15" x14ac:dyDescent="0.2">
      <c r="A63" s="9"/>
    </row>
    <row r="64" spans="1:3" ht="15" x14ac:dyDescent="0.2">
      <c r="A64" s="9"/>
    </row>
    <row r="65" spans="1:4" ht="15" x14ac:dyDescent="0.2">
      <c r="A65" s="9"/>
    </row>
    <row r="66" spans="1:4" ht="15" x14ac:dyDescent="0.2">
      <c r="A66" s="9"/>
    </row>
    <row r="68" spans="1:4" ht="15" x14ac:dyDescent="0.2">
      <c r="A68" s="9"/>
    </row>
    <row r="69" spans="1:4" ht="15" x14ac:dyDescent="0.2">
      <c r="A69" s="9"/>
      <c r="D69" s="11"/>
    </row>
    <row r="70" spans="1:4" ht="15" x14ac:dyDescent="0.2">
      <c r="A70" s="9"/>
    </row>
    <row r="71" spans="1:4" ht="15" x14ac:dyDescent="0.2">
      <c r="A71" s="9"/>
    </row>
    <row r="72" spans="1:4" ht="15" x14ac:dyDescent="0.2">
      <c r="A72" s="9"/>
    </row>
    <row r="73" spans="1:4" ht="15" x14ac:dyDescent="0.2">
      <c r="A73" s="9"/>
    </row>
    <row r="75" spans="1:4" ht="15" x14ac:dyDescent="0.2">
      <c r="A75" s="9"/>
    </row>
    <row r="76" spans="1:4" ht="15" x14ac:dyDescent="0.2">
      <c r="A76" s="9"/>
    </row>
    <row r="77" spans="1:4" ht="15" x14ac:dyDescent="0.2">
      <c r="A77" s="9"/>
    </row>
    <row r="78" spans="1:4" ht="15" x14ac:dyDescent="0.2">
      <c r="A78" s="9"/>
    </row>
    <row r="79" spans="1:4" ht="15" x14ac:dyDescent="0.2">
      <c r="A79" s="9"/>
    </row>
    <row r="80" spans="1:4" ht="15" x14ac:dyDescent="0.2">
      <c r="A80" s="9"/>
    </row>
  </sheetData>
  <mergeCells count="1">
    <mergeCell ref="G4:H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0A51-1F4A-4346-A7E7-926D4B940B48}">
  <sheetPr>
    <outlinePr summaryBelow="0" summaryRight="0"/>
  </sheetPr>
  <dimension ref="A1:W73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23" ht="16" x14ac:dyDescent="0.2">
      <c r="A1" s="12" t="s">
        <v>75</v>
      </c>
      <c r="B1" s="12"/>
      <c r="C1" s="15">
        <v>45215</v>
      </c>
      <c r="D1" s="12"/>
      <c r="E1" s="12"/>
      <c r="F1" s="12"/>
      <c r="G1" s="12"/>
      <c r="H1" s="12"/>
    </row>
    <row r="2" spans="1:23" ht="16" x14ac:dyDescent="0.2">
      <c r="A2" s="12"/>
      <c r="B2" s="12"/>
      <c r="C2" s="12"/>
      <c r="D2" s="12"/>
      <c r="E2" s="12"/>
      <c r="F2" s="12"/>
      <c r="G2" s="12"/>
      <c r="H2" s="12"/>
    </row>
    <row r="3" spans="1:23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23" ht="16" x14ac:dyDescent="0.2">
      <c r="A4" s="12" t="s">
        <v>27</v>
      </c>
      <c r="B4" s="13">
        <v>41.118000000000002</v>
      </c>
      <c r="C4" s="12"/>
      <c r="D4" s="12" t="s">
        <v>73</v>
      </c>
      <c r="E4" s="13">
        <f>AVERAGE(C8,D8,C14,D14,E14,F14,G14,H14,C28,D28,E28,F28,C35,D35,E35,C49)</f>
        <v>613.37412499999994</v>
      </c>
      <c r="F4" s="12"/>
      <c r="G4" s="55" t="s">
        <v>72</v>
      </c>
      <c r="H4" s="56"/>
    </row>
    <row r="5" spans="1:23" ht="16" x14ac:dyDescent="0.2">
      <c r="A5" s="12"/>
      <c r="B5" s="12"/>
      <c r="C5" s="17"/>
      <c r="D5" s="17"/>
      <c r="E5" s="17"/>
      <c r="F5" s="12"/>
      <c r="G5" s="12"/>
      <c r="H5" s="12"/>
    </row>
    <row r="6" spans="1:23" ht="15" x14ac:dyDescent="0.2">
      <c r="A6" s="10" t="s">
        <v>174</v>
      </c>
      <c r="B6" s="14" t="s">
        <v>70</v>
      </c>
      <c r="C6" s="16">
        <v>1</v>
      </c>
      <c r="D6" s="16">
        <v>1</v>
      </c>
      <c r="E6" s="17"/>
      <c r="P6" s="8"/>
    </row>
    <row r="7" spans="1:23" ht="16" x14ac:dyDescent="0.2">
      <c r="A7" s="9" t="s">
        <v>63</v>
      </c>
      <c r="B7" s="13">
        <v>250.816</v>
      </c>
      <c r="C7" s="16">
        <v>724.74599999999998</v>
      </c>
      <c r="D7" s="16">
        <v>516.02700000000004</v>
      </c>
      <c r="E7" s="17">
        <v>384.39699999999999</v>
      </c>
      <c r="F7" s="8">
        <v>699.64499999999998</v>
      </c>
      <c r="G7" s="8">
        <v>989.96500000000003</v>
      </c>
      <c r="H7" s="8">
        <v>856.81600000000003</v>
      </c>
      <c r="I7" s="8">
        <v>585.27700000000004</v>
      </c>
      <c r="J7" s="8">
        <v>649.57799999999997</v>
      </c>
      <c r="K7" s="8">
        <v>552.65599999999995</v>
      </c>
      <c r="L7" s="8">
        <v>698.77</v>
      </c>
      <c r="M7" s="8">
        <v>449.10500000000002</v>
      </c>
      <c r="N7" s="8">
        <v>495.00799999999998</v>
      </c>
      <c r="O7" s="8">
        <v>366.03100000000001</v>
      </c>
      <c r="P7" s="8">
        <v>875.58199999999999</v>
      </c>
      <c r="Q7" s="8">
        <v>1277.1089999999999</v>
      </c>
      <c r="R7" s="8">
        <v>1111.316</v>
      </c>
      <c r="S7" s="8">
        <v>2295.8359999999998</v>
      </c>
      <c r="T7" s="8">
        <v>2126.578</v>
      </c>
      <c r="U7" s="8">
        <v>1056.02</v>
      </c>
      <c r="V7" s="8">
        <v>1634.059</v>
      </c>
      <c r="W7" s="8">
        <v>1464.6949999999999</v>
      </c>
    </row>
    <row r="8" spans="1:23" ht="16" x14ac:dyDescent="0.2">
      <c r="A8" s="9" t="s">
        <v>62</v>
      </c>
      <c r="B8" s="12"/>
      <c r="C8" s="17">
        <f t="shared" ref="C8:W8" si="0">C7-$B$7</f>
        <v>473.92999999999995</v>
      </c>
      <c r="D8" s="17">
        <f t="shared" si="0"/>
        <v>265.21100000000001</v>
      </c>
      <c r="E8" s="17">
        <f t="shared" si="0"/>
        <v>133.58099999999999</v>
      </c>
      <c r="F8" s="17">
        <f t="shared" si="0"/>
        <v>448.82899999999995</v>
      </c>
      <c r="G8" s="17">
        <f t="shared" si="0"/>
        <v>739.149</v>
      </c>
      <c r="H8" s="17">
        <f t="shared" si="0"/>
        <v>606</v>
      </c>
      <c r="I8" s="17">
        <f t="shared" si="0"/>
        <v>334.46100000000001</v>
      </c>
      <c r="J8" s="17">
        <f t="shared" si="0"/>
        <v>398.76199999999994</v>
      </c>
      <c r="K8" s="17">
        <f t="shared" si="0"/>
        <v>301.83999999999992</v>
      </c>
      <c r="L8" s="17">
        <f t="shared" si="0"/>
        <v>447.95399999999995</v>
      </c>
      <c r="M8" s="17">
        <f t="shared" si="0"/>
        <v>198.28900000000002</v>
      </c>
      <c r="N8" s="17">
        <f t="shared" si="0"/>
        <v>244.19199999999998</v>
      </c>
      <c r="O8" s="17">
        <f t="shared" si="0"/>
        <v>115.215</v>
      </c>
      <c r="P8" s="17">
        <f t="shared" si="0"/>
        <v>624.76599999999996</v>
      </c>
      <c r="Q8" s="17">
        <f t="shared" si="0"/>
        <v>1026.2929999999999</v>
      </c>
      <c r="R8" s="17">
        <f t="shared" si="0"/>
        <v>860.5</v>
      </c>
      <c r="S8" s="17">
        <f t="shared" si="0"/>
        <v>2045.0199999999998</v>
      </c>
      <c r="T8" s="17">
        <f t="shared" si="0"/>
        <v>1875.7619999999999</v>
      </c>
      <c r="U8" s="17">
        <f t="shared" si="0"/>
        <v>805.20399999999995</v>
      </c>
      <c r="V8" s="17">
        <f t="shared" si="0"/>
        <v>1383.2429999999999</v>
      </c>
      <c r="W8" s="17">
        <f t="shared" si="0"/>
        <v>1213.8789999999999</v>
      </c>
    </row>
    <row r="9" spans="1:23" ht="16" x14ac:dyDescent="0.2">
      <c r="A9" s="9" t="s">
        <v>61</v>
      </c>
      <c r="B9" s="12"/>
      <c r="C9" s="16">
        <v>9.0239999999999991</v>
      </c>
      <c r="D9" s="16">
        <v>5.27</v>
      </c>
      <c r="E9" s="17">
        <v>4.101</v>
      </c>
      <c r="F9" s="8">
        <v>4.726</v>
      </c>
      <c r="G9" s="8">
        <v>2.0699999999999998</v>
      </c>
      <c r="H9" s="8">
        <v>5.1790000000000003</v>
      </c>
      <c r="I9" s="8">
        <v>4.048</v>
      </c>
      <c r="J9" s="8">
        <v>3.7949999999999999</v>
      </c>
      <c r="K9" s="8">
        <v>2.9620000000000002</v>
      </c>
      <c r="L9" s="8">
        <v>2.9689999999999999</v>
      </c>
      <c r="M9" s="8">
        <v>4.2050000000000001</v>
      </c>
      <c r="N9" s="8">
        <v>5.0019999999999998</v>
      </c>
      <c r="O9" s="8">
        <v>7.8179999999999996</v>
      </c>
      <c r="P9" s="8">
        <v>1.38</v>
      </c>
      <c r="Q9" s="8">
        <v>2.0609999999999999</v>
      </c>
      <c r="R9" s="8">
        <v>3.0190000000000001</v>
      </c>
      <c r="S9" s="8">
        <v>3.26</v>
      </c>
      <c r="T9" s="8">
        <v>3.3679999999999999</v>
      </c>
      <c r="U9" s="8">
        <v>3.153</v>
      </c>
      <c r="V9" s="8">
        <v>2.6890000000000001</v>
      </c>
      <c r="W9" s="8">
        <v>2.8530000000000002</v>
      </c>
    </row>
    <row r="10" spans="1:23" ht="16" x14ac:dyDescent="0.2">
      <c r="A10" s="9" t="s">
        <v>59</v>
      </c>
      <c r="B10" s="12"/>
      <c r="C10" s="17"/>
      <c r="D10" s="17"/>
      <c r="E10" s="17">
        <f t="shared" ref="E10:W10" si="1">E8/$E$4</f>
        <v>0.21778062450873681</v>
      </c>
      <c r="F10" s="17">
        <f t="shared" si="1"/>
        <v>0.73173774651808143</v>
      </c>
      <c r="G10" s="17">
        <f t="shared" si="1"/>
        <v>1.205054093209426</v>
      </c>
      <c r="H10" s="17">
        <f t="shared" si="1"/>
        <v>0.98797776968501905</v>
      </c>
      <c r="I10" s="17">
        <f t="shared" si="1"/>
        <v>0.54528058222214715</v>
      </c>
      <c r="J10" s="17">
        <f t="shared" si="1"/>
        <v>0.65011219702167899</v>
      </c>
      <c r="K10" s="17">
        <f t="shared" si="1"/>
        <v>0.49209770627347532</v>
      </c>
      <c r="L10" s="17">
        <f t="shared" si="1"/>
        <v>0.73031121095954288</v>
      </c>
      <c r="M10" s="17">
        <f t="shared" si="1"/>
        <v>0.32327578213378344</v>
      </c>
      <c r="N10" s="17">
        <f t="shared" si="1"/>
        <v>0.39811265269789464</v>
      </c>
      <c r="O10" s="17">
        <f t="shared" si="1"/>
        <v>0.18783805071659979</v>
      </c>
      <c r="P10" s="17">
        <f t="shared" si="1"/>
        <v>1.0185724740182023</v>
      </c>
      <c r="Q10" s="17">
        <f t="shared" si="1"/>
        <v>1.6731925234048632</v>
      </c>
      <c r="R10" s="17">
        <f t="shared" si="1"/>
        <v>1.4028958264256748</v>
      </c>
      <c r="S10" s="17">
        <f t="shared" si="1"/>
        <v>3.3340499976258373</v>
      </c>
      <c r="T10" s="17">
        <f t="shared" si="1"/>
        <v>3.0581042198348358</v>
      </c>
      <c r="U10" s="17">
        <f t="shared" si="1"/>
        <v>1.3127453004314455</v>
      </c>
      <c r="V10" s="17">
        <f t="shared" si="1"/>
        <v>2.2551375149709814</v>
      </c>
      <c r="W10" s="17">
        <f t="shared" si="1"/>
        <v>1.9790189225866024</v>
      </c>
    </row>
    <row r="12" spans="1:23" ht="15" x14ac:dyDescent="0.2">
      <c r="A12" s="10" t="s">
        <v>173</v>
      </c>
      <c r="B12" s="8"/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</row>
    <row r="13" spans="1:23" ht="15" x14ac:dyDescent="0.2">
      <c r="A13" s="9" t="s">
        <v>63</v>
      </c>
      <c r="C13" s="8">
        <v>709.31200000000001</v>
      </c>
      <c r="D13" s="8">
        <v>694.38300000000004</v>
      </c>
      <c r="E13" s="8">
        <v>727.34</v>
      </c>
      <c r="F13" s="16">
        <v>709.37099999999998</v>
      </c>
      <c r="G13" s="16">
        <v>803.80899999999997</v>
      </c>
      <c r="H13" s="16">
        <v>1324.2070000000001</v>
      </c>
      <c r="I13" s="16">
        <v>549.64499999999998</v>
      </c>
      <c r="J13" s="16">
        <v>675.03099999999995</v>
      </c>
      <c r="K13" s="16">
        <v>457.47699999999998</v>
      </c>
      <c r="L13" s="16">
        <v>1298.309</v>
      </c>
      <c r="M13" s="16">
        <v>1961.953</v>
      </c>
      <c r="N13" s="16">
        <v>1505.2809999999999</v>
      </c>
      <c r="O13" s="8">
        <v>1584.9690000000001</v>
      </c>
      <c r="P13" s="8">
        <v>2450.8589999999999</v>
      </c>
      <c r="Q13" s="8">
        <v>2146.8910000000001</v>
      </c>
    </row>
    <row r="14" spans="1:23" ht="15" x14ac:dyDescent="0.2">
      <c r="A14" s="9" t="s">
        <v>62</v>
      </c>
      <c r="C14" s="8">
        <f t="shared" ref="C14:Q14" si="2">C13-$B$7</f>
        <v>458.49599999999998</v>
      </c>
      <c r="D14" s="8">
        <f t="shared" si="2"/>
        <v>443.56700000000001</v>
      </c>
      <c r="E14" s="8">
        <f t="shared" si="2"/>
        <v>476.524</v>
      </c>
      <c r="F14" s="8">
        <f t="shared" si="2"/>
        <v>458.55499999999995</v>
      </c>
      <c r="G14" s="8">
        <f t="shared" si="2"/>
        <v>552.99299999999994</v>
      </c>
      <c r="H14" s="8">
        <f t="shared" si="2"/>
        <v>1073.3910000000001</v>
      </c>
      <c r="I14" s="8">
        <f t="shared" si="2"/>
        <v>298.82899999999995</v>
      </c>
      <c r="J14" s="8">
        <f t="shared" si="2"/>
        <v>424.21499999999992</v>
      </c>
      <c r="K14" s="8">
        <f t="shared" si="2"/>
        <v>206.66099999999997</v>
      </c>
      <c r="L14" s="8">
        <f t="shared" si="2"/>
        <v>1047.4929999999999</v>
      </c>
      <c r="M14" s="8">
        <f t="shared" si="2"/>
        <v>1711.1369999999999</v>
      </c>
      <c r="N14" s="8">
        <f t="shared" si="2"/>
        <v>1254.4649999999999</v>
      </c>
      <c r="O14" s="8">
        <f t="shared" si="2"/>
        <v>1334.153</v>
      </c>
      <c r="P14" s="8">
        <f t="shared" si="2"/>
        <v>2200.0430000000001</v>
      </c>
      <c r="Q14" s="8">
        <f t="shared" si="2"/>
        <v>1896.075</v>
      </c>
    </row>
    <row r="15" spans="1:23" ht="15" x14ac:dyDescent="0.2">
      <c r="A15" s="9" t="s">
        <v>61</v>
      </c>
      <c r="C15" s="8">
        <v>8.8209999999999997</v>
      </c>
      <c r="D15" s="8">
        <v>5.2439999999999998</v>
      </c>
      <c r="E15" s="8">
        <v>4.7789999999999999</v>
      </c>
      <c r="F15" s="16">
        <v>7.9829999999999997</v>
      </c>
      <c r="G15" s="16">
        <v>2.21</v>
      </c>
      <c r="H15" s="16">
        <v>3.2690000000000001</v>
      </c>
      <c r="I15" s="16">
        <v>4.4160000000000004</v>
      </c>
      <c r="J15" s="16">
        <v>5.1870000000000003</v>
      </c>
      <c r="K15" s="16">
        <v>6.0220000000000002</v>
      </c>
      <c r="L15" s="16">
        <v>2.8239999999999998</v>
      </c>
      <c r="M15" s="16">
        <v>3.04</v>
      </c>
      <c r="N15" s="16">
        <v>2.7480000000000002</v>
      </c>
      <c r="O15" s="8">
        <v>1.9079999999999999</v>
      </c>
      <c r="P15" s="8">
        <v>2.4369999999999998</v>
      </c>
      <c r="Q15" s="8">
        <v>3.4089999999999998</v>
      </c>
    </row>
    <row r="16" spans="1:23" ht="15" x14ac:dyDescent="0.2">
      <c r="A16" s="9" t="s">
        <v>60</v>
      </c>
      <c r="C16" s="8">
        <f t="shared" ref="C16:Q16" si="3">SQRT((C15^2)+1)</f>
        <v>8.8775019571949407</v>
      </c>
      <c r="D16" s="8">
        <f t="shared" si="3"/>
        <v>5.3384956682571163</v>
      </c>
      <c r="E16" s="8">
        <f t="shared" si="3"/>
        <v>4.8825035586264551</v>
      </c>
      <c r="F16" s="8">
        <f t="shared" si="3"/>
        <v>8.0453893007113084</v>
      </c>
      <c r="G16" s="8">
        <f t="shared" si="3"/>
        <v>2.4257163890281981</v>
      </c>
      <c r="H16" s="8">
        <f t="shared" si="3"/>
        <v>3.4185319948773336</v>
      </c>
      <c r="I16" s="8">
        <f t="shared" si="3"/>
        <v>4.5278091832584995</v>
      </c>
      <c r="J16" s="8">
        <f t="shared" si="3"/>
        <v>5.2825154046154941</v>
      </c>
      <c r="K16" s="8">
        <f t="shared" si="3"/>
        <v>6.1044642680582548</v>
      </c>
      <c r="L16" s="8">
        <f t="shared" si="3"/>
        <v>2.9958264302192137</v>
      </c>
      <c r="M16" s="8">
        <f t="shared" si="3"/>
        <v>3.2002499902351378</v>
      </c>
      <c r="N16" s="8">
        <f t="shared" si="3"/>
        <v>2.924295470707432</v>
      </c>
      <c r="O16" s="8">
        <f t="shared" si="3"/>
        <v>2.1541736234574964</v>
      </c>
      <c r="P16" s="8">
        <f t="shared" si="3"/>
        <v>2.6341922860717664</v>
      </c>
      <c r="Q16" s="8">
        <f t="shared" si="3"/>
        <v>3.5526442264882081</v>
      </c>
    </row>
    <row r="17" spans="1:22" ht="15" x14ac:dyDescent="0.2">
      <c r="A17" s="9" t="s">
        <v>59</v>
      </c>
      <c r="G17" s="8">
        <f t="shared" ref="G17:Q17" si="4">G14/$E$4</f>
        <v>0.90155906071192682</v>
      </c>
      <c r="H17" s="8">
        <f t="shared" si="4"/>
        <v>1.7499776339603503</v>
      </c>
      <c r="I17" s="8">
        <f t="shared" si="4"/>
        <v>0.48718879362575002</v>
      </c>
      <c r="J17" s="8">
        <f t="shared" si="4"/>
        <v>0.69160889367480238</v>
      </c>
      <c r="K17" s="8">
        <f t="shared" si="4"/>
        <v>0.33692487435788065</v>
      </c>
      <c r="L17" s="8">
        <f t="shared" si="4"/>
        <v>1.7077554420803127</v>
      </c>
      <c r="M17" s="8">
        <f t="shared" si="4"/>
        <v>2.7897117440355022</v>
      </c>
      <c r="N17" s="8">
        <f t="shared" si="4"/>
        <v>2.0451873479338571</v>
      </c>
      <c r="O17" s="8">
        <f t="shared" si="4"/>
        <v>2.1751047943210846</v>
      </c>
      <c r="P17" s="8">
        <f t="shared" si="4"/>
        <v>3.586788079787357</v>
      </c>
      <c r="Q17" s="8">
        <f t="shared" si="4"/>
        <v>3.0912210390355157</v>
      </c>
    </row>
    <row r="19" spans="1:22" ht="15" x14ac:dyDescent="0.2">
      <c r="A19" s="10" t="s">
        <v>172</v>
      </c>
    </row>
    <row r="20" spans="1:22" ht="15" x14ac:dyDescent="0.2">
      <c r="A20" s="9" t="s">
        <v>63</v>
      </c>
      <c r="C20" s="8">
        <v>721.57</v>
      </c>
      <c r="D20" s="8">
        <v>538.78899999999999</v>
      </c>
      <c r="E20" s="8">
        <v>552.57399999999996</v>
      </c>
      <c r="F20" s="8">
        <v>579.24199999999996</v>
      </c>
      <c r="G20" s="8">
        <v>1239.7539999999999</v>
      </c>
      <c r="H20" s="8">
        <v>655.47299999999996</v>
      </c>
    </row>
    <row r="21" spans="1:22" ht="15" x14ac:dyDescent="0.2">
      <c r="A21" s="9" t="s">
        <v>62</v>
      </c>
      <c r="C21" s="8">
        <f t="shared" ref="C21:H21" si="5">C20-$B$7</f>
        <v>470.75400000000002</v>
      </c>
      <c r="D21" s="8">
        <f t="shared" si="5"/>
        <v>287.97299999999996</v>
      </c>
      <c r="E21" s="8">
        <f t="shared" si="5"/>
        <v>301.75799999999992</v>
      </c>
      <c r="F21" s="8">
        <f t="shared" si="5"/>
        <v>328.42599999999993</v>
      </c>
      <c r="G21" s="8">
        <f t="shared" si="5"/>
        <v>988.93799999999987</v>
      </c>
      <c r="H21" s="8">
        <f t="shared" si="5"/>
        <v>404.65699999999993</v>
      </c>
    </row>
    <row r="22" spans="1:22" ht="15" x14ac:dyDescent="0.2">
      <c r="A22" s="9" t="s">
        <v>61</v>
      </c>
      <c r="C22" s="8">
        <v>6.0910000000000002</v>
      </c>
      <c r="D22" s="8">
        <v>8.8580000000000005</v>
      </c>
      <c r="E22" s="8">
        <v>2.746</v>
      </c>
      <c r="F22" s="8">
        <v>3.8170000000000002</v>
      </c>
      <c r="G22" s="8">
        <v>3.145</v>
      </c>
      <c r="H22" s="8">
        <v>2.8090000000000002</v>
      </c>
    </row>
    <row r="23" spans="1:22" ht="15" x14ac:dyDescent="0.2">
      <c r="A23" s="9" t="s">
        <v>60</v>
      </c>
      <c r="C23" s="8">
        <f t="shared" ref="C23:H23" si="6">SQRT((C22^2)+4)</f>
        <v>6.4109500855957382</v>
      </c>
      <c r="D23" s="8">
        <f t="shared" si="6"/>
        <v>9.0809781411475718</v>
      </c>
      <c r="E23" s="8">
        <f t="shared" si="6"/>
        <v>3.3971334975240524</v>
      </c>
      <c r="F23" s="8">
        <f t="shared" si="6"/>
        <v>4.3092329943970311</v>
      </c>
      <c r="G23" s="8">
        <f t="shared" si="6"/>
        <v>3.7270665408602515</v>
      </c>
      <c r="H23" s="8">
        <f t="shared" si="6"/>
        <v>3.4482576759865267</v>
      </c>
    </row>
    <row r="24" spans="1:22" ht="15" x14ac:dyDescent="0.2">
      <c r="A24" s="9" t="s">
        <v>59</v>
      </c>
      <c r="C24" s="8">
        <f t="shared" ref="C24:H24" si="7">C21/$E$4</f>
        <v>0.7674826517991773</v>
      </c>
      <c r="D24" s="8">
        <f t="shared" si="7"/>
        <v>0.46948997074175569</v>
      </c>
      <c r="E24" s="8">
        <f t="shared" si="7"/>
        <v>0.49196401951256086</v>
      </c>
      <c r="F24" s="8">
        <f t="shared" si="7"/>
        <v>0.53544156268411214</v>
      </c>
      <c r="G24" s="8">
        <f t="shared" si="7"/>
        <v>1.6122916825029097</v>
      </c>
      <c r="H24" s="8">
        <f t="shared" si="7"/>
        <v>0.65972297087034759</v>
      </c>
    </row>
    <row r="26" spans="1:22" ht="15" x14ac:dyDescent="0.2">
      <c r="A26" s="10" t="s">
        <v>171</v>
      </c>
      <c r="C26" s="8">
        <v>1</v>
      </c>
      <c r="D26" s="16">
        <v>1</v>
      </c>
      <c r="E26" s="16">
        <v>1</v>
      </c>
      <c r="F26" s="16">
        <v>1</v>
      </c>
      <c r="G26" s="17"/>
      <c r="H26" s="16"/>
    </row>
    <row r="27" spans="1:22" ht="15" x14ac:dyDescent="0.2">
      <c r="A27" s="9" t="s">
        <v>63</v>
      </c>
      <c r="C27" s="8">
        <v>626.81600000000003</v>
      </c>
      <c r="D27" s="16">
        <v>594.37099999999998</v>
      </c>
      <c r="E27" s="16">
        <v>1241.664</v>
      </c>
      <c r="F27" s="16">
        <v>1121.277</v>
      </c>
      <c r="G27" s="16">
        <v>1676.309</v>
      </c>
      <c r="H27" s="16">
        <v>1186.633</v>
      </c>
      <c r="I27" s="8">
        <v>1736.1369999999999</v>
      </c>
      <c r="J27" s="8">
        <v>901.20699999999999</v>
      </c>
      <c r="K27" s="8">
        <v>1428.5509999999999</v>
      </c>
      <c r="L27" s="8">
        <v>1838.0740000000001</v>
      </c>
      <c r="M27" s="8">
        <v>1796.0509999999999</v>
      </c>
      <c r="N27" s="8">
        <v>1596.875</v>
      </c>
      <c r="O27" s="8">
        <v>988.00800000000004</v>
      </c>
      <c r="P27" s="8">
        <v>946.18799999999999</v>
      </c>
      <c r="Q27" s="8">
        <v>990.42200000000003</v>
      </c>
      <c r="R27" s="8">
        <v>1428.922</v>
      </c>
      <c r="S27" s="8">
        <v>2330.1759999999999</v>
      </c>
      <c r="T27" s="8">
        <v>699.25800000000004</v>
      </c>
      <c r="U27" s="8">
        <v>1201.703</v>
      </c>
      <c r="V27" s="8">
        <v>1077.5429999999999</v>
      </c>
    </row>
    <row r="28" spans="1:22" ht="15" x14ac:dyDescent="0.2">
      <c r="A28" s="9" t="s">
        <v>62</v>
      </c>
      <c r="C28" s="8">
        <f t="shared" ref="C28:V28" si="8">C27-$B$7</f>
        <v>376</v>
      </c>
      <c r="D28" s="8">
        <f t="shared" si="8"/>
        <v>343.55499999999995</v>
      </c>
      <c r="E28" s="8">
        <f t="shared" si="8"/>
        <v>990.84799999999996</v>
      </c>
      <c r="F28" s="8">
        <f t="shared" si="8"/>
        <v>870.46100000000001</v>
      </c>
      <c r="G28" s="8">
        <f t="shared" si="8"/>
        <v>1425.4929999999999</v>
      </c>
      <c r="H28" s="8">
        <f t="shared" si="8"/>
        <v>935.81700000000001</v>
      </c>
      <c r="I28" s="8">
        <f t="shared" si="8"/>
        <v>1485.3209999999999</v>
      </c>
      <c r="J28" s="8">
        <f t="shared" si="8"/>
        <v>650.39099999999996</v>
      </c>
      <c r="K28" s="8">
        <f t="shared" si="8"/>
        <v>1177.7349999999999</v>
      </c>
      <c r="L28" s="8">
        <f t="shared" si="8"/>
        <v>1587.258</v>
      </c>
      <c r="M28" s="8">
        <f t="shared" si="8"/>
        <v>1545.2349999999999</v>
      </c>
      <c r="N28" s="8">
        <f t="shared" si="8"/>
        <v>1346.059</v>
      </c>
      <c r="O28" s="8">
        <f t="shared" si="8"/>
        <v>737.19200000000001</v>
      </c>
      <c r="P28" s="8">
        <f t="shared" si="8"/>
        <v>695.37199999999996</v>
      </c>
      <c r="Q28" s="8">
        <f t="shared" si="8"/>
        <v>739.60599999999999</v>
      </c>
      <c r="R28" s="8">
        <f t="shared" si="8"/>
        <v>1178.106</v>
      </c>
      <c r="S28" s="8">
        <f t="shared" si="8"/>
        <v>2079.36</v>
      </c>
      <c r="T28" s="8">
        <f t="shared" si="8"/>
        <v>448.44200000000001</v>
      </c>
      <c r="U28" s="8">
        <f t="shared" si="8"/>
        <v>950.88699999999994</v>
      </c>
      <c r="V28" s="8">
        <f t="shared" si="8"/>
        <v>826.72699999999986</v>
      </c>
    </row>
    <row r="29" spans="1:22" ht="15" x14ac:dyDescent="0.2">
      <c r="A29" s="9" t="s">
        <v>61</v>
      </c>
      <c r="C29" s="8">
        <v>4.6900000000000004</v>
      </c>
      <c r="D29" s="16">
        <v>2.1230000000000002</v>
      </c>
      <c r="E29" s="16">
        <v>2.879</v>
      </c>
      <c r="F29" s="16">
        <v>3.3740000000000001</v>
      </c>
      <c r="G29" s="16">
        <v>5.4370000000000003</v>
      </c>
      <c r="H29" s="16">
        <v>4.6980000000000004</v>
      </c>
      <c r="I29" s="8">
        <v>4.665</v>
      </c>
      <c r="J29" s="8">
        <v>4.1420000000000003</v>
      </c>
      <c r="K29" s="8">
        <v>3.641</v>
      </c>
      <c r="L29" s="8">
        <v>2.5819999999999999</v>
      </c>
      <c r="M29" s="8">
        <v>3.9409999999999998</v>
      </c>
      <c r="N29" s="8">
        <v>3.133</v>
      </c>
      <c r="O29" s="8">
        <v>1.494</v>
      </c>
      <c r="P29" s="8">
        <v>0.51900000000000002</v>
      </c>
      <c r="Q29" s="8">
        <v>2.448</v>
      </c>
      <c r="R29" s="8">
        <v>3.4889999999999999</v>
      </c>
      <c r="S29" s="8">
        <v>3.5819999999999999</v>
      </c>
      <c r="T29" s="8">
        <v>4.8019999999999996</v>
      </c>
      <c r="U29" s="8">
        <v>2.996</v>
      </c>
      <c r="V29" s="8">
        <v>2.6680000000000001</v>
      </c>
    </row>
    <row r="30" spans="1:22" ht="15" x14ac:dyDescent="0.2">
      <c r="A30" s="9" t="s">
        <v>60</v>
      </c>
      <c r="C30" s="8">
        <f t="shared" ref="C30:V30" si="9">SQRT((C29^2)+1)</f>
        <v>4.7954249029674108</v>
      </c>
      <c r="D30" s="8">
        <f t="shared" si="9"/>
        <v>2.3467272956183045</v>
      </c>
      <c r="E30" s="8">
        <f t="shared" si="9"/>
        <v>3.0477271859534936</v>
      </c>
      <c r="F30" s="8">
        <f t="shared" si="9"/>
        <v>3.5190731734364378</v>
      </c>
      <c r="G30" s="8">
        <f t="shared" si="9"/>
        <v>5.5281976267134301</v>
      </c>
      <c r="H30" s="8">
        <f t="shared" si="9"/>
        <v>4.8032493168687385</v>
      </c>
      <c r="I30" s="8">
        <f t="shared" si="9"/>
        <v>4.7709773631825172</v>
      </c>
      <c r="J30" s="8">
        <f t="shared" si="9"/>
        <v>4.2610050457609185</v>
      </c>
      <c r="K30" s="8">
        <f t="shared" si="9"/>
        <v>3.7758285183519655</v>
      </c>
      <c r="L30" s="8">
        <f t="shared" si="9"/>
        <v>2.768884974136701</v>
      </c>
      <c r="M30" s="8">
        <f t="shared" si="9"/>
        <v>4.0658923989697513</v>
      </c>
      <c r="N30" s="8">
        <f t="shared" si="9"/>
        <v>3.2887214841029029</v>
      </c>
      <c r="O30" s="8">
        <f t="shared" si="9"/>
        <v>1.7977864166802462</v>
      </c>
      <c r="P30" s="8">
        <f t="shared" si="9"/>
        <v>1.1266592208826944</v>
      </c>
      <c r="Q30" s="8">
        <f t="shared" si="9"/>
        <v>2.6443721372000577</v>
      </c>
      <c r="R30" s="8">
        <f t="shared" si="9"/>
        <v>3.6294794392584726</v>
      </c>
      <c r="S30" s="8">
        <f t="shared" si="9"/>
        <v>3.7189681364593592</v>
      </c>
      <c r="T30" s="8">
        <f t="shared" si="9"/>
        <v>4.9050182466531149</v>
      </c>
      <c r="U30" s="8">
        <f t="shared" si="9"/>
        <v>3.1584831802623232</v>
      </c>
      <c r="V30" s="8">
        <f t="shared" si="9"/>
        <v>2.8492497258050236</v>
      </c>
    </row>
    <row r="31" spans="1:22" ht="15" x14ac:dyDescent="0.2">
      <c r="A31" s="9" t="s">
        <v>59</v>
      </c>
      <c r="G31" s="8">
        <f t="shared" ref="G31:V31" si="10">G28/$E$4</f>
        <v>2.3240188033689879</v>
      </c>
      <c r="H31" s="8">
        <f t="shared" si="10"/>
        <v>1.5256871163256196</v>
      </c>
      <c r="I31" s="8">
        <f t="shared" si="10"/>
        <v>2.4215579683932709</v>
      </c>
      <c r="J31" s="8">
        <f t="shared" si="10"/>
        <v>1.0603495868039756</v>
      </c>
      <c r="K31" s="8">
        <f t="shared" si="10"/>
        <v>1.9200924068976664</v>
      </c>
      <c r="L31" s="8">
        <f t="shared" si="10"/>
        <v>2.5877485457998417</v>
      </c>
      <c r="M31" s="8">
        <f t="shared" si="10"/>
        <v>2.5192373414838785</v>
      </c>
      <c r="N31" s="8">
        <f t="shared" si="10"/>
        <v>2.1945154598753249</v>
      </c>
      <c r="O31" s="8">
        <f t="shared" si="10"/>
        <v>1.2018635445373573</v>
      </c>
      <c r="P31" s="8">
        <f t="shared" si="10"/>
        <v>1.1336832964709753</v>
      </c>
      <c r="Q31" s="8">
        <f t="shared" si="10"/>
        <v>1.2057991523525713</v>
      </c>
      <c r="R31" s="8">
        <f t="shared" si="10"/>
        <v>1.9206972579744868</v>
      </c>
      <c r="S31" s="8">
        <f t="shared" si="10"/>
        <v>3.3900354045746557</v>
      </c>
      <c r="T31" s="8">
        <f t="shared" si="10"/>
        <v>0.73110681021961932</v>
      </c>
      <c r="U31" s="8">
        <f t="shared" si="10"/>
        <v>1.5502561344595356</v>
      </c>
      <c r="V31" s="8">
        <f t="shared" si="10"/>
        <v>1.3478348145187897</v>
      </c>
    </row>
    <row r="33" spans="1:23" ht="15" x14ac:dyDescent="0.2">
      <c r="A33" s="10" t="s">
        <v>170</v>
      </c>
      <c r="C33" s="8">
        <v>1</v>
      </c>
      <c r="D33" s="8">
        <v>1</v>
      </c>
      <c r="E33" s="8">
        <v>1</v>
      </c>
      <c r="H33" s="16"/>
    </row>
    <row r="34" spans="1:23" ht="15" x14ac:dyDescent="0.2">
      <c r="A34" s="9" t="s">
        <v>63</v>
      </c>
      <c r="C34" s="8">
        <v>1093.0119999999999</v>
      </c>
      <c r="D34" s="8">
        <v>1060.1679999999999</v>
      </c>
      <c r="E34" s="8">
        <v>1239.375</v>
      </c>
      <c r="F34" s="8">
        <v>1816.2539999999999</v>
      </c>
      <c r="G34" s="8">
        <v>1196.625</v>
      </c>
      <c r="H34" s="16">
        <v>1576.1020000000001</v>
      </c>
      <c r="I34" s="8">
        <v>1349.1949999999999</v>
      </c>
      <c r="J34" s="8">
        <v>1815.289</v>
      </c>
      <c r="K34" s="8">
        <v>2849.6210000000001</v>
      </c>
      <c r="L34" s="8">
        <v>1963.2149999999999</v>
      </c>
      <c r="M34" s="8">
        <v>1816.66</v>
      </c>
      <c r="N34" s="8">
        <v>711.37900000000002</v>
      </c>
      <c r="O34" s="8">
        <v>1914.82</v>
      </c>
      <c r="P34" s="8">
        <v>1084.559</v>
      </c>
      <c r="Q34" s="8">
        <v>753.25800000000004</v>
      </c>
      <c r="R34" s="8">
        <v>921.78499999999997</v>
      </c>
      <c r="S34" s="8">
        <v>521.09799999999996</v>
      </c>
      <c r="T34" s="8">
        <v>623.98400000000004</v>
      </c>
      <c r="U34" s="8">
        <v>526.07000000000005</v>
      </c>
      <c r="V34" s="8">
        <v>617.12099999999998</v>
      </c>
      <c r="W34" s="8">
        <v>748.86300000000006</v>
      </c>
    </row>
    <row r="35" spans="1:23" ht="15" x14ac:dyDescent="0.2">
      <c r="A35" s="9" t="s">
        <v>62</v>
      </c>
      <c r="C35" s="8">
        <f t="shared" ref="C35:W35" si="11">C34-$B$7</f>
        <v>842.19599999999991</v>
      </c>
      <c r="D35" s="8">
        <f t="shared" si="11"/>
        <v>809.35199999999986</v>
      </c>
      <c r="E35" s="8">
        <f t="shared" si="11"/>
        <v>988.55899999999997</v>
      </c>
      <c r="F35" s="8">
        <f t="shared" si="11"/>
        <v>1565.4379999999999</v>
      </c>
      <c r="G35" s="8">
        <f t="shared" si="11"/>
        <v>945.80899999999997</v>
      </c>
      <c r="H35" s="8">
        <f t="shared" si="11"/>
        <v>1325.2860000000001</v>
      </c>
      <c r="I35" s="8">
        <f t="shared" si="11"/>
        <v>1098.3789999999999</v>
      </c>
      <c r="J35" s="8">
        <f t="shared" si="11"/>
        <v>1564.473</v>
      </c>
      <c r="K35" s="8">
        <f t="shared" si="11"/>
        <v>2598.8050000000003</v>
      </c>
      <c r="L35" s="8">
        <f t="shared" si="11"/>
        <v>1712.3989999999999</v>
      </c>
      <c r="M35" s="8">
        <f t="shared" si="11"/>
        <v>1565.8440000000001</v>
      </c>
      <c r="N35" s="8">
        <f t="shared" si="11"/>
        <v>460.56299999999999</v>
      </c>
      <c r="O35" s="8">
        <f t="shared" si="11"/>
        <v>1664.0039999999999</v>
      </c>
      <c r="P35" s="8">
        <f t="shared" si="11"/>
        <v>833.74299999999994</v>
      </c>
      <c r="Q35" s="8">
        <f t="shared" si="11"/>
        <v>502.44200000000001</v>
      </c>
      <c r="R35" s="8">
        <f t="shared" si="11"/>
        <v>670.96899999999994</v>
      </c>
      <c r="S35" s="8">
        <f t="shared" si="11"/>
        <v>270.28199999999993</v>
      </c>
      <c r="T35" s="8">
        <f t="shared" si="11"/>
        <v>373.16800000000001</v>
      </c>
      <c r="U35" s="8">
        <f t="shared" si="11"/>
        <v>275.25400000000002</v>
      </c>
      <c r="V35" s="8">
        <f t="shared" si="11"/>
        <v>366.30499999999995</v>
      </c>
      <c r="W35" s="8">
        <f t="shared" si="11"/>
        <v>498.04700000000003</v>
      </c>
    </row>
    <row r="36" spans="1:23" ht="15" x14ac:dyDescent="0.2">
      <c r="A36" s="9" t="s">
        <v>61</v>
      </c>
      <c r="C36" s="8">
        <v>4.2919999999999998</v>
      </c>
      <c r="D36" s="8">
        <v>4.2279999999999998</v>
      </c>
      <c r="E36" s="8">
        <v>1.409</v>
      </c>
      <c r="F36" s="8">
        <v>5.3390000000000004</v>
      </c>
      <c r="G36" s="8">
        <v>5.024</v>
      </c>
      <c r="H36" s="16">
        <v>4.1630000000000003</v>
      </c>
      <c r="I36" s="8">
        <v>2.2330000000000001</v>
      </c>
      <c r="J36" s="8">
        <v>3.7269999999999999</v>
      </c>
      <c r="K36" s="8">
        <v>2.8639999999999999</v>
      </c>
      <c r="L36" s="8">
        <v>2.5219999999999998</v>
      </c>
      <c r="M36" s="8">
        <v>3.3769999999999998</v>
      </c>
      <c r="N36" s="8">
        <v>5.3289999999999997</v>
      </c>
      <c r="O36" s="8">
        <v>4.0549999999999997</v>
      </c>
      <c r="P36" s="8">
        <v>2.294</v>
      </c>
      <c r="Q36" s="8">
        <v>0.33</v>
      </c>
      <c r="R36" s="21">
        <v>0.89</v>
      </c>
      <c r="S36" s="8">
        <v>1.569</v>
      </c>
      <c r="T36" s="8">
        <v>2.7090000000000001</v>
      </c>
      <c r="U36" s="8">
        <v>2.9710000000000001</v>
      </c>
      <c r="V36" s="8">
        <v>3.0379999999999998</v>
      </c>
      <c r="W36" s="8">
        <v>3.3460000000000001</v>
      </c>
    </row>
    <row r="37" spans="1:23" ht="15" x14ac:dyDescent="0.2">
      <c r="A37" s="9" t="s">
        <v>60</v>
      </c>
      <c r="C37" s="8">
        <f t="shared" ref="C37:W37" si="12">SQRT((C36^2)+4)</f>
        <v>4.7351097136180487</v>
      </c>
      <c r="D37" s="8">
        <f t="shared" si="12"/>
        <v>4.6771769263092882</v>
      </c>
      <c r="E37" s="8">
        <f t="shared" si="12"/>
        <v>2.4464833945890581</v>
      </c>
      <c r="F37" s="8">
        <f t="shared" si="12"/>
        <v>5.7013087094104984</v>
      </c>
      <c r="G37" s="8">
        <f t="shared" si="12"/>
        <v>5.4074555938999627</v>
      </c>
      <c r="H37" s="8">
        <f t="shared" si="12"/>
        <v>4.6185028959609848</v>
      </c>
      <c r="I37" s="8">
        <f t="shared" si="12"/>
        <v>2.9977139623386351</v>
      </c>
      <c r="J37" s="8">
        <f t="shared" si="12"/>
        <v>4.2297197306677425</v>
      </c>
      <c r="K37" s="8">
        <f t="shared" si="12"/>
        <v>3.4932071224019912</v>
      </c>
      <c r="L37" s="8">
        <f t="shared" si="12"/>
        <v>3.2187705727497882</v>
      </c>
      <c r="M37" s="8">
        <f t="shared" si="12"/>
        <v>3.92480942212485</v>
      </c>
      <c r="N37" s="8">
        <f t="shared" si="12"/>
        <v>5.6919452738057839</v>
      </c>
      <c r="O37" s="8">
        <f t="shared" si="12"/>
        <v>4.5213963551097791</v>
      </c>
      <c r="P37" s="8">
        <f t="shared" si="12"/>
        <v>3.0434250442552386</v>
      </c>
      <c r="Q37" s="8">
        <f t="shared" si="12"/>
        <v>2.0270421801235416</v>
      </c>
      <c r="R37" s="8">
        <f t="shared" si="12"/>
        <v>2.1890865674979598</v>
      </c>
      <c r="S37" s="8">
        <f t="shared" si="12"/>
        <v>2.5419994099133851</v>
      </c>
      <c r="T37" s="8">
        <f t="shared" si="12"/>
        <v>3.367295799302461</v>
      </c>
      <c r="U37" s="8">
        <f t="shared" si="12"/>
        <v>3.5814579433521203</v>
      </c>
      <c r="V37" s="8">
        <f t="shared" si="12"/>
        <v>3.6372302649131245</v>
      </c>
      <c r="W37" s="8">
        <f t="shared" si="12"/>
        <v>3.8981682877987707</v>
      </c>
    </row>
    <row r="38" spans="1:23" ht="15" x14ac:dyDescent="0.2">
      <c r="A38" s="9" t="s">
        <v>59</v>
      </c>
      <c r="F38" s="8">
        <f t="shared" ref="F38:W38" si="13">F35/$E$4</f>
        <v>2.5521748247857703</v>
      </c>
      <c r="G38" s="8">
        <f t="shared" si="13"/>
        <v>1.541977337240954</v>
      </c>
      <c r="H38" s="8">
        <f t="shared" si="13"/>
        <v>2.1606486905524425</v>
      </c>
      <c r="I38" s="8">
        <f t="shared" si="13"/>
        <v>1.7907162288595073</v>
      </c>
      <c r="J38" s="8">
        <f t="shared" si="13"/>
        <v>2.5506015598554961</v>
      </c>
      <c r="K38" s="8">
        <f t="shared" si="13"/>
        <v>4.2369002768090365</v>
      </c>
      <c r="L38" s="8">
        <f t="shared" si="13"/>
        <v>2.7917692158925029</v>
      </c>
      <c r="M38" s="8">
        <f t="shared" si="13"/>
        <v>2.5528367372849323</v>
      </c>
      <c r="N38" s="8">
        <f t="shared" si="13"/>
        <v>0.75086799593967224</v>
      </c>
      <c r="O38" s="8">
        <f t="shared" si="13"/>
        <v>2.7128695720576737</v>
      </c>
      <c r="P38" s="8">
        <f t="shared" si="13"/>
        <v>1.3592731842087404</v>
      </c>
      <c r="Q38" s="8">
        <f t="shared" si="13"/>
        <v>0.81914443326085862</v>
      </c>
      <c r="R38" s="8">
        <f t="shared" si="13"/>
        <v>1.0938984424880982</v>
      </c>
      <c r="S38" s="8">
        <f t="shared" si="13"/>
        <v>0.44064786723763405</v>
      </c>
      <c r="T38" s="8">
        <f t="shared" si="13"/>
        <v>0.60838562435283694</v>
      </c>
      <c r="U38" s="8">
        <f t="shared" si="13"/>
        <v>0.44875384986283867</v>
      </c>
      <c r="V38" s="8">
        <f t="shared" si="13"/>
        <v>0.59719669459483637</v>
      </c>
      <c r="W38" s="8">
        <f t="shared" si="13"/>
        <v>0.81197914894111334</v>
      </c>
    </row>
    <row r="40" spans="1:23" ht="15" x14ac:dyDescent="0.2">
      <c r="A40" s="10" t="s">
        <v>169</v>
      </c>
      <c r="C40" s="16"/>
      <c r="D40" s="16"/>
    </row>
    <row r="41" spans="1:23" ht="15" x14ac:dyDescent="0.2">
      <c r="A41" s="9" t="s">
        <v>63</v>
      </c>
      <c r="C41" s="16">
        <v>632.28499999999997</v>
      </c>
      <c r="D41" s="16">
        <v>1171.7850000000001</v>
      </c>
      <c r="E41" s="8">
        <v>938.33199999999999</v>
      </c>
      <c r="F41" s="8">
        <v>442.30900000000003</v>
      </c>
      <c r="G41" s="8">
        <v>566.44500000000005</v>
      </c>
      <c r="H41" s="8">
        <v>1036.0309999999999</v>
      </c>
      <c r="I41" s="8">
        <v>771.28899999999999</v>
      </c>
      <c r="J41" s="8">
        <v>568.98400000000004</v>
      </c>
      <c r="K41" s="8">
        <v>631.80100000000004</v>
      </c>
      <c r="L41" s="8">
        <v>595.39800000000002</v>
      </c>
    </row>
    <row r="42" spans="1:23" ht="15" x14ac:dyDescent="0.2">
      <c r="A42" s="9" t="s">
        <v>62</v>
      </c>
      <c r="C42" s="17">
        <f t="shared" ref="C42:L42" si="14">C41-$B$7</f>
        <v>381.46899999999994</v>
      </c>
      <c r="D42" s="17">
        <f t="shared" si="14"/>
        <v>920.96900000000005</v>
      </c>
      <c r="E42" s="17">
        <f t="shared" si="14"/>
        <v>687.51599999999996</v>
      </c>
      <c r="F42" s="17">
        <f t="shared" si="14"/>
        <v>191.49300000000002</v>
      </c>
      <c r="G42" s="17">
        <f t="shared" si="14"/>
        <v>315.62900000000002</v>
      </c>
      <c r="H42" s="17">
        <f t="shared" si="14"/>
        <v>785.21499999999992</v>
      </c>
      <c r="I42" s="17">
        <f t="shared" si="14"/>
        <v>520.47299999999996</v>
      </c>
      <c r="J42" s="17">
        <f t="shared" si="14"/>
        <v>318.16800000000001</v>
      </c>
      <c r="K42" s="17">
        <f t="shared" si="14"/>
        <v>380.98500000000001</v>
      </c>
      <c r="L42" s="17">
        <f t="shared" si="14"/>
        <v>344.58199999999999</v>
      </c>
    </row>
    <row r="43" spans="1:23" ht="15" x14ac:dyDescent="0.2">
      <c r="A43" s="9" t="s">
        <v>61</v>
      </c>
      <c r="C43" s="16">
        <v>4.3680000000000003</v>
      </c>
      <c r="D43" s="16">
        <v>2.222</v>
      </c>
      <c r="E43" s="8">
        <v>5.0810000000000004</v>
      </c>
      <c r="F43" s="8">
        <v>5.0999999999999996</v>
      </c>
      <c r="G43" s="8">
        <v>0.78200000000000003</v>
      </c>
      <c r="H43" s="8">
        <v>3.149</v>
      </c>
      <c r="I43" s="8">
        <v>2.41</v>
      </c>
      <c r="J43" s="8">
        <v>3.7170000000000001</v>
      </c>
      <c r="K43" s="8">
        <v>3.964</v>
      </c>
      <c r="L43" s="8">
        <v>1.694</v>
      </c>
    </row>
    <row r="44" spans="1:23" ht="15" x14ac:dyDescent="0.2">
      <c r="A44" s="9" t="s">
        <v>60</v>
      </c>
      <c r="C44" s="8">
        <f t="shared" ref="C44:L44" si="15">SQRT((C43^2)+9)</f>
        <v>5.2990021702203522</v>
      </c>
      <c r="D44" s="8">
        <f t="shared" si="15"/>
        <v>3.7332672017952317</v>
      </c>
      <c r="E44" s="8">
        <f t="shared" si="15"/>
        <v>5.9005559907520588</v>
      </c>
      <c r="F44" s="8">
        <f t="shared" si="15"/>
        <v>5.9169248769948055</v>
      </c>
      <c r="G44" s="8">
        <f t="shared" si="15"/>
        <v>3.1002457967070933</v>
      </c>
      <c r="H44" s="8">
        <f t="shared" si="15"/>
        <v>4.3492759167475228</v>
      </c>
      <c r="I44" s="8">
        <f t="shared" si="15"/>
        <v>3.8481294157031671</v>
      </c>
      <c r="J44" s="8">
        <f t="shared" si="15"/>
        <v>4.7766189925511116</v>
      </c>
      <c r="K44" s="8">
        <f t="shared" si="15"/>
        <v>4.9712469260739809</v>
      </c>
      <c r="L44" s="8">
        <f t="shared" si="15"/>
        <v>3.4452338091920556</v>
      </c>
    </row>
    <row r="45" spans="1:23" ht="15" x14ac:dyDescent="0.2">
      <c r="A45" s="9" t="s">
        <v>59</v>
      </c>
      <c r="C45" s="8">
        <f t="shared" ref="C45:L45" si="16">C42/$E$4</f>
        <v>0.62191896340589847</v>
      </c>
      <c r="D45" s="8">
        <f t="shared" si="16"/>
        <v>1.501480030641984</v>
      </c>
      <c r="E45" s="8">
        <f t="shared" si="16"/>
        <v>1.1208754526448275</v>
      </c>
      <c r="F45" s="8">
        <f t="shared" si="16"/>
        <v>0.31219608424140821</v>
      </c>
      <c r="G45" s="8">
        <f t="shared" si="16"/>
        <v>0.51457827634969122</v>
      </c>
      <c r="H45" s="8">
        <f t="shared" si="16"/>
        <v>1.2801567069690134</v>
      </c>
      <c r="I45" s="8">
        <f t="shared" si="16"/>
        <v>0.84854084772486937</v>
      </c>
      <c r="J45" s="8">
        <f t="shared" si="16"/>
        <v>0.51871767495898202</v>
      </c>
      <c r="K45" s="8">
        <f t="shared" si="16"/>
        <v>0.6211298854512326</v>
      </c>
      <c r="L45" s="8">
        <f t="shared" si="16"/>
        <v>0.56178111523696905</v>
      </c>
    </row>
    <row r="47" spans="1:23" ht="15" x14ac:dyDescent="0.2">
      <c r="A47" s="10" t="s">
        <v>168</v>
      </c>
      <c r="C47" s="8">
        <v>1</v>
      </c>
      <c r="M47" s="17"/>
    </row>
    <row r="48" spans="1:23" ht="15" x14ac:dyDescent="0.2">
      <c r="A48" s="9" t="s">
        <v>63</v>
      </c>
      <c r="C48" s="8">
        <v>641.16399999999999</v>
      </c>
      <c r="D48" s="16"/>
      <c r="M48" s="16"/>
    </row>
    <row r="49" spans="1:13" ht="15" x14ac:dyDescent="0.2">
      <c r="A49" s="9" t="s">
        <v>62</v>
      </c>
      <c r="C49" s="8">
        <f>C48-$B$7</f>
        <v>390.34799999999996</v>
      </c>
      <c r="M49" s="16"/>
    </row>
    <row r="50" spans="1:13" ht="15" x14ac:dyDescent="0.2">
      <c r="A50" s="9" t="s">
        <v>61</v>
      </c>
      <c r="C50" s="8">
        <v>4.9619999999999997</v>
      </c>
      <c r="D50" s="16"/>
      <c r="M50" s="16"/>
    </row>
    <row r="51" spans="1:13" ht="15" x14ac:dyDescent="0.2">
      <c r="A51" s="9" t="s">
        <v>60</v>
      </c>
      <c r="C51" s="8">
        <f>SQRT((C50^2)+16)</f>
        <v>6.3734954302956863</v>
      </c>
    </row>
    <row r="52" spans="1:13" ht="15" x14ac:dyDescent="0.2">
      <c r="A52" s="9" t="s">
        <v>59</v>
      </c>
    </row>
    <row r="54" spans="1:13" ht="15" x14ac:dyDescent="0.2">
      <c r="A54" s="10" t="s">
        <v>167</v>
      </c>
    </row>
    <row r="55" spans="1:13" ht="15" x14ac:dyDescent="0.2">
      <c r="A55" s="9" t="s">
        <v>63</v>
      </c>
      <c r="C55" s="8">
        <v>1281.508</v>
      </c>
    </row>
    <row r="56" spans="1:13" ht="15" x14ac:dyDescent="0.2">
      <c r="A56" s="9" t="s">
        <v>62</v>
      </c>
      <c r="C56" s="8">
        <f>C55-$B$7</f>
        <v>1030.692</v>
      </c>
    </row>
    <row r="57" spans="1:13" ht="15" x14ac:dyDescent="0.2">
      <c r="A57" s="9" t="s">
        <v>61</v>
      </c>
      <c r="C57" s="8">
        <v>8.3559999999999999</v>
      </c>
    </row>
    <row r="58" spans="1:13" ht="15" x14ac:dyDescent="0.2">
      <c r="A58" s="9" t="s">
        <v>60</v>
      </c>
      <c r="C58" s="8">
        <f>SQRT((C57^2)+25)</f>
        <v>9.7376966475650697</v>
      </c>
    </row>
    <row r="59" spans="1:13" ht="15" x14ac:dyDescent="0.2">
      <c r="A59" s="9" t="s">
        <v>59</v>
      </c>
      <c r="C59" s="8">
        <f>C56/$E$4</f>
        <v>1.6803643290300192</v>
      </c>
    </row>
    <row r="61" spans="1:13" ht="15" x14ac:dyDescent="0.2">
      <c r="A61" s="10" t="s">
        <v>166</v>
      </c>
    </row>
    <row r="62" spans="1:13" ht="15" x14ac:dyDescent="0.2">
      <c r="A62" s="9" t="s">
        <v>63</v>
      </c>
      <c r="C62" s="8">
        <v>467.52699999999999</v>
      </c>
      <c r="D62" s="11"/>
    </row>
    <row r="63" spans="1:13" ht="15" x14ac:dyDescent="0.2">
      <c r="A63" s="9" t="s">
        <v>62</v>
      </c>
      <c r="C63" s="8">
        <f>C62-$B$7</f>
        <v>216.71099999999998</v>
      </c>
    </row>
    <row r="64" spans="1:13" ht="15" x14ac:dyDescent="0.2">
      <c r="A64" s="9" t="s">
        <v>61</v>
      </c>
      <c r="C64" s="8">
        <v>8.3369999999999997</v>
      </c>
    </row>
    <row r="65" spans="1:3" ht="15" x14ac:dyDescent="0.2">
      <c r="A65" s="9" t="s">
        <v>60</v>
      </c>
      <c r="C65" s="8">
        <f>SQRT((C64^2)+36)</f>
        <v>10.27159038318799</v>
      </c>
    </row>
    <row r="66" spans="1:3" ht="15" x14ac:dyDescent="0.2">
      <c r="A66" s="9" t="s">
        <v>59</v>
      </c>
      <c r="C66" s="8">
        <f>C63/$E$4</f>
        <v>0.35330965420166688</v>
      </c>
    </row>
    <row r="68" spans="1:3" ht="15" x14ac:dyDescent="0.2">
      <c r="A68" s="9"/>
    </row>
    <row r="69" spans="1:3" ht="15" x14ac:dyDescent="0.2">
      <c r="A69" s="9"/>
    </row>
    <row r="70" spans="1:3" ht="15" x14ac:dyDescent="0.2">
      <c r="A70" s="9"/>
    </row>
    <row r="71" spans="1:3" ht="15" x14ac:dyDescent="0.2">
      <c r="A71" s="9"/>
    </row>
    <row r="72" spans="1:3" ht="15" x14ac:dyDescent="0.2">
      <c r="A72" s="9"/>
    </row>
    <row r="73" spans="1:3" ht="15" x14ac:dyDescent="0.2">
      <c r="A73" s="9"/>
    </row>
  </sheetData>
  <mergeCells count="1">
    <mergeCell ref="G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3C8C-2705-0E43-9020-440F00542CA0}">
  <dimension ref="A1:U64"/>
  <sheetViews>
    <sheetView workbookViewId="0">
      <selection activeCell="F45" sqref="F45"/>
    </sheetView>
  </sheetViews>
  <sheetFormatPr baseColWidth="10" defaultRowHeight="16" x14ac:dyDescent="0.2"/>
  <cols>
    <col min="1" max="1" width="20.83203125" style="30" bestFit="1" customWidth="1"/>
    <col min="2" max="2" width="17.5" style="30" bestFit="1" customWidth="1"/>
    <col min="3" max="16384" width="10.83203125" style="30"/>
  </cols>
  <sheetData>
    <row r="1" spans="1:19" x14ac:dyDescent="0.2">
      <c r="A1" s="30" t="s">
        <v>518</v>
      </c>
      <c r="B1" s="42">
        <v>45236</v>
      </c>
      <c r="C1" s="30" t="s">
        <v>517</v>
      </c>
    </row>
    <row r="2" spans="1:19" x14ac:dyDescent="0.2">
      <c r="A2" s="30" t="s">
        <v>27</v>
      </c>
      <c r="B2" s="30">
        <v>50.104999999999997</v>
      </c>
      <c r="D2" s="30" t="s">
        <v>73</v>
      </c>
      <c r="E2" s="30">
        <f>AVERAGE(C6:H6,C12:H12,C19:D19,C33:K33,C47,C54:E54,C61)</f>
        <v>2514.2516071428572</v>
      </c>
      <c r="I2" s="30" t="s">
        <v>496</v>
      </c>
      <c r="J2" s="30" t="s">
        <v>495</v>
      </c>
    </row>
    <row r="3" spans="1:19" ht="17" thickBot="1" x14ac:dyDescent="0.25"/>
    <row r="4" spans="1:19" ht="17" thickBot="1" x14ac:dyDescent="0.25">
      <c r="A4" s="41" t="s">
        <v>516</v>
      </c>
      <c r="B4" s="40" t="s">
        <v>70</v>
      </c>
      <c r="C4" s="30">
        <v>1</v>
      </c>
      <c r="D4" s="30">
        <v>1</v>
      </c>
      <c r="E4" s="30">
        <v>1</v>
      </c>
      <c r="F4" s="30">
        <v>1</v>
      </c>
      <c r="G4" s="30">
        <v>1</v>
      </c>
      <c r="H4" s="30">
        <v>1</v>
      </c>
    </row>
    <row r="5" spans="1:19" x14ac:dyDescent="0.2">
      <c r="A5" s="39" t="s">
        <v>63</v>
      </c>
      <c r="B5" s="30">
        <v>309.87400000000002</v>
      </c>
      <c r="C5" s="30">
        <v>2245.808</v>
      </c>
      <c r="D5" s="30">
        <v>2659.8270000000002</v>
      </c>
      <c r="E5" s="30">
        <v>3096.538</v>
      </c>
      <c r="F5" s="30">
        <v>2491.8850000000002</v>
      </c>
      <c r="G5" s="30">
        <v>4001</v>
      </c>
      <c r="H5" s="30">
        <v>3463.25</v>
      </c>
      <c r="I5" s="30">
        <v>3302.288</v>
      </c>
      <c r="J5" s="30">
        <v>5971.6350000000002</v>
      </c>
      <c r="K5" s="30">
        <v>3119</v>
      </c>
      <c r="L5" s="30">
        <v>4500</v>
      </c>
      <c r="M5" s="30">
        <v>4423.9040000000005</v>
      </c>
      <c r="N5" s="30">
        <v>5927.1540000000005</v>
      </c>
      <c r="O5" s="30">
        <v>5170.9229999999998</v>
      </c>
      <c r="P5" s="30">
        <v>6244.9620000000004</v>
      </c>
      <c r="Q5" s="30">
        <v>8431.7309999999998</v>
      </c>
      <c r="R5" s="30">
        <v>5342.3649999999998</v>
      </c>
      <c r="S5" s="30">
        <v>2362.6350000000002</v>
      </c>
    </row>
    <row r="6" spans="1:19" x14ac:dyDescent="0.2">
      <c r="A6" s="39" t="s">
        <v>62</v>
      </c>
      <c r="C6" s="30">
        <f t="shared" ref="C6:S6" si="0">C5-$B$5</f>
        <v>1935.934</v>
      </c>
      <c r="D6" s="30">
        <f t="shared" si="0"/>
        <v>2349.9530000000004</v>
      </c>
      <c r="E6" s="30">
        <f t="shared" si="0"/>
        <v>2786.6639999999998</v>
      </c>
      <c r="F6" s="30">
        <f t="shared" si="0"/>
        <v>2182.0110000000004</v>
      </c>
      <c r="G6" s="30">
        <f t="shared" si="0"/>
        <v>3691.1260000000002</v>
      </c>
      <c r="H6" s="30">
        <f t="shared" si="0"/>
        <v>3153.3760000000002</v>
      </c>
      <c r="I6" s="30">
        <f t="shared" si="0"/>
        <v>2992.4139999999998</v>
      </c>
      <c r="J6" s="30">
        <f t="shared" si="0"/>
        <v>5661.7610000000004</v>
      </c>
      <c r="K6" s="30">
        <f t="shared" si="0"/>
        <v>2809.1260000000002</v>
      </c>
      <c r="L6" s="30">
        <f t="shared" si="0"/>
        <v>4190.1260000000002</v>
      </c>
      <c r="M6" s="30">
        <f t="shared" si="0"/>
        <v>4114.0300000000007</v>
      </c>
      <c r="N6" s="30">
        <f t="shared" si="0"/>
        <v>5617.2800000000007</v>
      </c>
      <c r="O6" s="30">
        <f t="shared" si="0"/>
        <v>4861.049</v>
      </c>
      <c r="P6" s="30">
        <f t="shared" si="0"/>
        <v>5935.0880000000006</v>
      </c>
      <c r="Q6" s="30">
        <f t="shared" si="0"/>
        <v>8121.857</v>
      </c>
      <c r="R6" s="30">
        <f t="shared" si="0"/>
        <v>5032.491</v>
      </c>
      <c r="S6" s="30">
        <f t="shared" si="0"/>
        <v>2052.7610000000004</v>
      </c>
    </row>
    <row r="7" spans="1:19" x14ac:dyDescent="0.2">
      <c r="A7" s="39" t="s">
        <v>61</v>
      </c>
      <c r="C7" s="30">
        <v>1.6779999999999999</v>
      </c>
      <c r="D7" s="30">
        <v>1.26</v>
      </c>
      <c r="E7" s="30">
        <v>1.038</v>
      </c>
      <c r="G7" s="30">
        <v>2.17</v>
      </c>
      <c r="H7" s="30">
        <v>2.1629999999999998</v>
      </c>
      <c r="I7" s="30">
        <v>3.47</v>
      </c>
      <c r="J7" s="30">
        <v>1.1890000000000001</v>
      </c>
      <c r="K7" s="30">
        <v>2.9889999999999999</v>
      </c>
      <c r="L7" s="30">
        <v>2.23</v>
      </c>
      <c r="M7" s="30">
        <v>2.6259999999999999</v>
      </c>
      <c r="N7" s="30">
        <v>2.0640000000000001</v>
      </c>
      <c r="O7" s="30">
        <v>0.97099999999999997</v>
      </c>
      <c r="P7" s="30">
        <v>2.3010000000000002</v>
      </c>
      <c r="Q7" s="30">
        <v>1.5960000000000001</v>
      </c>
      <c r="R7" s="30">
        <v>1.8160000000000001</v>
      </c>
      <c r="S7" s="30">
        <v>4.8250000000000002</v>
      </c>
    </row>
    <row r="8" spans="1:19" x14ac:dyDescent="0.2">
      <c r="A8" s="39" t="s">
        <v>59</v>
      </c>
      <c r="I8" s="30">
        <f t="shared" ref="I8:S8" si="1">I6/$E$2</f>
        <v>1.1901808042992628</v>
      </c>
      <c r="J8" s="30">
        <f t="shared" si="1"/>
        <v>2.2518673087113612</v>
      </c>
      <c r="K8" s="30">
        <f t="shared" si="1"/>
        <v>1.1172811790273576</v>
      </c>
      <c r="L8" s="30">
        <f t="shared" si="1"/>
        <v>1.6665499936824428</v>
      </c>
      <c r="M8" s="30">
        <f t="shared" si="1"/>
        <v>1.6362841285702103</v>
      </c>
      <c r="N8" s="30">
        <f t="shared" si="1"/>
        <v>2.2341757619013158</v>
      </c>
      <c r="O8" s="30">
        <f t="shared" si="1"/>
        <v>1.9333979885664641</v>
      </c>
      <c r="P8" s="30">
        <f t="shared" si="1"/>
        <v>2.3605783856869085</v>
      </c>
      <c r="Q8" s="30">
        <f t="shared" si="1"/>
        <v>3.2303278545895044</v>
      </c>
      <c r="R8" s="30">
        <f t="shared" si="1"/>
        <v>2.0015860726519796</v>
      </c>
      <c r="S8" s="30">
        <f t="shared" si="1"/>
        <v>0.81645010951498009</v>
      </c>
    </row>
    <row r="10" spans="1:19" x14ac:dyDescent="0.2">
      <c r="A10" s="39" t="s">
        <v>515</v>
      </c>
      <c r="C10" s="30">
        <v>1</v>
      </c>
      <c r="D10" s="30">
        <v>1</v>
      </c>
      <c r="E10" s="30">
        <v>1</v>
      </c>
      <c r="F10" s="30">
        <v>1</v>
      </c>
      <c r="G10" s="30">
        <v>1</v>
      </c>
      <c r="H10" s="30">
        <v>1</v>
      </c>
    </row>
    <row r="11" spans="1:19" x14ac:dyDescent="0.2">
      <c r="A11" s="39" t="s">
        <v>63</v>
      </c>
      <c r="C11" s="30">
        <v>1842.942</v>
      </c>
      <c r="D11" s="30">
        <v>2013.942</v>
      </c>
      <c r="E11" s="30">
        <v>3165.038</v>
      </c>
      <c r="F11" s="30">
        <v>2547.942</v>
      </c>
      <c r="G11" s="30">
        <v>1838.404</v>
      </c>
      <c r="H11" s="30">
        <v>1606.096</v>
      </c>
      <c r="I11" s="30">
        <v>3901.1350000000002</v>
      </c>
      <c r="J11" s="30">
        <v>4610.0770000000002</v>
      </c>
      <c r="K11" s="30">
        <v>4444.1350000000002</v>
      </c>
      <c r="L11" s="30">
        <v>4961.692</v>
      </c>
      <c r="M11" s="30">
        <v>5029.1540000000005</v>
      </c>
      <c r="N11" s="30">
        <v>5413.8270000000002</v>
      </c>
      <c r="O11" s="30">
        <v>4638.7309999999998</v>
      </c>
      <c r="P11" s="30">
        <v>2667.558</v>
      </c>
      <c r="Q11" s="30">
        <v>2123.75</v>
      </c>
    </row>
    <row r="12" spans="1:19" x14ac:dyDescent="0.2">
      <c r="A12" s="39" t="s">
        <v>62</v>
      </c>
      <c r="C12" s="30">
        <f t="shared" ref="C12:Q12" si="2">C11-$B$5</f>
        <v>1533.068</v>
      </c>
      <c r="D12" s="30">
        <f t="shared" si="2"/>
        <v>1704.068</v>
      </c>
      <c r="E12" s="30">
        <f t="shared" si="2"/>
        <v>2855.1639999999998</v>
      </c>
      <c r="F12" s="30">
        <f t="shared" si="2"/>
        <v>2238.0680000000002</v>
      </c>
      <c r="G12" s="30">
        <f t="shared" si="2"/>
        <v>1528.53</v>
      </c>
      <c r="H12" s="30">
        <f t="shared" si="2"/>
        <v>1296.222</v>
      </c>
      <c r="I12" s="30">
        <f t="shared" si="2"/>
        <v>3591.2610000000004</v>
      </c>
      <c r="J12" s="30">
        <f t="shared" si="2"/>
        <v>4300.2030000000004</v>
      </c>
      <c r="K12" s="30">
        <f t="shared" si="2"/>
        <v>4134.2610000000004</v>
      </c>
      <c r="L12" s="30">
        <f t="shared" si="2"/>
        <v>4651.8180000000002</v>
      </c>
      <c r="M12" s="30">
        <f t="shared" si="2"/>
        <v>4719.2800000000007</v>
      </c>
      <c r="N12" s="30">
        <f t="shared" si="2"/>
        <v>5103.9530000000004</v>
      </c>
      <c r="O12" s="30">
        <f t="shared" si="2"/>
        <v>4328.857</v>
      </c>
      <c r="P12" s="30">
        <f t="shared" si="2"/>
        <v>2357.6840000000002</v>
      </c>
      <c r="Q12" s="30">
        <f t="shared" si="2"/>
        <v>1813.876</v>
      </c>
    </row>
    <row r="13" spans="1:19" x14ac:dyDescent="0.2">
      <c r="A13" s="39" t="s">
        <v>61</v>
      </c>
      <c r="C13" s="30">
        <v>2.6150000000000002</v>
      </c>
      <c r="D13" s="30">
        <v>1.8779999999999999</v>
      </c>
      <c r="E13" s="30">
        <v>1.5960000000000001</v>
      </c>
      <c r="F13" s="30">
        <v>2.3359999999999999</v>
      </c>
      <c r="G13" s="30">
        <v>7.6959999999999997</v>
      </c>
      <c r="H13" s="30">
        <v>8.1519999999999992</v>
      </c>
      <c r="I13" s="30">
        <v>2.391</v>
      </c>
      <c r="J13" s="30">
        <v>0.52600000000000002</v>
      </c>
      <c r="K13" s="30">
        <v>0.91600000000000004</v>
      </c>
      <c r="L13" s="30">
        <v>2.069</v>
      </c>
      <c r="M13" s="30">
        <v>2.1219999999999999</v>
      </c>
      <c r="N13" s="30">
        <v>1.788</v>
      </c>
      <c r="O13" s="30">
        <v>2.1930000000000001</v>
      </c>
      <c r="P13" s="30">
        <v>1.952</v>
      </c>
      <c r="Q13" s="30">
        <v>2.4220000000000002</v>
      </c>
    </row>
    <row r="14" spans="1:19" x14ac:dyDescent="0.2">
      <c r="A14" s="39" t="s">
        <v>60</v>
      </c>
      <c r="C14" s="30">
        <f t="shared" ref="C14:Q14" si="3">SQRT((1+(C13^2)))</f>
        <v>2.7996830177718337</v>
      </c>
      <c r="D14" s="30">
        <f t="shared" si="3"/>
        <v>2.1276475271999353</v>
      </c>
      <c r="E14" s="30">
        <f t="shared" si="3"/>
        <v>1.8834054263487721</v>
      </c>
      <c r="F14" s="30">
        <f t="shared" si="3"/>
        <v>2.541042305826489</v>
      </c>
      <c r="G14" s="30">
        <f t="shared" si="3"/>
        <v>7.7606968759255119</v>
      </c>
      <c r="H14" s="30">
        <f t="shared" si="3"/>
        <v>8.2131056245490957</v>
      </c>
      <c r="I14" s="30">
        <f t="shared" si="3"/>
        <v>2.5916946193562236</v>
      </c>
      <c r="J14" s="30">
        <f t="shared" si="3"/>
        <v>1.1299008806085604</v>
      </c>
      <c r="K14" s="30">
        <f t="shared" si="3"/>
        <v>1.3561179889670367</v>
      </c>
      <c r="L14" s="30">
        <f t="shared" si="3"/>
        <v>2.2979906440192486</v>
      </c>
      <c r="M14" s="30">
        <f t="shared" si="3"/>
        <v>2.3458226701948295</v>
      </c>
      <c r="N14" s="30">
        <f t="shared" si="3"/>
        <v>2.0486444298608775</v>
      </c>
      <c r="O14" s="30">
        <f t="shared" si="3"/>
        <v>2.4102383699543082</v>
      </c>
      <c r="P14" s="30">
        <f t="shared" si="3"/>
        <v>2.1932405248854949</v>
      </c>
      <c r="Q14" s="30">
        <f t="shared" si="3"/>
        <v>2.6203213543380515</v>
      </c>
    </row>
    <row r="15" spans="1:19" x14ac:dyDescent="0.2">
      <c r="A15" s="39" t="s">
        <v>59</v>
      </c>
      <c r="I15" s="30">
        <f t="shared" ref="I15:Q15" si="4">I12/$E$2</f>
        <v>1.4283618193968399</v>
      </c>
      <c r="J15" s="30">
        <f t="shared" si="4"/>
        <v>1.7103312125896026</v>
      </c>
      <c r="K15" s="30">
        <f t="shared" si="4"/>
        <v>1.644330658178673</v>
      </c>
      <c r="L15" s="30">
        <f t="shared" si="4"/>
        <v>1.8501799846858717</v>
      </c>
      <c r="M15" s="30">
        <f t="shared" si="4"/>
        <v>1.877011825941673</v>
      </c>
      <c r="N15" s="30">
        <f t="shared" si="4"/>
        <v>2.0300088445802071</v>
      </c>
      <c r="O15" s="30">
        <f t="shared" si="4"/>
        <v>1.7217278444615263</v>
      </c>
      <c r="P15" s="30">
        <f t="shared" si="4"/>
        <v>0.93772794787202018</v>
      </c>
      <c r="Q15" s="30">
        <f t="shared" si="4"/>
        <v>0.7214377410943571</v>
      </c>
    </row>
    <row r="17" spans="1:21" x14ac:dyDescent="0.2">
      <c r="A17" s="39" t="s">
        <v>514</v>
      </c>
      <c r="C17" s="30">
        <v>1</v>
      </c>
      <c r="D17" s="30">
        <v>1</v>
      </c>
    </row>
    <row r="18" spans="1:21" x14ac:dyDescent="0.2">
      <c r="A18" s="39" t="s">
        <v>63</v>
      </c>
      <c r="C18" s="30">
        <v>2583.5770000000002</v>
      </c>
      <c r="D18" s="30">
        <v>3348.25</v>
      </c>
      <c r="E18" s="30">
        <v>4812.2120000000004</v>
      </c>
      <c r="F18" s="30">
        <v>2195.154</v>
      </c>
      <c r="G18" s="30">
        <v>7745.308</v>
      </c>
      <c r="H18" s="30">
        <v>7387.3459999999995</v>
      </c>
      <c r="I18" s="30">
        <v>3021.5</v>
      </c>
      <c r="J18" s="30">
        <v>2728.2689999999998</v>
      </c>
      <c r="K18" s="30">
        <v>4081.058</v>
      </c>
    </row>
    <row r="19" spans="1:21" x14ac:dyDescent="0.2">
      <c r="A19" s="39" t="s">
        <v>62</v>
      </c>
      <c r="C19" s="30">
        <f t="shared" ref="C19:K19" si="5">C18-$B$5</f>
        <v>2273.7030000000004</v>
      </c>
      <c r="D19" s="30">
        <f t="shared" si="5"/>
        <v>3038.3760000000002</v>
      </c>
      <c r="E19" s="30">
        <f t="shared" si="5"/>
        <v>4502.3380000000006</v>
      </c>
      <c r="F19" s="30">
        <f t="shared" si="5"/>
        <v>1885.28</v>
      </c>
      <c r="G19" s="30">
        <f t="shared" si="5"/>
        <v>7435.4340000000002</v>
      </c>
      <c r="H19" s="30">
        <f t="shared" si="5"/>
        <v>7077.4719999999998</v>
      </c>
      <c r="I19" s="30">
        <f t="shared" si="5"/>
        <v>2711.6260000000002</v>
      </c>
      <c r="J19" s="30">
        <f t="shared" si="5"/>
        <v>2418.3949999999995</v>
      </c>
      <c r="K19" s="30">
        <f t="shared" si="5"/>
        <v>3771.1840000000002</v>
      </c>
    </row>
    <row r="20" spans="1:21" x14ac:dyDescent="0.2">
      <c r="A20" s="39" t="s">
        <v>61</v>
      </c>
      <c r="C20" s="30">
        <v>1.829</v>
      </c>
      <c r="D20" s="30">
        <v>0.30299999999999999</v>
      </c>
      <c r="E20" s="30">
        <v>0.69899999999999995</v>
      </c>
      <c r="F20" s="30">
        <v>1.9810000000000001</v>
      </c>
      <c r="G20" s="30">
        <v>0.65200000000000002</v>
      </c>
      <c r="H20" s="30">
        <v>0.9</v>
      </c>
      <c r="I20" s="30">
        <v>1.333</v>
      </c>
      <c r="J20" s="30">
        <v>1.9259999999999999</v>
      </c>
      <c r="K20" s="30">
        <v>2.552</v>
      </c>
    </row>
    <row r="21" spans="1:21" x14ac:dyDescent="0.2">
      <c r="A21" s="39" t="s">
        <v>60</v>
      </c>
      <c r="C21" s="30">
        <f t="shared" ref="C21:K21" si="6">SQRT((4+(C20^2)))</f>
        <v>2.7102105084291885</v>
      </c>
      <c r="D21" s="30">
        <f t="shared" si="6"/>
        <v>2.0228220386381</v>
      </c>
      <c r="E21" s="30">
        <f t="shared" si="6"/>
        <v>2.118631869863191</v>
      </c>
      <c r="F21" s="30">
        <f t="shared" si="6"/>
        <v>2.815024156201861</v>
      </c>
      <c r="G21" s="30">
        <f t="shared" si="6"/>
        <v>2.1035931165508219</v>
      </c>
      <c r="H21" s="30">
        <f t="shared" si="6"/>
        <v>2.1931712199461311</v>
      </c>
      <c r="I21" s="30">
        <f t="shared" si="6"/>
        <v>2.4035159662461156</v>
      </c>
      <c r="J21" s="30">
        <f t="shared" si="6"/>
        <v>2.7765943167845029</v>
      </c>
      <c r="K21" s="30">
        <f t="shared" si="6"/>
        <v>3.2423300263853463</v>
      </c>
    </row>
    <row r="22" spans="1:21" x14ac:dyDescent="0.2">
      <c r="A22" s="39" t="s">
        <v>59</v>
      </c>
      <c r="E22" s="30">
        <f t="shared" ref="E22:K22" si="7">E19/$E$2</f>
        <v>1.7907269054573114</v>
      </c>
      <c r="F22" s="30">
        <f t="shared" si="7"/>
        <v>0.74983744452783407</v>
      </c>
      <c r="G22" s="30">
        <f t="shared" si="7"/>
        <v>2.9573150033498323</v>
      </c>
      <c r="H22" s="30">
        <f t="shared" si="7"/>
        <v>2.8149418220090912</v>
      </c>
      <c r="I22" s="30">
        <f t="shared" si="7"/>
        <v>1.0785022438869731</v>
      </c>
      <c r="J22" s="30">
        <f t="shared" si="7"/>
        <v>0.96187469588543406</v>
      </c>
      <c r="K22" s="30">
        <f t="shared" si="7"/>
        <v>1.4999230742405667</v>
      </c>
    </row>
    <row r="24" spans="1:21" x14ac:dyDescent="0.2">
      <c r="A24" s="39" t="s">
        <v>513</v>
      </c>
    </row>
    <row r="25" spans="1:21" x14ac:dyDescent="0.2">
      <c r="A25" s="39" t="s">
        <v>63</v>
      </c>
      <c r="C25" s="30">
        <v>2862.538</v>
      </c>
      <c r="D25" s="30">
        <v>3582.346</v>
      </c>
      <c r="E25" s="30">
        <v>2706.058</v>
      </c>
    </row>
    <row r="26" spans="1:21" x14ac:dyDescent="0.2">
      <c r="A26" s="39" t="s">
        <v>62</v>
      </c>
      <c r="C26" s="30">
        <f>C25-$B$5</f>
        <v>2552.6639999999998</v>
      </c>
      <c r="D26" s="30">
        <f>D25-$B$5</f>
        <v>3272.4719999999998</v>
      </c>
      <c r="E26" s="30">
        <f>E25-$B$5</f>
        <v>2396.1840000000002</v>
      </c>
    </row>
    <row r="27" spans="1:21" x14ac:dyDescent="0.2">
      <c r="A27" s="39" t="s">
        <v>61</v>
      </c>
      <c r="C27" s="30">
        <v>0.70199999999999996</v>
      </c>
      <c r="D27" s="30">
        <v>0.622</v>
      </c>
      <c r="E27" s="30">
        <v>0.434</v>
      </c>
    </row>
    <row r="28" spans="1:21" x14ac:dyDescent="0.2">
      <c r="A28" s="39" t="s">
        <v>60</v>
      </c>
      <c r="C28" s="30">
        <f>SQRT((9+(C27^2)))</f>
        <v>3.0810394349959234</v>
      </c>
      <c r="D28" s="30">
        <f>SQRT((9+(D27^2)))</f>
        <v>3.0638022129373823</v>
      </c>
      <c r="E28" s="30">
        <f>SQRT((9+(E27^2)))</f>
        <v>3.0312301133368282</v>
      </c>
    </row>
    <row r="29" spans="1:21" x14ac:dyDescent="0.2">
      <c r="A29" s="39" t="s">
        <v>59</v>
      </c>
      <c r="C29" s="30">
        <f>C26/$E$2</f>
        <v>1.0152778634994266</v>
      </c>
      <c r="D29" s="30">
        <f>D26/$E$2</f>
        <v>1.3015690198638348</v>
      </c>
      <c r="E29" s="30">
        <f>E26/$E$2</f>
        <v>0.95304065559412066</v>
      </c>
    </row>
    <row r="31" spans="1:21" x14ac:dyDescent="0.2">
      <c r="A31" s="39" t="s">
        <v>512</v>
      </c>
      <c r="C31" s="30">
        <v>1</v>
      </c>
      <c r="D31" s="30">
        <v>1</v>
      </c>
      <c r="E31" s="30">
        <v>1</v>
      </c>
      <c r="F31" s="30">
        <v>1</v>
      </c>
      <c r="G31" s="30">
        <v>1</v>
      </c>
      <c r="H31" s="30">
        <v>1</v>
      </c>
      <c r="I31" s="30">
        <v>1</v>
      </c>
      <c r="J31" s="30">
        <v>1</v>
      </c>
      <c r="K31" s="30">
        <v>1</v>
      </c>
    </row>
    <row r="32" spans="1:21" x14ac:dyDescent="0.2">
      <c r="A32" s="39" t="s">
        <v>63</v>
      </c>
      <c r="C32" s="30">
        <v>2180.5189999999998</v>
      </c>
      <c r="D32" s="30">
        <v>3580.0189999999998</v>
      </c>
      <c r="E32" s="30">
        <v>1325.481</v>
      </c>
      <c r="F32" s="30">
        <v>4404.3649999999998</v>
      </c>
      <c r="G32" s="30">
        <v>2718.288</v>
      </c>
      <c r="H32" s="30">
        <v>3418.038</v>
      </c>
      <c r="I32" s="30">
        <v>3956.2689999999998</v>
      </c>
      <c r="J32" s="30">
        <v>4692.0770000000002</v>
      </c>
      <c r="K32" s="30">
        <v>3870.596</v>
      </c>
      <c r="L32" s="30">
        <v>4693.6149999999998</v>
      </c>
      <c r="M32" s="30">
        <v>1897.346</v>
      </c>
      <c r="N32" s="30">
        <v>2403.1350000000002</v>
      </c>
      <c r="O32" s="30">
        <v>1841.827</v>
      </c>
      <c r="P32" s="30">
        <v>2076.154</v>
      </c>
      <c r="Q32" s="30">
        <v>7974.192</v>
      </c>
      <c r="R32" s="30">
        <v>11419.441999999999</v>
      </c>
      <c r="S32" s="30">
        <v>6719.0190000000002</v>
      </c>
      <c r="T32" s="30">
        <v>8696.7690000000002</v>
      </c>
      <c r="U32" s="30">
        <v>1213.673</v>
      </c>
    </row>
    <row r="33" spans="1:21" x14ac:dyDescent="0.2">
      <c r="A33" s="39" t="s">
        <v>62</v>
      </c>
      <c r="C33" s="30">
        <f t="shared" ref="C33:U33" si="8">C32-$B$5</f>
        <v>1870.6449999999998</v>
      </c>
      <c r="D33" s="30">
        <f t="shared" si="8"/>
        <v>3270.1449999999995</v>
      </c>
      <c r="E33" s="30">
        <f t="shared" si="8"/>
        <v>1015.607</v>
      </c>
      <c r="F33" s="30">
        <f t="shared" si="8"/>
        <v>4094.491</v>
      </c>
      <c r="G33" s="30">
        <f t="shared" si="8"/>
        <v>2408.4139999999998</v>
      </c>
      <c r="H33" s="30">
        <f t="shared" si="8"/>
        <v>3108.1639999999998</v>
      </c>
      <c r="I33" s="30">
        <f t="shared" si="8"/>
        <v>3646.3949999999995</v>
      </c>
      <c r="J33" s="30">
        <f t="shared" si="8"/>
        <v>4382.2030000000004</v>
      </c>
      <c r="K33" s="30">
        <f t="shared" si="8"/>
        <v>3560.7219999999998</v>
      </c>
      <c r="L33" s="30">
        <f t="shared" si="8"/>
        <v>4383.741</v>
      </c>
      <c r="M33" s="30">
        <f t="shared" si="8"/>
        <v>1587.472</v>
      </c>
      <c r="N33" s="30">
        <f t="shared" si="8"/>
        <v>2093.2610000000004</v>
      </c>
      <c r="O33" s="30">
        <f t="shared" si="8"/>
        <v>1531.953</v>
      </c>
      <c r="P33" s="30">
        <f t="shared" si="8"/>
        <v>1766.28</v>
      </c>
      <c r="Q33" s="30">
        <f t="shared" si="8"/>
        <v>7664.3180000000002</v>
      </c>
      <c r="R33" s="30">
        <f t="shared" si="8"/>
        <v>11109.567999999999</v>
      </c>
      <c r="S33" s="30">
        <f t="shared" si="8"/>
        <v>6409.1450000000004</v>
      </c>
      <c r="T33" s="30">
        <f t="shared" si="8"/>
        <v>8386.8950000000004</v>
      </c>
      <c r="U33" s="30">
        <f t="shared" si="8"/>
        <v>903.79899999999998</v>
      </c>
    </row>
    <row r="34" spans="1:21" x14ac:dyDescent="0.2">
      <c r="A34" s="39" t="s">
        <v>61</v>
      </c>
      <c r="C34" s="30">
        <v>3.7360000000000002</v>
      </c>
      <c r="D34" s="30">
        <v>3.536</v>
      </c>
      <c r="E34" s="30">
        <v>5.6390000000000002</v>
      </c>
      <c r="F34" s="30">
        <v>1.0589999999999999</v>
      </c>
      <c r="G34" s="30">
        <v>1.0620000000000001</v>
      </c>
      <c r="H34" s="30">
        <v>1.2270000000000001</v>
      </c>
      <c r="I34" s="30">
        <v>0.99099999999999999</v>
      </c>
      <c r="J34" s="30">
        <v>1.08</v>
      </c>
      <c r="K34" s="30">
        <v>0.89100000000000001</v>
      </c>
      <c r="L34" s="30">
        <v>0.128</v>
      </c>
      <c r="M34" s="30">
        <v>2.2610000000000001</v>
      </c>
      <c r="N34" s="30">
        <v>2.3130000000000002</v>
      </c>
      <c r="O34" s="30">
        <v>3.0819999999999999</v>
      </c>
      <c r="P34" s="30">
        <v>2.403</v>
      </c>
      <c r="Q34" s="30">
        <v>0.95</v>
      </c>
      <c r="R34" s="30">
        <v>1.7410000000000001</v>
      </c>
      <c r="S34" s="30">
        <v>1.6439999999999999</v>
      </c>
      <c r="T34" s="30">
        <v>1.974</v>
      </c>
      <c r="U34" s="30">
        <v>4.9139999999999997</v>
      </c>
    </row>
    <row r="35" spans="1:21" x14ac:dyDescent="0.2">
      <c r="A35" s="39" t="s">
        <v>60</v>
      </c>
      <c r="C35" s="30">
        <f t="shared" ref="C35:U35" si="9">SQRT((1+(C34^2)))</f>
        <v>3.8675180671846903</v>
      </c>
      <c r="D35" s="30">
        <f t="shared" si="9"/>
        <v>3.6746831155896968</v>
      </c>
      <c r="E35" s="30">
        <f t="shared" si="9"/>
        <v>5.7269818403763075</v>
      </c>
      <c r="F35" s="30">
        <f t="shared" si="9"/>
        <v>1.4565304665539955</v>
      </c>
      <c r="G35" s="30">
        <f t="shared" si="9"/>
        <v>1.4587131314963886</v>
      </c>
      <c r="H35" s="30">
        <f t="shared" si="9"/>
        <v>1.5828862877667493</v>
      </c>
      <c r="I35" s="30">
        <f t="shared" si="9"/>
        <v>1.4078639849076331</v>
      </c>
      <c r="J35" s="30">
        <f t="shared" si="9"/>
        <v>1.4718695594379281</v>
      </c>
      <c r="K35" s="30">
        <f t="shared" si="9"/>
        <v>1.3393584285022437</v>
      </c>
      <c r="L35" s="30">
        <f t="shared" si="9"/>
        <v>1.0081587176630473</v>
      </c>
      <c r="M35" s="30">
        <f t="shared" si="9"/>
        <v>2.4722704140121889</v>
      </c>
      <c r="N35" s="30">
        <f t="shared" si="9"/>
        <v>2.5199144826759499</v>
      </c>
      <c r="O35" s="30">
        <f t="shared" si="9"/>
        <v>3.2401734521472765</v>
      </c>
      <c r="P35" s="30">
        <f t="shared" si="9"/>
        <v>2.6027694865277642</v>
      </c>
      <c r="Q35" s="30">
        <f t="shared" si="9"/>
        <v>1.379311422413372</v>
      </c>
      <c r="R35" s="30">
        <f t="shared" si="9"/>
        <v>2.0077552141633204</v>
      </c>
      <c r="S35" s="30">
        <f t="shared" si="9"/>
        <v>1.9242494640768384</v>
      </c>
      <c r="T35" s="30">
        <f t="shared" si="9"/>
        <v>2.2128434196752376</v>
      </c>
      <c r="U35" s="30">
        <f t="shared" si="9"/>
        <v>5.0147179382294276</v>
      </c>
    </row>
    <row r="36" spans="1:21" x14ac:dyDescent="0.2">
      <c r="A36" s="39" t="s">
        <v>59</v>
      </c>
      <c r="L36" s="30">
        <f t="shared" ref="L36:U36" si="10">L33/$E$2</f>
        <v>1.7435570042178838</v>
      </c>
      <c r="M36" s="30">
        <f t="shared" si="10"/>
        <v>0.63138947410437174</v>
      </c>
      <c r="N36" s="30">
        <f t="shared" si="10"/>
        <v>0.83255828257329356</v>
      </c>
      <c r="O36" s="30">
        <f t="shared" si="10"/>
        <v>0.60930775410376659</v>
      </c>
      <c r="P36" s="30">
        <f t="shared" si="10"/>
        <v>0.70250725702315986</v>
      </c>
      <c r="Q36" s="30">
        <f t="shared" si="10"/>
        <v>3.048349647356722</v>
      </c>
      <c r="R36" s="30">
        <f t="shared" si="10"/>
        <v>4.4186381221506625</v>
      </c>
      <c r="S36" s="30">
        <f t="shared" si="10"/>
        <v>2.5491263411314744</v>
      </c>
      <c r="T36" s="30">
        <f t="shared" si="10"/>
        <v>3.3357421254791171</v>
      </c>
      <c r="U36" s="30">
        <f t="shared" si="10"/>
        <v>0.35947038770199224</v>
      </c>
    </row>
    <row r="38" spans="1:21" x14ac:dyDescent="0.2">
      <c r="A38" s="39" t="s">
        <v>511</v>
      </c>
    </row>
    <row r="39" spans="1:21" x14ac:dyDescent="0.2">
      <c r="A39" s="39" t="s">
        <v>63</v>
      </c>
      <c r="C39" s="30">
        <v>6573.7120000000004</v>
      </c>
      <c r="D39" s="30">
        <v>5906.9809999999998</v>
      </c>
      <c r="E39" s="30">
        <v>5250.1540000000005</v>
      </c>
      <c r="F39" s="30">
        <v>2505.5189999999998</v>
      </c>
      <c r="G39" s="30">
        <v>2173.962</v>
      </c>
      <c r="H39" s="30">
        <v>1892.981</v>
      </c>
    </row>
    <row r="40" spans="1:21" x14ac:dyDescent="0.2">
      <c r="A40" s="39" t="s">
        <v>62</v>
      </c>
      <c r="C40" s="30">
        <f t="shared" ref="C40:H40" si="11">C39-$B$5</f>
        <v>6263.8380000000006</v>
      </c>
      <c r="D40" s="30">
        <f t="shared" si="11"/>
        <v>5597.107</v>
      </c>
      <c r="E40" s="30">
        <f t="shared" si="11"/>
        <v>4940.2800000000007</v>
      </c>
      <c r="F40" s="30">
        <f t="shared" si="11"/>
        <v>2195.6449999999995</v>
      </c>
      <c r="G40" s="30">
        <f t="shared" si="11"/>
        <v>1864.088</v>
      </c>
      <c r="H40" s="30">
        <f t="shared" si="11"/>
        <v>1583.107</v>
      </c>
    </row>
    <row r="41" spans="1:21" x14ac:dyDescent="0.2">
      <c r="A41" s="39" t="s">
        <v>61</v>
      </c>
      <c r="C41" s="30">
        <v>0.99299999999999999</v>
      </c>
      <c r="D41" s="30">
        <v>1.4339999999999999</v>
      </c>
      <c r="E41" s="30">
        <v>1.5580000000000001</v>
      </c>
      <c r="F41" s="30">
        <v>0.309</v>
      </c>
      <c r="G41" s="30">
        <v>1.2669999999999999</v>
      </c>
      <c r="H41" s="30">
        <v>0.95299999999999996</v>
      </c>
    </row>
    <row r="42" spans="1:21" x14ac:dyDescent="0.2">
      <c r="A42" s="39" t="s">
        <v>60</v>
      </c>
      <c r="C42" s="30">
        <f t="shared" ref="C42:H42" si="12">SQRT((4+(C41^2)))</f>
        <v>2.2329462599892547</v>
      </c>
      <c r="D42" s="30">
        <f t="shared" si="12"/>
        <v>2.46096647681353</v>
      </c>
      <c r="E42" s="30">
        <f t="shared" si="12"/>
        <v>2.5352246448786349</v>
      </c>
      <c r="F42" s="30">
        <f t="shared" si="12"/>
        <v>2.023729477968832</v>
      </c>
      <c r="G42" s="30">
        <f t="shared" si="12"/>
        <v>2.3675491547167504</v>
      </c>
      <c r="H42" s="30">
        <f t="shared" si="12"/>
        <v>2.2154478102631985</v>
      </c>
    </row>
    <row r="43" spans="1:21" x14ac:dyDescent="0.2">
      <c r="A43" s="39" t="s">
        <v>59</v>
      </c>
      <c r="C43" s="30">
        <f t="shared" ref="C43:H43" si="13">C40/$E$2</f>
        <v>2.4913330003269221</v>
      </c>
      <c r="D43" s="30">
        <f t="shared" si="13"/>
        <v>2.2261523007876027</v>
      </c>
      <c r="E43" s="30">
        <f t="shared" si="13"/>
        <v>1.9649107455932111</v>
      </c>
      <c r="F43" s="30">
        <f t="shared" si="13"/>
        <v>0.87327974406470976</v>
      </c>
      <c r="G43" s="30">
        <f t="shared" si="13"/>
        <v>0.74140869382532104</v>
      </c>
      <c r="H43" s="30">
        <f t="shared" si="13"/>
        <v>0.62965337100808683</v>
      </c>
    </row>
    <row r="45" spans="1:21" x14ac:dyDescent="0.2">
      <c r="A45" s="39" t="s">
        <v>510</v>
      </c>
      <c r="C45" s="30">
        <v>1</v>
      </c>
    </row>
    <row r="46" spans="1:21" x14ac:dyDescent="0.2">
      <c r="A46" s="39" t="s">
        <v>63</v>
      </c>
      <c r="C46" s="30">
        <v>2492.0770000000002</v>
      </c>
    </row>
    <row r="47" spans="1:21" x14ac:dyDescent="0.2">
      <c r="A47" s="39" t="s">
        <v>62</v>
      </c>
      <c r="C47" s="30">
        <f>C46-B5</f>
        <v>2182.2030000000004</v>
      </c>
    </row>
    <row r="48" spans="1:21" x14ac:dyDescent="0.2">
      <c r="A48" s="39" t="s">
        <v>61</v>
      </c>
      <c r="C48" s="30">
        <v>1.22</v>
      </c>
    </row>
    <row r="49" spans="1:5" x14ac:dyDescent="0.2">
      <c r="A49" s="39" t="s">
        <v>60</v>
      </c>
      <c r="C49" s="30">
        <f>SQRT((9+(C48^2)))</f>
        <v>3.2385799357125649</v>
      </c>
    </row>
    <row r="50" spans="1:5" x14ac:dyDescent="0.2">
      <c r="A50" s="39" t="s">
        <v>59</v>
      </c>
    </row>
    <row r="52" spans="1:5" x14ac:dyDescent="0.2">
      <c r="A52" s="39" t="s">
        <v>509</v>
      </c>
      <c r="C52" s="30">
        <v>1</v>
      </c>
      <c r="D52" s="30">
        <v>1</v>
      </c>
      <c r="E52" s="30">
        <v>1</v>
      </c>
    </row>
    <row r="53" spans="1:5" x14ac:dyDescent="0.2">
      <c r="A53" s="39" t="s">
        <v>63</v>
      </c>
      <c r="C53" s="30">
        <v>1989.154</v>
      </c>
      <c r="D53" s="30">
        <v>2624.0189999999998</v>
      </c>
      <c r="E53" s="30">
        <v>897.21199999999999</v>
      </c>
    </row>
    <row r="54" spans="1:5" x14ac:dyDescent="0.2">
      <c r="A54" s="39" t="s">
        <v>62</v>
      </c>
      <c r="C54" s="30">
        <f>C53-$B$5</f>
        <v>1679.28</v>
      </c>
      <c r="D54" s="30">
        <f>D53-$B$5</f>
        <v>2314.1449999999995</v>
      </c>
      <c r="E54" s="30">
        <f>E53-$B$5</f>
        <v>587.33799999999997</v>
      </c>
    </row>
    <row r="55" spans="1:5" x14ac:dyDescent="0.2">
      <c r="A55" s="39" t="s">
        <v>61</v>
      </c>
      <c r="C55" s="30">
        <v>3.7519999999999998</v>
      </c>
      <c r="D55" s="30">
        <v>1.389</v>
      </c>
      <c r="E55" s="30">
        <v>10.294</v>
      </c>
    </row>
    <row r="56" spans="1:5" x14ac:dyDescent="0.2">
      <c r="A56" s="39" t="s">
        <v>60</v>
      </c>
      <c r="C56" s="30">
        <f>SQRT((16+(C55^2)))</f>
        <v>5.4842961262134633</v>
      </c>
      <c r="D56" s="30">
        <f>SQRT((16+(D55^2)))</f>
        <v>4.2343028942200158</v>
      </c>
      <c r="E56" s="30">
        <f>SQRT((16+(E55^2)))</f>
        <v>11.043841541782461</v>
      </c>
    </row>
    <row r="57" spans="1:5" x14ac:dyDescent="0.2">
      <c r="A57" s="39" t="s">
        <v>59</v>
      </c>
    </row>
    <row r="59" spans="1:5" x14ac:dyDescent="0.2">
      <c r="A59" s="39" t="s">
        <v>508</v>
      </c>
      <c r="C59" s="30">
        <v>1</v>
      </c>
    </row>
    <row r="60" spans="1:5" x14ac:dyDescent="0.2">
      <c r="A60" s="39" t="s">
        <v>63</v>
      </c>
      <c r="C60" s="30">
        <v>4022.904</v>
      </c>
      <c r="D60" s="30">
        <v>1635.731</v>
      </c>
    </row>
    <row r="61" spans="1:5" x14ac:dyDescent="0.2">
      <c r="A61" s="39" t="s">
        <v>62</v>
      </c>
      <c r="C61" s="30">
        <f>C60-$B$5</f>
        <v>3713.0299999999997</v>
      </c>
      <c r="D61" s="30">
        <f>D60-$B$5</f>
        <v>1325.857</v>
      </c>
    </row>
    <row r="62" spans="1:5" x14ac:dyDescent="0.2">
      <c r="A62" s="39" t="s">
        <v>61</v>
      </c>
      <c r="C62" s="30">
        <v>3.06</v>
      </c>
      <c r="D62" s="30">
        <v>1.4219999999999999</v>
      </c>
    </row>
    <row r="63" spans="1:5" x14ac:dyDescent="0.2">
      <c r="A63" s="39" t="s">
        <v>60</v>
      </c>
      <c r="C63" s="30">
        <f>SQRT((25+(C62^2)))</f>
        <v>5.8620474238955111</v>
      </c>
      <c r="D63" s="30">
        <f>SQRT((25+(D62^2)))</f>
        <v>5.1982770222449668</v>
      </c>
    </row>
    <row r="64" spans="1:5" x14ac:dyDescent="0.2">
      <c r="A64" s="39" t="s">
        <v>59</v>
      </c>
      <c r="D64" s="30">
        <f>D61/$E$2</f>
        <v>0.52733664213768805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6E63-11EB-FB4D-9B8B-DC14826AE237}">
  <sheetPr>
    <outlinePr summaryBelow="0" summaryRight="0"/>
  </sheetPr>
  <dimension ref="A1:S73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9" ht="16" x14ac:dyDescent="0.2">
      <c r="A1" s="12" t="s">
        <v>75</v>
      </c>
      <c r="B1" s="12"/>
      <c r="C1" s="15">
        <v>45215</v>
      </c>
      <c r="D1" s="12"/>
      <c r="E1" s="12"/>
      <c r="F1" s="12"/>
      <c r="G1" s="12"/>
      <c r="H1" s="12"/>
    </row>
    <row r="2" spans="1:19" ht="16" x14ac:dyDescent="0.2">
      <c r="A2" s="12"/>
      <c r="B2" s="12"/>
      <c r="C2" s="12"/>
      <c r="D2" s="12"/>
      <c r="E2" s="12"/>
      <c r="F2" s="12"/>
      <c r="G2" s="12"/>
      <c r="H2" s="12"/>
    </row>
    <row r="3" spans="1:19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9" ht="16" x14ac:dyDescent="0.2">
      <c r="A4" s="12" t="s">
        <v>27</v>
      </c>
      <c r="B4" s="13">
        <v>39.332999999999998</v>
      </c>
      <c r="C4" s="12"/>
      <c r="D4" s="12" t="s">
        <v>73</v>
      </c>
      <c r="E4" s="13">
        <f>AVERAGE(C8,D8,E8,F8,C14,D14,C21,C42,D42)</f>
        <v>1384.2526666666663</v>
      </c>
      <c r="F4" s="12"/>
      <c r="G4" s="55" t="s">
        <v>72</v>
      </c>
      <c r="H4" s="56"/>
    </row>
    <row r="5" spans="1:19" ht="16" x14ac:dyDescent="0.2">
      <c r="A5" s="12"/>
      <c r="B5" s="12"/>
      <c r="C5" s="17"/>
      <c r="D5" s="17"/>
      <c r="E5" s="17"/>
      <c r="F5" s="12"/>
      <c r="G5" s="12"/>
      <c r="H5" s="12"/>
    </row>
    <row r="6" spans="1:19" ht="15" x14ac:dyDescent="0.2">
      <c r="A6" s="10" t="s">
        <v>165</v>
      </c>
      <c r="B6" s="14" t="s">
        <v>70</v>
      </c>
      <c r="C6" s="16">
        <v>1</v>
      </c>
      <c r="D6" s="16">
        <v>1</v>
      </c>
      <c r="E6" s="17">
        <v>1</v>
      </c>
      <c r="F6" s="8">
        <v>1</v>
      </c>
      <c r="P6" s="8"/>
    </row>
    <row r="7" spans="1:19" ht="16" x14ac:dyDescent="0.2">
      <c r="A7" s="9" t="s">
        <v>63</v>
      </c>
      <c r="B7" s="13">
        <v>233.06200000000001</v>
      </c>
      <c r="C7" s="16">
        <v>1460.6990000000001</v>
      </c>
      <c r="D7" s="16">
        <v>1497.7380000000001</v>
      </c>
      <c r="E7" s="17">
        <v>2092.1410000000001</v>
      </c>
      <c r="F7" s="8">
        <v>2497.8009999999999</v>
      </c>
      <c r="G7" s="8">
        <v>3183.6880000000001</v>
      </c>
      <c r="H7" s="8">
        <v>2093.7730000000001</v>
      </c>
      <c r="I7" s="8">
        <v>3809.895</v>
      </c>
      <c r="J7" s="8">
        <v>3759.9769999999999</v>
      </c>
      <c r="K7" s="8">
        <v>2806.0859999999998</v>
      </c>
      <c r="L7" s="8">
        <v>4159.7269999999999</v>
      </c>
      <c r="M7" s="8">
        <v>6035.848</v>
      </c>
      <c r="N7" s="8">
        <v>3489.527</v>
      </c>
      <c r="O7" s="8">
        <v>3663.855</v>
      </c>
      <c r="P7" s="8">
        <v>2565.0740000000001</v>
      </c>
      <c r="Q7" s="8">
        <v>1949.73</v>
      </c>
      <c r="R7" s="8">
        <v>612.03499999999997</v>
      </c>
      <c r="S7" s="8">
        <v>662.55100000000004</v>
      </c>
    </row>
    <row r="8" spans="1:19" ht="16" x14ac:dyDescent="0.2">
      <c r="A8" s="9" t="s">
        <v>62</v>
      </c>
      <c r="B8" s="12"/>
      <c r="C8" s="17">
        <f t="shared" ref="C8:S8" si="0">C7-$B$7</f>
        <v>1227.6370000000002</v>
      </c>
      <c r="D8" s="17">
        <f t="shared" si="0"/>
        <v>1264.6759999999999</v>
      </c>
      <c r="E8" s="17">
        <f t="shared" si="0"/>
        <v>1859.0790000000002</v>
      </c>
      <c r="F8" s="17">
        <f t="shared" si="0"/>
        <v>2264.739</v>
      </c>
      <c r="G8" s="17">
        <f t="shared" si="0"/>
        <v>2950.6260000000002</v>
      </c>
      <c r="H8" s="17">
        <f t="shared" si="0"/>
        <v>1860.7110000000002</v>
      </c>
      <c r="I8" s="17">
        <f t="shared" si="0"/>
        <v>3576.8330000000001</v>
      </c>
      <c r="J8" s="17">
        <f t="shared" si="0"/>
        <v>3526.915</v>
      </c>
      <c r="K8" s="17">
        <f t="shared" si="0"/>
        <v>2573.0239999999999</v>
      </c>
      <c r="L8" s="17">
        <f t="shared" si="0"/>
        <v>3926.665</v>
      </c>
      <c r="M8" s="17">
        <f t="shared" si="0"/>
        <v>5802.7860000000001</v>
      </c>
      <c r="N8" s="17">
        <f t="shared" si="0"/>
        <v>3256.4650000000001</v>
      </c>
      <c r="O8" s="17">
        <f t="shared" si="0"/>
        <v>3430.7930000000001</v>
      </c>
      <c r="P8" s="17">
        <f t="shared" si="0"/>
        <v>2332.0120000000002</v>
      </c>
      <c r="Q8" s="17">
        <f t="shared" si="0"/>
        <v>1716.6680000000001</v>
      </c>
      <c r="R8" s="17">
        <f t="shared" si="0"/>
        <v>378.97299999999996</v>
      </c>
      <c r="S8" s="17">
        <f t="shared" si="0"/>
        <v>429.48900000000003</v>
      </c>
    </row>
    <row r="9" spans="1:19" ht="16" x14ac:dyDescent="0.2">
      <c r="A9" s="9" t="s">
        <v>61</v>
      </c>
      <c r="B9" s="12"/>
      <c r="C9" s="16">
        <v>6.12</v>
      </c>
      <c r="D9" s="16">
        <v>2.484</v>
      </c>
      <c r="E9" s="17">
        <v>3.7570000000000001</v>
      </c>
      <c r="F9" s="8">
        <v>2.1040000000000001</v>
      </c>
      <c r="G9" s="8">
        <v>9.0630000000000006</v>
      </c>
      <c r="H9" s="8">
        <v>4.17</v>
      </c>
      <c r="I9" s="8">
        <v>2.1539999999999999</v>
      </c>
      <c r="J9" s="8">
        <v>2.7050000000000001</v>
      </c>
      <c r="K9" s="8">
        <v>2.1440000000000001</v>
      </c>
      <c r="L9" s="8">
        <v>2.5299999999999998</v>
      </c>
      <c r="M9" s="8">
        <v>3.22</v>
      </c>
      <c r="N9" s="8">
        <v>2.8050000000000002</v>
      </c>
      <c r="O9" s="8">
        <v>1.9059999999999999</v>
      </c>
      <c r="P9" s="8">
        <v>1.304</v>
      </c>
      <c r="Q9" s="8">
        <v>1.355</v>
      </c>
      <c r="R9" s="8">
        <v>1.726</v>
      </c>
      <c r="S9" s="8">
        <v>4.3179999999999996</v>
      </c>
    </row>
    <row r="10" spans="1:19" ht="16" x14ac:dyDescent="0.2">
      <c r="A10" s="9" t="s">
        <v>59</v>
      </c>
      <c r="B10" s="12"/>
      <c r="C10" s="17"/>
      <c r="D10" s="17"/>
      <c r="E10" s="17"/>
      <c r="F10" s="17"/>
      <c r="G10" s="17">
        <f t="shared" ref="G10:S10" si="1">G8/$E$4</f>
        <v>2.1315660580269795</v>
      </c>
      <c r="H10" s="17">
        <f t="shared" si="1"/>
        <v>1.3441989636766702</v>
      </c>
      <c r="I10" s="17">
        <f t="shared" si="1"/>
        <v>2.5839451757121421</v>
      </c>
      <c r="J10" s="17">
        <f t="shared" si="1"/>
        <v>2.5478838400889248</v>
      </c>
      <c r="K10" s="17">
        <f t="shared" si="1"/>
        <v>1.8587820431626407</v>
      </c>
      <c r="L10" s="17">
        <f t="shared" si="1"/>
        <v>2.836667824130374</v>
      </c>
      <c r="M10" s="17">
        <f t="shared" si="1"/>
        <v>4.1919991485176853</v>
      </c>
      <c r="N10" s="17">
        <f t="shared" si="1"/>
        <v>2.3525076587655729</v>
      </c>
      <c r="O10" s="17">
        <f t="shared" si="1"/>
        <v>2.4784442050319337</v>
      </c>
      <c r="P10" s="17">
        <f t="shared" si="1"/>
        <v>1.6846722106128029</v>
      </c>
      <c r="Q10" s="17">
        <f t="shared" si="1"/>
        <v>1.2401406486966016</v>
      </c>
      <c r="R10" s="17">
        <f t="shared" si="1"/>
        <v>0.27377444098596648</v>
      </c>
      <c r="S10" s="17">
        <f t="shared" si="1"/>
        <v>0.31026777866661154</v>
      </c>
    </row>
    <row r="12" spans="1:19" ht="15" x14ac:dyDescent="0.2">
      <c r="A12" s="10" t="s">
        <v>164</v>
      </c>
      <c r="C12" s="8">
        <v>1</v>
      </c>
      <c r="D12" s="8">
        <v>1</v>
      </c>
    </row>
    <row r="13" spans="1:19" ht="15" x14ac:dyDescent="0.2">
      <c r="A13" s="9" t="s">
        <v>63</v>
      </c>
      <c r="C13" s="8">
        <v>1081.4649999999999</v>
      </c>
      <c r="D13" s="8">
        <v>1884.309</v>
      </c>
      <c r="E13" s="8">
        <v>1032.3710000000001</v>
      </c>
      <c r="F13" s="16">
        <v>1970.934</v>
      </c>
      <c r="G13" s="16">
        <v>904.88699999999994</v>
      </c>
      <c r="H13" s="16">
        <v>2672.02</v>
      </c>
      <c r="I13" s="16">
        <v>2014.941</v>
      </c>
      <c r="J13" s="16">
        <v>4284.1289999999999</v>
      </c>
      <c r="K13" s="16">
        <v>5581.8980000000001</v>
      </c>
      <c r="L13" s="8">
        <v>7182.723</v>
      </c>
      <c r="M13" s="8">
        <v>5555.6369999999997</v>
      </c>
      <c r="N13" s="8">
        <v>1024.6210000000001</v>
      </c>
    </row>
    <row r="14" spans="1:19" ht="15" x14ac:dyDescent="0.2">
      <c r="A14" s="9" t="s">
        <v>62</v>
      </c>
      <c r="C14" s="8">
        <f t="shared" ref="C14:N14" si="2">C13-$B$7</f>
        <v>848.40299999999991</v>
      </c>
      <c r="D14" s="8">
        <f t="shared" si="2"/>
        <v>1651.2469999999998</v>
      </c>
      <c r="E14" s="8">
        <f t="shared" si="2"/>
        <v>799.30900000000008</v>
      </c>
      <c r="F14" s="8">
        <f t="shared" si="2"/>
        <v>1737.8719999999998</v>
      </c>
      <c r="G14" s="8">
        <f t="shared" si="2"/>
        <v>671.82499999999993</v>
      </c>
      <c r="H14" s="8">
        <f t="shared" si="2"/>
        <v>2438.9580000000001</v>
      </c>
      <c r="I14" s="8">
        <f t="shared" si="2"/>
        <v>1781.8789999999999</v>
      </c>
      <c r="J14" s="8">
        <f t="shared" si="2"/>
        <v>4051.067</v>
      </c>
      <c r="K14" s="8">
        <f t="shared" si="2"/>
        <v>5348.8360000000002</v>
      </c>
      <c r="L14" s="8">
        <f t="shared" si="2"/>
        <v>6949.6610000000001</v>
      </c>
      <c r="M14" s="8">
        <f t="shared" si="2"/>
        <v>5322.5749999999998</v>
      </c>
      <c r="N14" s="8">
        <f t="shared" si="2"/>
        <v>791.55900000000008</v>
      </c>
    </row>
    <row r="15" spans="1:19" ht="15" x14ac:dyDescent="0.2">
      <c r="A15" s="9" t="s">
        <v>61</v>
      </c>
      <c r="C15" s="8">
        <v>12.015000000000001</v>
      </c>
      <c r="D15" s="8">
        <v>0.56699999999999995</v>
      </c>
      <c r="E15" s="8">
        <v>9.1940000000000008</v>
      </c>
      <c r="F15" s="16">
        <v>3.726</v>
      </c>
      <c r="G15" s="16">
        <v>1.7370000000000001</v>
      </c>
      <c r="H15" s="16">
        <v>4.3170000000000002</v>
      </c>
      <c r="I15" s="16">
        <v>2.1619999999999999</v>
      </c>
      <c r="J15" s="16">
        <v>1.365</v>
      </c>
      <c r="K15" s="16">
        <v>1.722</v>
      </c>
      <c r="L15" s="8">
        <v>2.08</v>
      </c>
      <c r="M15" s="8">
        <v>2.9079999999999999</v>
      </c>
      <c r="N15" s="8">
        <v>2.4180000000000001</v>
      </c>
    </row>
    <row r="16" spans="1:19" ht="15" x14ac:dyDescent="0.2">
      <c r="A16" s="9" t="s">
        <v>60</v>
      </c>
      <c r="C16" s="8">
        <f t="shared" ref="C16:N16" si="3">SQRT((C15^2)+1)</f>
        <v>12.056542829517921</v>
      </c>
      <c r="D16" s="8">
        <f t="shared" si="3"/>
        <v>1.1495603507428394</v>
      </c>
      <c r="E16" s="8">
        <f t="shared" si="3"/>
        <v>9.2482233969557637</v>
      </c>
      <c r="F16" s="8">
        <f t="shared" si="3"/>
        <v>3.8578589917206667</v>
      </c>
      <c r="G16" s="8">
        <f t="shared" si="3"/>
        <v>2.0042876540057817</v>
      </c>
      <c r="H16" s="8">
        <f t="shared" si="3"/>
        <v>4.4313078204972403</v>
      </c>
      <c r="I16" s="8">
        <f t="shared" si="3"/>
        <v>2.3820671694979549</v>
      </c>
      <c r="J16" s="8">
        <f t="shared" si="3"/>
        <v>1.6921066751242368</v>
      </c>
      <c r="K16" s="8">
        <f t="shared" si="3"/>
        <v>1.9913020865755151</v>
      </c>
      <c r="L16" s="8">
        <f t="shared" si="3"/>
        <v>2.3078994778802651</v>
      </c>
      <c r="M16" s="8">
        <f t="shared" si="3"/>
        <v>3.075136419738155</v>
      </c>
      <c r="N16" s="8">
        <f t="shared" si="3"/>
        <v>2.6166245431853614</v>
      </c>
    </row>
    <row r="17" spans="1:14" ht="15" x14ac:dyDescent="0.2">
      <c r="A17" s="9" t="s">
        <v>59</v>
      </c>
      <c r="E17" s="8">
        <f t="shared" ref="E17:N17" si="4">E14/$E$4</f>
        <v>0.57742998749264962</v>
      </c>
      <c r="F17" s="8">
        <f t="shared" si="4"/>
        <v>1.2554586614486085</v>
      </c>
      <c r="G17" s="8">
        <f t="shared" si="4"/>
        <v>0.48533408399911587</v>
      </c>
      <c r="H17" s="8">
        <f t="shared" si="4"/>
        <v>1.7619312273915317</v>
      </c>
      <c r="I17" s="8">
        <f t="shared" si="4"/>
        <v>1.287249822888789</v>
      </c>
      <c r="J17" s="8">
        <f t="shared" si="4"/>
        <v>2.9265372554817795</v>
      </c>
      <c r="K17" s="8">
        <f t="shared" si="4"/>
        <v>3.864060462950166</v>
      </c>
      <c r="L17" s="8">
        <f t="shared" si="4"/>
        <v>5.0205148000437312</v>
      </c>
      <c r="M17" s="8">
        <f t="shared" si="4"/>
        <v>3.8450892154081706</v>
      </c>
      <c r="N17" s="8">
        <f t="shared" si="4"/>
        <v>0.571831298621302</v>
      </c>
    </row>
    <row r="19" spans="1:14" ht="15" x14ac:dyDescent="0.2">
      <c r="A19" s="10" t="s">
        <v>163</v>
      </c>
      <c r="C19" s="8">
        <v>1</v>
      </c>
    </row>
    <row r="20" spans="1:14" ht="15" x14ac:dyDescent="0.2">
      <c r="A20" s="9" t="s">
        <v>63</v>
      </c>
      <c r="C20" s="8">
        <v>1037.4839999999999</v>
      </c>
      <c r="D20" s="8">
        <v>1174.2539999999999</v>
      </c>
      <c r="E20" s="8">
        <v>2667.16</v>
      </c>
      <c r="F20" s="8">
        <v>5089.6409999999996</v>
      </c>
      <c r="G20" s="8">
        <v>5721.1949999999997</v>
      </c>
      <c r="H20" s="8">
        <v>2458.5659999999998</v>
      </c>
    </row>
    <row r="21" spans="1:14" ht="15" x14ac:dyDescent="0.2">
      <c r="A21" s="9" t="s">
        <v>62</v>
      </c>
      <c r="C21" s="8">
        <f t="shared" ref="C21:H21" si="5">C20-$B$7</f>
        <v>804.42199999999991</v>
      </c>
      <c r="D21" s="8">
        <f t="shared" si="5"/>
        <v>941.19199999999989</v>
      </c>
      <c r="E21" s="8">
        <f t="shared" si="5"/>
        <v>2434.098</v>
      </c>
      <c r="F21" s="8">
        <f t="shared" si="5"/>
        <v>4856.5789999999997</v>
      </c>
      <c r="G21" s="8">
        <f t="shared" si="5"/>
        <v>5488.1329999999998</v>
      </c>
      <c r="H21" s="8">
        <f t="shared" si="5"/>
        <v>2225.5039999999999</v>
      </c>
    </row>
    <row r="22" spans="1:14" ht="15" x14ac:dyDescent="0.2">
      <c r="A22" s="9" t="s">
        <v>61</v>
      </c>
      <c r="C22" s="8">
        <v>5.9820000000000002</v>
      </c>
      <c r="D22" s="8">
        <v>3.262</v>
      </c>
      <c r="E22" s="8">
        <v>2.1259999999999999</v>
      </c>
      <c r="F22" s="8">
        <v>1.5669999999999999</v>
      </c>
      <c r="G22" s="8">
        <v>1.3740000000000001</v>
      </c>
      <c r="H22" s="8">
        <v>0.65100000000000002</v>
      </c>
    </row>
    <row r="23" spans="1:14" ht="15" x14ac:dyDescent="0.2">
      <c r="A23" s="9" t="s">
        <v>60</v>
      </c>
      <c r="C23" s="8">
        <f t="shared" ref="C23:H23" si="6">SQRT((C22^2)+4)</f>
        <v>6.3074815893508562</v>
      </c>
      <c r="D23" s="8">
        <f t="shared" si="6"/>
        <v>3.8263094490644636</v>
      </c>
      <c r="E23" s="8">
        <f t="shared" si="6"/>
        <v>2.9188826629379947</v>
      </c>
      <c r="F23" s="8">
        <f t="shared" si="6"/>
        <v>2.5407654358480243</v>
      </c>
      <c r="G23" s="8">
        <f t="shared" si="6"/>
        <v>2.426494590968626</v>
      </c>
      <c r="H23" s="8">
        <f t="shared" si="6"/>
        <v>2.1032833855664812</v>
      </c>
    </row>
    <row r="24" spans="1:14" ht="15" x14ac:dyDescent="0.2">
      <c r="A24" s="9" t="s">
        <v>59</v>
      </c>
      <c r="D24" s="8">
        <f>D21/$E$4</f>
        <v>0.67992789370341356</v>
      </c>
      <c r="E24" s="8">
        <f>E21/$E$4</f>
        <v>1.7584203076605962</v>
      </c>
      <c r="F24" s="8">
        <f>F21/$E$4</f>
        <v>3.5084483613059088</v>
      </c>
      <c r="G24" s="8">
        <f>G21/$E$4</f>
        <v>3.9646902131065676</v>
      </c>
      <c r="H24" s="8">
        <f>H21/$E$4</f>
        <v>1.6077296100567386</v>
      </c>
    </row>
    <row r="26" spans="1:14" ht="15" x14ac:dyDescent="0.2">
      <c r="A26" s="10" t="s">
        <v>162</v>
      </c>
    </row>
    <row r="27" spans="1:14" ht="15" x14ac:dyDescent="0.2">
      <c r="A27" s="9" t="s">
        <v>63</v>
      </c>
      <c r="C27" s="8">
        <v>2612.4920000000002</v>
      </c>
      <c r="D27" s="8">
        <v>1424.066</v>
      </c>
    </row>
    <row r="28" spans="1:14" ht="15" x14ac:dyDescent="0.2">
      <c r="A28" s="9" t="s">
        <v>62</v>
      </c>
      <c r="C28" s="8">
        <f>C27-$B$7</f>
        <v>2379.4300000000003</v>
      </c>
      <c r="D28" s="8">
        <f>D27-$B$7</f>
        <v>1191.0039999999999</v>
      </c>
    </row>
    <row r="29" spans="1:14" ht="15" x14ac:dyDescent="0.2">
      <c r="A29" s="9" t="s">
        <v>61</v>
      </c>
      <c r="C29" s="8">
        <v>1.5229999999999999</v>
      </c>
      <c r="D29" s="8">
        <v>1.6919999999999999</v>
      </c>
    </row>
    <row r="30" spans="1:14" ht="15" x14ac:dyDescent="0.2">
      <c r="A30" s="9" t="s">
        <v>60</v>
      </c>
      <c r="C30" s="8">
        <f>SQRT((C29^2)+9)</f>
        <v>3.3644507724144219</v>
      </c>
      <c r="D30" s="8">
        <f>SQRT((D29^2)+9)</f>
        <v>3.4442508619437118</v>
      </c>
    </row>
    <row r="31" spans="1:14" ht="15" x14ac:dyDescent="0.2">
      <c r="A31" s="9" t="s">
        <v>59</v>
      </c>
      <c r="C31" s="8">
        <f>C28/$E$4</f>
        <v>1.7189275175678436</v>
      </c>
      <c r="D31" s="8">
        <f>D28/$E$4</f>
        <v>0.86039494716523346</v>
      </c>
    </row>
    <row r="33" spans="1:13" ht="15" x14ac:dyDescent="0.2">
      <c r="A33" s="10" t="s">
        <v>161</v>
      </c>
    </row>
    <row r="34" spans="1:13" ht="15" x14ac:dyDescent="0.2">
      <c r="A34" s="9" t="s">
        <v>63</v>
      </c>
      <c r="C34" s="8">
        <v>820.27</v>
      </c>
    </row>
    <row r="35" spans="1:13" ht="15" x14ac:dyDescent="0.2">
      <c r="A35" s="9" t="s">
        <v>62</v>
      </c>
      <c r="C35" s="8">
        <f>C34-$B$7</f>
        <v>587.20799999999997</v>
      </c>
    </row>
    <row r="36" spans="1:13" ht="15" x14ac:dyDescent="0.2">
      <c r="A36" s="9" t="s">
        <v>61</v>
      </c>
      <c r="C36" s="8">
        <v>1.982</v>
      </c>
    </row>
    <row r="37" spans="1:13" ht="15" x14ac:dyDescent="0.2">
      <c r="A37" s="9" t="s">
        <v>60</v>
      </c>
      <c r="C37" s="8">
        <f>SQRT((C36^2)+16)</f>
        <v>4.4641151418842231</v>
      </c>
    </row>
    <row r="38" spans="1:13" ht="15" x14ac:dyDescent="0.2">
      <c r="A38" s="9" t="s">
        <v>59</v>
      </c>
      <c r="C38" s="8">
        <f>C35/$E$4</f>
        <v>0.42420579287307386</v>
      </c>
    </row>
    <row r="40" spans="1:13" ht="15" x14ac:dyDescent="0.2">
      <c r="A40" s="10" t="s">
        <v>160</v>
      </c>
      <c r="C40" s="16">
        <v>1</v>
      </c>
      <c r="D40" s="16">
        <v>1</v>
      </c>
    </row>
    <row r="41" spans="1:13" ht="15" x14ac:dyDescent="0.2">
      <c r="A41" s="9" t="s">
        <v>63</v>
      </c>
      <c r="C41" s="16">
        <v>1778.441</v>
      </c>
      <c r="D41" s="16">
        <v>1225.7539999999999</v>
      </c>
      <c r="E41" s="8">
        <v>2795.4769999999999</v>
      </c>
      <c r="F41" s="8">
        <v>895.72699999999998</v>
      </c>
      <c r="G41" s="8">
        <v>7966.68</v>
      </c>
      <c r="H41" s="8">
        <v>7507.1210000000001</v>
      </c>
      <c r="I41" s="8">
        <v>7523.6170000000002</v>
      </c>
      <c r="J41" s="8">
        <v>5629.9409999999998</v>
      </c>
      <c r="K41" s="8">
        <v>7172.9219999999996</v>
      </c>
    </row>
    <row r="42" spans="1:13" ht="15" x14ac:dyDescent="0.2">
      <c r="A42" s="9" t="s">
        <v>62</v>
      </c>
      <c r="C42" s="17">
        <f t="shared" ref="C42:K42" si="7">C41-$B$7</f>
        <v>1545.3789999999999</v>
      </c>
      <c r="D42" s="17">
        <f t="shared" si="7"/>
        <v>992.69199999999989</v>
      </c>
      <c r="E42" s="17">
        <f t="shared" si="7"/>
        <v>2562.415</v>
      </c>
      <c r="F42" s="17">
        <f t="shared" si="7"/>
        <v>662.66499999999996</v>
      </c>
      <c r="G42" s="17">
        <f t="shared" si="7"/>
        <v>7733.6180000000004</v>
      </c>
      <c r="H42" s="17">
        <f t="shared" si="7"/>
        <v>7274.0590000000002</v>
      </c>
      <c r="I42" s="17">
        <f t="shared" si="7"/>
        <v>7290.5550000000003</v>
      </c>
      <c r="J42" s="17">
        <f t="shared" si="7"/>
        <v>5396.8789999999999</v>
      </c>
      <c r="K42" s="17">
        <f t="shared" si="7"/>
        <v>6939.86</v>
      </c>
    </row>
    <row r="43" spans="1:13" ht="15" x14ac:dyDescent="0.2">
      <c r="A43" s="9" t="s">
        <v>61</v>
      </c>
      <c r="C43" s="16">
        <v>0.60499999999999998</v>
      </c>
      <c r="D43" s="16">
        <v>4.3860000000000001</v>
      </c>
      <c r="E43" s="8">
        <v>4.3819999999999997</v>
      </c>
      <c r="F43" s="8">
        <v>8.6790000000000003</v>
      </c>
      <c r="G43" s="8">
        <v>2.9830000000000001</v>
      </c>
      <c r="H43" s="8">
        <v>2.129</v>
      </c>
      <c r="I43" s="8">
        <v>2.6259999999999999</v>
      </c>
      <c r="J43" s="8">
        <v>2.7519999999999998</v>
      </c>
      <c r="K43" s="8">
        <v>1.72</v>
      </c>
    </row>
    <row r="44" spans="1:13" ht="15" x14ac:dyDescent="0.2">
      <c r="A44" s="9" t="s">
        <v>60</v>
      </c>
      <c r="C44" s="8">
        <f t="shared" ref="C44:K44" si="8">SQRT((C43^2)+1)</f>
        <v>1.1687707217414371</v>
      </c>
      <c r="D44" s="8">
        <f t="shared" si="8"/>
        <v>4.4985548790694994</v>
      </c>
      <c r="E44" s="8">
        <f t="shared" si="8"/>
        <v>4.4946550479430565</v>
      </c>
      <c r="F44" s="8">
        <f t="shared" si="8"/>
        <v>8.7364203767904858</v>
      </c>
      <c r="G44" s="8">
        <f t="shared" si="8"/>
        <v>3.1461546370132538</v>
      </c>
      <c r="H44" s="8">
        <f t="shared" si="8"/>
        <v>2.3521566699520675</v>
      </c>
      <c r="I44" s="8">
        <f t="shared" si="8"/>
        <v>2.8099601420660756</v>
      </c>
      <c r="J44" s="8">
        <f t="shared" si="8"/>
        <v>2.9280546442988387</v>
      </c>
      <c r="K44" s="8">
        <f t="shared" si="8"/>
        <v>1.9895728184713419</v>
      </c>
    </row>
    <row r="45" spans="1:13" ht="15" x14ac:dyDescent="0.2">
      <c r="A45" s="9" t="s">
        <v>59</v>
      </c>
      <c r="E45" s="8">
        <f t="shared" ref="E45:K45" si="9">C42/$E$4</f>
        <v>1.1163995108792761</v>
      </c>
      <c r="F45" s="8">
        <f t="shared" si="9"/>
        <v>0.71713208426785291</v>
      </c>
      <c r="G45" s="8">
        <f t="shared" si="9"/>
        <v>1.8511179799063664</v>
      </c>
      <c r="H45" s="8">
        <f t="shared" si="9"/>
        <v>0.47871679495891656</v>
      </c>
      <c r="I45" s="8">
        <f t="shared" si="9"/>
        <v>5.5868543266908421</v>
      </c>
      <c r="J45" s="8">
        <f t="shared" si="9"/>
        <v>5.2548636352034013</v>
      </c>
      <c r="K45" s="8">
        <f t="shared" si="9"/>
        <v>5.2667805347674985</v>
      </c>
    </row>
    <row r="47" spans="1:13" ht="15" x14ac:dyDescent="0.2">
      <c r="A47" s="10" t="s">
        <v>159</v>
      </c>
      <c r="M47" s="17"/>
    </row>
    <row r="48" spans="1:13" ht="15" x14ac:dyDescent="0.2">
      <c r="A48" s="9" t="s">
        <v>63</v>
      </c>
      <c r="C48" s="8">
        <v>3065.652</v>
      </c>
      <c r="D48" s="16">
        <v>3279.59</v>
      </c>
      <c r="E48" s="8">
        <v>2632.4609999999998</v>
      </c>
      <c r="F48" s="8">
        <v>2386.3159999999998</v>
      </c>
      <c r="G48" s="8">
        <v>1820.0309999999999</v>
      </c>
      <c r="M48" s="16"/>
    </row>
    <row r="49" spans="1:13" ht="15" x14ac:dyDescent="0.2">
      <c r="A49" s="9" t="s">
        <v>62</v>
      </c>
      <c r="C49" s="8">
        <f>C48-$B$7</f>
        <v>2832.59</v>
      </c>
      <c r="D49" s="8">
        <f>D48-$B$7</f>
        <v>3046.5280000000002</v>
      </c>
      <c r="E49" s="8">
        <f>E48-$B$7</f>
        <v>2399.3989999999999</v>
      </c>
      <c r="F49" s="8">
        <f>F48-$B$7</f>
        <v>2153.2539999999999</v>
      </c>
      <c r="G49" s="8">
        <f>G48-$B$7</f>
        <v>1586.9690000000001</v>
      </c>
      <c r="M49" s="16"/>
    </row>
    <row r="50" spans="1:13" ht="15" x14ac:dyDescent="0.2">
      <c r="A50" s="9" t="s">
        <v>61</v>
      </c>
      <c r="C50" s="8">
        <v>1.8839999999999999</v>
      </c>
      <c r="D50" s="16">
        <v>4.4470000000000001</v>
      </c>
      <c r="E50" s="8">
        <v>2.7879999999999998</v>
      </c>
      <c r="F50" s="8">
        <v>2.1930000000000001</v>
      </c>
      <c r="G50" s="8">
        <v>3.0230000000000001</v>
      </c>
      <c r="M50" s="16"/>
    </row>
    <row r="51" spans="1:13" ht="15" x14ac:dyDescent="0.2">
      <c r="A51" s="9" t="s">
        <v>60</v>
      </c>
      <c r="C51" s="8">
        <f>SQRT((C50^2)+4)</f>
        <v>2.7476273400881714</v>
      </c>
      <c r="D51" s="8">
        <f>SQRT((D50^2)+4)</f>
        <v>4.8760444009463244</v>
      </c>
      <c r="E51" s="8">
        <f>SQRT((E50^2)+4)</f>
        <v>3.4311723943865018</v>
      </c>
      <c r="F51" s="8">
        <f>SQRT((F50^2)+4)</f>
        <v>2.9680379040706337</v>
      </c>
      <c r="G51" s="8">
        <f>SQRT((G50^2)+4)</f>
        <v>3.6247108850224179</v>
      </c>
    </row>
    <row r="52" spans="1:13" ht="15" x14ac:dyDescent="0.2">
      <c r="A52" s="9" t="s">
        <v>59</v>
      </c>
      <c r="C52" s="8">
        <f>C49/$E$4</f>
        <v>2.0462954980762187</v>
      </c>
      <c r="D52" s="8">
        <f>D49/$E$4</f>
        <v>2.200846762561171</v>
      </c>
      <c r="E52" s="8">
        <f>E49/$E$4</f>
        <v>1.7333533521577711</v>
      </c>
      <c r="F52" s="8">
        <f>F49/$E$4</f>
        <v>1.5555353815464328</v>
      </c>
      <c r="G52" s="8">
        <f>G49/$E$4</f>
        <v>1.1464446038030633</v>
      </c>
    </row>
    <row r="54" spans="1:13" ht="15" x14ac:dyDescent="0.2">
      <c r="A54" s="10" t="s">
        <v>158</v>
      </c>
    </row>
    <row r="55" spans="1:13" ht="15" x14ac:dyDescent="0.2">
      <c r="A55" s="9" t="s">
        <v>63</v>
      </c>
      <c r="C55" s="8">
        <v>801.28899999999999</v>
      </c>
      <c r="D55" s="8">
        <v>1048.047</v>
      </c>
      <c r="E55" s="8">
        <v>976.33600000000001</v>
      </c>
    </row>
    <row r="56" spans="1:13" ht="15" x14ac:dyDescent="0.2">
      <c r="A56" s="9" t="s">
        <v>62</v>
      </c>
      <c r="C56" s="8">
        <f>C55-$B$7</f>
        <v>568.22699999999998</v>
      </c>
      <c r="D56" s="8">
        <f>D55-$B$7</f>
        <v>814.98500000000001</v>
      </c>
      <c r="E56" s="8">
        <f>E55-$B$7</f>
        <v>743.274</v>
      </c>
    </row>
    <row r="57" spans="1:13" ht="15" x14ac:dyDescent="0.2">
      <c r="A57" s="9" t="s">
        <v>61</v>
      </c>
      <c r="C57" s="8">
        <v>4.4349999999999996</v>
      </c>
      <c r="D57" s="8">
        <v>2.06</v>
      </c>
      <c r="E57" s="8">
        <v>1.9350000000000001</v>
      </c>
    </row>
    <row r="58" spans="1:13" ht="15" x14ac:dyDescent="0.2">
      <c r="A58" s="9" t="s">
        <v>60</v>
      </c>
      <c r="C58" s="8">
        <f>SQRT((C57^2)+9)</f>
        <v>5.3543650417206328</v>
      </c>
      <c r="D58" s="8">
        <f>SQRT((D57^2)+9)</f>
        <v>3.6391757308489514</v>
      </c>
      <c r="E58" s="8">
        <f>SQRT((E57^2)+9)</f>
        <v>3.5699054609331045</v>
      </c>
    </row>
    <row r="59" spans="1:13" ht="15" x14ac:dyDescent="0.2">
      <c r="A59" s="9" t="s">
        <v>59</v>
      </c>
      <c r="C59" s="8">
        <f>C56/$E$4</f>
        <v>0.41049370081280934</v>
      </c>
      <c r="D59" s="8">
        <f>D56/$E$4</f>
        <v>0.58875450965358456</v>
      </c>
      <c r="E59" s="8">
        <f>E56/$E$4</f>
        <v>0.53694966092413776</v>
      </c>
    </row>
    <row r="61" spans="1:13" ht="15" x14ac:dyDescent="0.2">
      <c r="A61" s="9"/>
    </row>
    <row r="62" spans="1:13" ht="15" x14ac:dyDescent="0.2">
      <c r="A62" s="9"/>
      <c r="D62" s="11"/>
    </row>
    <row r="63" spans="1:13" ht="15" x14ac:dyDescent="0.2">
      <c r="A63" s="9"/>
    </row>
    <row r="64" spans="1:13" ht="15" x14ac:dyDescent="0.2">
      <c r="A64" s="9"/>
    </row>
    <row r="65" spans="1:1" ht="15" x14ac:dyDescent="0.2">
      <c r="A65" s="9"/>
    </row>
    <row r="66" spans="1:1" ht="15" x14ac:dyDescent="0.2">
      <c r="A66" s="9"/>
    </row>
    <row r="68" spans="1:1" ht="15" x14ac:dyDescent="0.2">
      <c r="A68" s="9"/>
    </row>
    <row r="69" spans="1:1" ht="15" x14ac:dyDescent="0.2">
      <c r="A69" s="9"/>
    </row>
    <row r="70" spans="1:1" ht="15" x14ac:dyDescent="0.2">
      <c r="A70" s="9"/>
    </row>
    <row r="71" spans="1:1" ht="15" x14ac:dyDescent="0.2">
      <c r="A71" s="9"/>
    </row>
    <row r="72" spans="1:1" ht="15" x14ac:dyDescent="0.2">
      <c r="A72" s="9"/>
    </row>
    <row r="73" spans="1:1" ht="15" x14ac:dyDescent="0.2">
      <c r="A73" s="9"/>
    </row>
  </sheetData>
  <mergeCells count="1">
    <mergeCell ref="G4:H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18BF-B909-2247-93A6-1D06F0C3E12D}">
  <sheetPr>
    <outlinePr summaryBelow="0" summaryRight="0"/>
  </sheetPr>
  <dimension ref="A1:S73"/>
  <sheetViews>
    <sheetView workbookViewId="0"/>
  </sheetViews>
  <sheetFormatPr baseColWidth="10" defaultColWidth="12.6640625" defaultRowHeight="15.75" customHeight="1" x14ac:dyDescent="0.2"/>
  <cols>
    <col min="1" max="1" width="21.33203125" style="7" customWidth="1"/>
    <col min="2" max="2" width="17.1640625" style="7" customWidth="1"/>
    <col min="3" max="16384" width="12.6640625" style="7"/>
  </cols>
  <sheetData>
    <row r="1" spans="1:19" ht="16" x14ac:dyDescent="0.2">
      <c r="A1" s="12" t="s">
        <v>75</v>
      </c>
      <c r="B1" s="12"/>
      <c r="C1" s="15">
        <v>45215</v>
      </c>
      <c r="D1" s="12"/>
      <c r="E1" s="12"/>
      <c r="F1" s="12"/>
      <c r="G1" s="12"/>
      <c r="H1" s="12"/>
    </row>
    <row r="2" spans="1:19" ht="16" x14ac:dyDescent="0.2">
      <c r="A2" s="12"/>
      <c r="B2" s="12"/>
      <c r="C2" s="12"/>
      <c r="D2" s="12"/>
      <c r="E2" s="12"/>
      <c r="F2" s="12"/>
      <c r="G2" s="12"/>
      <c r="H2" s="12"/>
    </row>
    <row r="3" spans="1:19" ht="16" x14ac:dyDescent="0.2">
      <c r="A3" s="12" t="s">
        <v>74</v>
      </c>
      <c r="B3" s="12" t="s">
        <v>114</v>
      </c>
      <c r="C3" s="12"/>
      <c r="D3" s="12"/>
      <c r="E3" s="12"/>
      <c r="F3" s="12"/>
      <c r="G3" s="12"/>
      <c r="H3" s="12"/>
    </row>
    <row r="4" spans="1:19" ht="16" x14ac:dyDescent="0.2">
      <c r="A4" s="12" t="s">
        <v>27</v>
      </c>
      <c r="B4" s="13">
        <v>36.47</v>
      </c>
      <c r="C4" s="12"/>
      <c r="D4" s="12" t="s">
        <v>73</v>
      </c>
      <c r="E4" s="13">
        <f>AVERAGE(C28,C35,C56,D56,C63)</f>
        <v>203.00880000000001</v>
      </c>
      <c r="F4" s="12"/>
      <c r="G4" s="55" t="s">
        <v>72</v>
      </c>
      <c r="H4" s="56"/>
    </row>
    <row r="5" spans="1:19" ht="16" x14ac:dyDescent="0.2">
      <c r="A5" s="12"/>
      <c r="B5" s="12"/>
      <c r="C5" s="17"/>
      <c r="D5" s="17"/>
      <c r="E5" s="17"/>
      <c r="F5" s="12"/>
      <c r="G5" s="12"/>
      <c r="H5" s="12"/>
    </row>
    <row r="6" spans="1:19" ht="15" x14ac:dyDescent="0.2">
      <c r="A6" s="10" t="s">
        <v>149</v>
      </c>
      <c r="B6" s="14" t="s">
        <v>70</v>
      </c>
      <c r="C6" s="16"/>
      <c r="D6" s="16"/>
      <c r="E6" s="17"/>
      <c r="P6" s="8"/>
    </row>
    <row r="7" spans="1:19" ht="16" x14ac:dyDescent="0.2">
      <c r="A7" s="9" t="s">
        <v>63</v>
      </c>
      <c r="B7" s="13">
        <v>227.821</v>
      </c>
      <c r="C7" s="16">
        <v>944.12099999999998</v>
      </c>
      <c r="D7" s="16">
        <v>573.50400000000002</v>
      </c>
      <c r="E7" s="17">
        <v>1342.242</v>
      </c>
      <c r="F7" s="8">
        <v>502.49599999999998</v>
      </c>
      <c r="G7" s="8">
        <v>489.24200000000002</v>
      </c>
      <c r="H7" s="8">
        <v>369.25799999999998</v>
      </c>
      <c r="I7" s="8">
        <v>373.90199999999999</v>
      </c>
    </row>
    <row r="8" spans="1:19" ht="16" x14ac:dyDescent="0.2">
      <c r="A8" s="9" t="s">
        <v>62</v>
      </c>
      <c r="B8" s="12"/>
      <c r="C8" s="17">
        <f t="shared" ref="C8:I8" si="0">C7-$B$7</f>
        <v>716.3</v>
      </c>
      <c r="D8" s="17">
        <f t="shared" si="0"/>
        <v>345.68299999999999</v>
      </c>
      <c r="E8" s="17">
        <f t="shared" si="0"/>
        <v>1114.421</v>
      </c>
      <c r="F8" s="17">
        <f t="shared" si="0"/>
        <v>274.67499999999995</v>
      </c>
      <c r="G8" s="17">
        <f t="shared" si="0"/>
        <v>261.42100000000005</v>
      </c>
      <c r="H8" s="17">
        <f t="shared" si="0"/>
        <v>141.43699999999998</v>
      </c>
      <c r="I8" s="17">
        <f t="shared" si="0"/>
        <v>146.08099999999999</v>
      </c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16" x14ac:dyDescent="0.2">
      <c r="A9" s="9" t="s">
        <v>61</v>
      </c>
      <c r="B9" s="12"/>
      <c r="C9" s="16">
        <v>2.1680000000000001</v>
      </c>
      <c r="D9" s="16">
        <v>5.3289999999999997</v>
      </c>
      <c r="E9" s="17">
        <v>5.1449999999999996</v>
      </c>
      <c r="F9" s="8">
        <v>0.55600000000000005</v>
      </c>
      <c r="G9" s="8">
        <v>0.91900000000000004</v>
      </c>
      <c r="H9" s="8">
        <v>1.845</v>
      </c>
      <c r="I9" s="8">
        <v>1.8420000000000001</v>
      </c>
    </row>
    <row r="10" spans="1:19" ht="16" x14ac:dyDescent="0.2">
      <c r="A10" s="9" t="s">
        <v>59</v>
      </c>
      <c r="B10" s="12"/>
      <c r="C10" s="17">
        <f t="shared" ref="C10:I10" si="1">C8/$E$4</f>
        <v>3.5284184724997139</v>
      </c>
      <c r="D10" s="17">
        <f t="shared" si="1"/>
        <v>1.7027981053038095</v>
      </c>
      <c r="E10" s="17">
        <f t="shared" si="1"/>
        <v>5.4895206513215191</v>
      </c>
      <c r="F10" s="17">
        <f t="shared" si="1"/>
        <v>1.3530201646431088</v>
      </c>
      <c r="G10" s="17">
        <f t="shared" si="1"/>
        <v>1.2877323544595114</v>
      </c>
      <c r="H10" s="17">
        <f t="shared" si="1"/>
        <v>0.6967037882101661</v>
      </c>
      <c r="I10" s="17">
        <f t="shared" si="1"/>
        <v>0.71957964383809958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2" spans="1:19" ht="15" x14ac:dyDescent="0.2">
      <c r="A12" s="10" t="s">
        <v>148</v>
      </c>
    </row>
    <row r="13" spans="1:19" ht="15" x14ac:dyDescent="0.2">
      <c r="A13" s="9" t="s">
        <v>63</v>
      </c>
      <c r="C13" s="8">
        <v>512.34</v>
      </c>
      <c r="D13" s="8">
        <v>336.15199999999999</v>
      </c>
      <c r="E13" s="8">
        <v>344.66</v>
      </c>
      <c r="F13" s="16">
        <v>421.34800000000001</v>
      </c>
      <c r="G13" s="16">
        <v>840.71500000000003</v>
      </c>
      <c r="H13" s="16">
        <v>963.71500000000003</v>
      </c>
      <c r="I13" s="16">
        <v>877.26599999999996</v>
      </c>
      <c r="J13" s="16">
        <v>1312.52</v>
      </c>
      <c r="K13" s="16">
        <v>1315.3630000000001</v>
      </c>
    </row>
    <row r="14" spans="1:19" ht="15" x14ac:dyDescent="0.2">
      <c r="A14" s="9" t="s">
        <v>62</v>
      </c>
      <c r="C14" s="8">
        <f t="shared" ref="C14:K14" si="2">C13-$B$7</f>
        <v>284.51900000000001</v>
      </c>
      <c r="D14" s="8">
        <f t="shared" si="2"/>
        <v>108.33099999999999</v>
      </c>
      <c r="E14" s="8">
        <f t="shared" si="2"/>
        <v>116.83900000000003</v>
      </c>
      <c r="F14" s="8">
        <f t="shared" si="2"/>
        <v>193.52700000000002</v>
      </c>
      <c r="G14" s="8">
        <f t="shared" si="2"/>
        <v>612.89400000000001</v>
      </c>
      <c r="H14" s="8">
        <f t="shared" si="2"/>
        <v>735.89400000000001</v>
      </c>
      <c r="I14" s="8">
        <f t="shared" si="2"/>
        <v>649.44499999999994</v>
      </c>
      <c r="J14" s="8">
        <f t="shared" si="2"/>
        <v>1084.6990000000001</v>
      </c>
      <c r="K14" s="8">
        <f t="shared" si="2"/>
        <v>1087.5420000000001</v>
      </c>
    </row>
    <row r="15" spans="1:19" ht="15" x14ac:dyDescent="0.2">
      <c r="A15" s="9" t="s">
        <v>61</v>
      </c>
      <c r="C15" s="8">
        <v>1.9419999999999999</v>
      </c>
      <c r="D15" s="8">
        <v>1.552</v>
      </c>
      <c r="E15" s="8">
        <v>1.5029999999999999</v>
      </c>
      <c r="F15" s="16">
        <v>1.952</v>
      </c>
      <c r="G15" s="16">
        <v>2.016</v>
      </c>
      <c r="H15" s="16">
        <v>1.6120000000000001</v>
      </c>
      <c r="I15" s="16">
        <v>1.889</v>
      </c>
      <c r="J15" s="16">
        <v>4.8150000000000004</v>
      </c>
      <c r="K15" s="16">
        <v>5.508</v>
      </c>
    </row>
    <row r="16" spans="1:19" ht="15" x14ac:dyDescent="0.2">
      <c r="A16" s="9" t="s">
        <v>60</v>
      </c>
      <c r="C16" s="8">
        <f t="shared" ref="C16:K16" si="3">SQRT((C15^2)+1)</f>
        <v>2.1843452108126131</v>
      </c>
      <c r="D16" s="8">
        <f t="shared" si="3"/>
        <v>1.8462675862398712</v>
      </c>
      <c r="E16" s="8">
        <f t="shared" si="3"/>
        <v>1.8052725555992923</v>
      </c>
      <c r="F16" s="8">
        <f t="shared" si="3"/>
        <v>2.1932405248854949</v>
      </c>
      <c r="G16" s="8">
        <f t="shared" si="3"/>
        <v>2.2503901883895603</v>
      </c>
      <c r="H16" s="8">
        <f t="shared" si="3"/>
        <v>1.8969828676084559</v>
      </c>
      <c r="I16" s="8">
        <f t="shared" si="3"/>
        <v>2.1373630950308842</v>
      </c>
      <c r="J16" s="8">
        <f t="shared" si="3"/>
        <v>4.9177459267432679</v>
      </c>
      <c r="K16" s="8">
        <f t="shared" si="3"/>
        <v>5.5980410859514063</v>
      </c>
    </row>
    <row r="17" spans="1:13" ht="15" x14ac:dyDescent="0.2">
      <c r="A17" s="9" t="s">
        <v>59</v>
      </c>
      <c r="C17" s="8">
        <f t="shared" ref="C17:K17" si="4">C14/$E$4</f>
        <v>1.4015106734289351</v>
      </c>
      <c r="D17" s="8">
        <f t="shared" si="4"/>
        <v>0.53362711370147498</v>
      </c>
      <c r="E17" s="8">
        <f t="shared" si="4"/>
        <v>0.57553662698365793</v>
      </c>
      <c r="F17" s="8">
        <f t="shared" si="4"/>
        <v>0.95329365032451796</v>
      </c>
      <c r="G17" s="8">
        <f t="shared" si="4"/>
        <v>3.0190513908756662</v>
      </c>
      <c r="H17" s="8">
        <f t="shared" si="4"/>
        <v>3.6249364559565889</v>
      </c>
      <c r="I17" s="8">
        <f t="shared" si="4"/>
        <v>3.1990977731014612</v>
      </c>
      <c r="J17" s="8">
        <f t="shared" si="4"/>
        <v>5.3431132049448102</v>
      </c>
      <c r="K17" s="8">
        <f t="shared" si="4"/>
        <v>5.3571175239694044</v>
      </c>
    </row>
    <row r="19" spans="1:13" ht="15" x14ac:dyDescent="0.2">
      <c r="A19" s="10" t="s">
        <v>147</v>
      </c>
    </row>
    <row r="20" spans="1:13" ht="15" x14ac:dyDescent="0.2">
      <c r="A20" s="9" t="s">
        <v>63</v>
      </c>
      <c r="C20" s="8">
        <v>833.73400000000004</v>
      </c>
      <c r="D20" s="8">
        <v>603.34400000000005</v>
      </c>
      <c r="E20" s="8">
        <v>405.125</v>
      </c>
      <c r="F20" s="8">
        <v>329.18</v>
      </c>
      <c r="G20" s="8">
        <v>908.25</v>
      </c>
      <c r="H20" s="8">
        <v>622.58199999999999</v>
      </c>
      <c r="I20" s="8">
        <v>891.64099999999996</v>
      </c>
      <c r="J20" s="8">
        <v>966.5</v>
      </c>
      <c r="K20" s="8">
        <v>688.72299999999996</v>
      </c>
      <c r="L20" s="8">
        <v>555.09799999999996</v>
      </c>
      <c r="M20" s="8">
        <v>420.762</v>
      </c>
    </row>
    <row r="21" spans="1:13" ht="15" x14ac:dyDescent="0.2">
      <c r="A21" s="9" t="s">
        <v>62</v>
      </c>
      <c r="C21" s="8">
        <f t="shared" ref="C21:M21" si="5">C20-$B$7</f>
        <v>605.91300000000001</v>
      </c>
      <c r="D21" s="8">
        <f t="shared" si="5"/>
        <v>375.52300000000002</v>
      </c>
      <c r="E21" s="8">
        <f t="shared" si="5"/>
        <v>177.304</v>
      </c>
      <c r="F21" s="8">
        <f t="shared" si="5"/>
        <v>101.35900000000001</v>
      </c>
      <c r="G21" s="8">
        <f t="shared" si="5"/>
        <v>680.42899999999997</v>
      </c>
      <c r="H21" s="8">
        <f t="shared" si="5"/>
        <v>394.76099999999997</v>
      </c>
      <c r="I21" s="8">
        <f t="shared" si="5"/>
        <v>663.81999999999994</v>
      </c>
      <c r="J21" s="8">
        <f t="shared" si="5"/>
        <v>738.67899999999997</v>
      </c>
      <c r="K21" s="8">
        <f t="shared" si="5"/>
        <v>460.90199999999993</v>
      </c>
      <c r="L21" s="8">
        <f t="shared" si="5"/>
        <v>327.27699999999993</v>
      </c>
      <c r="M21" s="8">
        <f t="shared" si="5"/>
        <v>192.941</v>
      </c>
    </row>
    <row r="22" spans="1:13" ht="15" x14ac:dyDescent="0.2">
      <c r="A22" s="9" t="s">
        <v>61</v>
      </c>
      <c r="C22" s="8">
        <v>4.601</v>
      </c>
      <c r="D22" s="8">
        <v>5.2240000000000002</v>
      </c>
      <c r="E22" s="8">
        <v>5.4729999999999999</v>
      </c>
      <c r="F22" s="8">
        <v>2.14</v>
      </c>
      <c r="G22" s="8">
        <v>1.597</v>
      </c>
      <c r="H22" s="8">
        <v>2.573</v>
      </c>
      <c r="I22" s="11">
        <v>1.7829999999999999</v>
      </c>
      <c r="J22" s="8">
        <v>1.637</v>
      </c>
      <c r="K22" s="8">
        <v>2.4740000000000002</v>
      </c>
      <c r="L22" s="8">
        <v>1.7250000000000001</v>
      </c>
      <c r="M22" s="8">
        <v>1.9379999999999999</v>
      </c>
    </row>
    <row r="23" spans="1:13" ht="15" x14ac:dyDescent="0.2">
      <c r="A23" s="9" t="s">
        <v>60</v>
      </c>
      <c r="C23" s="8">
        <f t="shared" ref="C23:M23" si="6">SQRT((C22^2)+4)</f>
        <v>5.0168915674947572</v>
      </c>
      <c r="D23" s="8">
        <f t="shared" si="6"/>
        <v>5.5937622402100722</v>
      </c>
      <c r="E23" s="8">
        <f t="shared" si="6"/>
        <v>5.8269828384851108</v>
      </c>
      <c r="F23" s="8">
        <f t="shared" si="6"/>
        <v>2.9290954235053523</v>
      </c>
      <c r="G23" s="8">
        <f t="shared" si="6"/>
        <v>2.5593766819286294</v>
      </c>
      <c r="H23" s="8">
        <f t="shared" si="6"/>
        <v>3.2588846251440078</v>
      </c>
      <c r="I23" s="8">
        <f t="shared" si="6"/>
        <v>2.6793822049121694</v>
      </c>
      <c r="J23" s="8">
        <f t="shared" si="6"/>
        <v>2.5845249079859918</v>
      </c>
      <c r="K23" s="8">
        <f t="shared" si="6"/>
        <v>3.181300991732785</v>
      </c>
      <c r="L23" s="8">
        <f t="shared" si="6"/>
        <v>2.6411408519804467</v>
      </c>
      <c r="M23" s="8">
        <f t="shared" si="6"/>
        <v>2.784931597005571</v>
      </c>
    </row>
    <row r="24" spans="1:13" ht="15" x14ac:dyDescent="0.2">
      <c r="A24" s="9" t="s">
        <v>59</v>
      </c>
      <c r="C24" s="8">
        <f t="shared" ref="C24:M24" si="7">C21/$E$4</f>
        <v>2.9846637190111953</v>
      </c>
      <c r="D24" s="8">
        <f t="shared" si="7"/>
        <v>1.849786807271409</v>
      </c>
      <c r="E24" s="8">
        <f t="shared" si="7"/>
        <v>0.87338085836673085</v>
      </c>
      <c r="F24" s="8">
        <f t="shared" si="7"/>
        <v>0.49928377489054665</v>
      </c>
      <c r="G24" s="8">
        <f t="shared" si="7"/>
        <v>3.351721698763797</v>
      </c>
      <c r="H24" s="8">
        <f t="shared" si="7"/>
        <v>1.9445511721659354</v>
      </c>
      <c r="I24" s="8">
        <f t="shared" si="7"/>
        <v>3.2699075113985203</v>
      </c>
      <c r="J24" s="8">
        <f t="shared" si="7"/>
        <v>3.6386550730805753</v>
      </c>
      <c r="K24" s="8">
        <f t="shared" si="7"/>
        <v>2.2703547826498158</v>
      </c>
      <c r="L24" s="8">
        <f t="shared" si="7"/>
        <v>1.6121320849145451</v>
      </c>
      <c r="M24" s="8">
        <f t="shared" si="7"/>
        <v>0.95040707594941698</v>
      </c>
    </row>
    <row r="26" spans="1:13" ht="15" x14ac:dyDescent="0.2">
      <c r="A26" s="10" t="s">
        <v>146</v>
      </c>
      <c r="C26" s="8">
        <v>1</v>
      </c>
    </row>
    <row r="27" spans="1:13" ht="15" x14ac:dyDescent="0.2">
      <c r="A27" s="9" t="s">
        <v>63</v>
      </c>
      <c r="C27" s="8">
        <v>463.05900000000003</v>
      </c>
      <c r="D27" s="8">
        <v>647.17999999999995</v>
      </c>
      <c r="E27" s="8">
        <v>816.61300000000006</v>
      </c>
      <c r="F27" s="8">
        <v>753.22699999999998</v>
      </c>
    </row>
    <row r="28" spans="1:13" ht="15" x14ac:dyDescent="0.2">
      <c r="A28" s="9" t="s">
        <v>62</v>
      </c>
      <c r="C28" s="8">
        <f>C27-$B$7</f>
        <v>235.23800000000003</v>
      </c>
      <c r="D28" s="8">
        <f>D27-$B$7</f>
        <v>419.35899999999992</v>
      </c>
      <c r="E28" s="8">
        <f>E27-$B$7</f>
        <v>588.79200000000003</v>
      </c>
      <c r="F28" s="8">
        <f>F27-$B$7</f>
        <v>525.40599999999995</v>
      </c>
    </row>
    <row r="29" spans="1:13" ht="15" x14ac:dyDescent="0.2">
      <c r="A29" s="9" t="s">
        <v>61</v>
      </c>
      <c r="C29" s="8">
        <v>5.2380000000000004</v>
      </c>
      <c r="D29" s="8">
        <v>6.194</v>
      </c>
      <c r="E29" s="8">
        <v>1.5920000000000001</v>
      </c>
      <c r="F29" s="8">
        <v>2.4289999999999998</v>
      </c>
    </row>
    <row r="30" spans="1:13" ht="15" x14ac:dyDescent="0.2">
      <c r="A30" s="9" t="s">
        <v>60</v>
      </c>
      <c r="C30" s="8">
        <f>SQRT((C29^2)+9)</f>
        <v>6.0362773296130126</v>
      </c>
      <c r="D30" s="8">
        <f>SQRT((D29^2)+9)</f>
        <v>6.8822696837598567</v>
      </c>
      <c r="E30" s="8">
        <f>SQRT((E29^2)+9)</f>
        <v>3.3962426297306854</v>
      </c>
      <c r="F30" s="8">
        <f>SQRT((F29^2)+9)</f>
        <v>3.8600571239296446</v>
      </c>
    </row>
    <row r="31" spans="1:13" ht="15" x14ac:dyDescent="0.2">
      <c r="A31" s="9" t="s">
        <v>59</v>
      </c>
      <c r="D31" s="8">
        <f>D28/$E$4</f>
        <v>2.0657183333924438</v>
      </c>
      <c r="E31" s="8">
        <f>E28/$E$4</f>
        <v>2.9003274734888338</v>
      </c>
      <c r="F31" s="8">
        <f>F28/$E$4</f>
        <v>2.5880947032837982</v>
      </c>
    </row>
    <row r="33" spans="1:13" ht="15" x14ac:dyDescent="0.2">
      <c r="A33" s="10" t="s">
        <v>145</v>
      </c>
      <c r="C33" s="21" t="s">
        <v>144</v>
      </c>
      <c r="D33" s="8"/>
    </row>
    <row r="34" spans="1:13" ht="15" x14ac:dyDescent="0.2">
      <c r="A34" s="9" t="s">
        <v>63</v>
      </c>
      <c r="C34" s="8">
        <v>405.81200000000001</v>
      </c>
      <c r="D34" s="8">
        <v>891.85199999999998</v>
      </c>
    </row>
    <row r="35" spans="1:13" ht="15" x14ac:dyDescent="0.2">
      <c r="A35" s="9" t="s">
        <v>62</v>
      </c>
      <c r="C35" s="8">
        <f>C34-$B$7</f>
        <v>177.99100000000001</v>
      </c>
      <c r="D35" s="8">
        <f>D34-$B$7</f>
        <v>664.03099999999995</v>
      </c>
    </row>
    <row r="36" spans="1:13" ht="15" x14ac:dyDescent="0.2">
      <c r="A36" s="9" t="s">
        <v>61</v>
      </c>
      <c r="C36" s="8">
        <v>13.565</v>
      </c>
      <c r="D36" s="8">
        <v>6.2880000000000003</v>
      </c>
    </row>
    <row r="37" spans="1:13" ht="15" x14ac:dyDescent="0.2">
      <c r="A37" s="9" t="s">
        <v>60</v>
      </c>
      <c r="C37" s="8">
        <f>SQRT((C36^2)+16)</f>
        <v>14.142461772972908</v>
      </c>
      <c r="D37" s="8">
        <f>SQRT((D36^2)+16)</f>
        <v>7.4524455046648947</v>
      </c>
    </row>
    <row r="38" spans="1:13" ht="15" x14ac:dyDescent="0.2">
      <c r="A38" s="9" t="s">
        <v>59</v>
      </c>
      <c r="D38" s="8">
        <f>D35/$E$4</f>
        <v>3.2709468752093502</v>
      </c>
    </row>
    <row r="40" spans="1:13" ht="15" x14ac:dyDescent="0.2">
      <c r="A40" s="10" t="s">
        <v>143</v>
      </c>
      <c r="C40" s="16"/>
      <c r="D40" s="16"/>
    </row>
    <row r="41" spans="1:13" ht="15" x14ac:dyDescent="0.2">
      <c r="A41" s="9" t="s">
        <v>63</v>
      </c>
      <c r="C41" s="16">
        <v>304.05900000000003</v>
      </c>
      <c r="D41" s="16"/>
    </row>
    <row r="42" spans="1:13" ht="15" x14ac:dyDescent="0.2">
      <c r="A42" s="9" t="s">
        <v>62</v>
      </c>
      <c r="C42" s="17">
        <f>C41-$B$7</f>
        <v>76.238000000000028</v>
      </c>
      <c r="D42" s="17"/>
      <c r="E42" s="17"/>
      <c r="F42" s="17"/>
      <c r="G42" s="17"/>
      <c r="H42" s="17"/>
      <c r="I42" s="17"/>
      <c r="J42" s="17"/>
      <c r="K42" s="17"/>
    </row>
    <row r="43" spans="1:13" ht="15" x14ac:dyDescent="0.2">
      <c r="A43" s="9" t="s">
        <v>61</v>
      </c>
      <c r="C43" s="16">
        <v>10.465999999999999</v>
      </c>
      <c r="D43" s="16"/>
    </row>
    <row r="44" spans="1:13" ht="15" x14ac:dyDescent="0.2">
      <c r="A44" s="9" t="s">
        <v>60</v>
      </c>
      <c r="C44" s="8">
        <f>SQRT((C43^2)+49)</f>
        <v>12.591153878815078</v>
      </c>
    </row>
    <row r="45" spans="1:13" ht="15" x14ac:dyDescent="0.2">
      <c r="A45" s="9" t="s">
        <v>59</v>
      </c>
      <c r="C45" s="8">
        <f>C42/$E$4</f>
        <v>0.37554037066373491</v>
      </c>
    </row>
    <row r="47" spans="1:13" ht="15" x14ac:dyDescent="0.2">
      <c r="A47" s="20" t="s">
        <v>142</v>
      </c>
      <c r="B47" s="17"/>
      <c r="C47" s="17"/>
      <c r="D47" s="17"/>
      <c r="E47" s="17"/>
      <c r="F47" s="17"/>
      <c r="G47" s="17"/>
      <c r="H47" s="17"/>
      <c r="M47" s="17"/>
    </row>
    <row r="48" spans="1:13" ht="15" x14ac:dyDescent="0.2">
      <c r="A48" s="19" t="s">
        <v>63</v>
      </c>
      <c r="B48" s="17"/>
      <c r="C48" s="16">
        <v>288.32</v>
      </c>
      <c r="D48" s="17"/>
      <c r="E48" s="17"/>
      <c r="F48" s="17"/>
      <c r="G48" s="17"/>
      <c r="H48" s="17"/>
      <c r="M48" s="16"/>
    </row>
    <row r="49" spans="1:13" ht="15" x14ac:dyDescent="0.2">
      <c r="A49" s="19" t="s">
        <v>62</v>
      </c>
      <c r="B49" s="17"/>
      <c r="C49" s="16">
        <f>C48-$B$7</f>
        <v>60.498999999999995</v>
      </c>
      <c r="D49" s="17"/>
      <c r="E49" s="17"/>
      <c r="F49" s="17"/>
      <c r="G49" s="17"/>
      <c r="H49" s="17"/>
      <c r="M49" s="16"/>
    </row>
    <row r="50" spans="1:13" ht="15" x14ac:dyDescent="0.2">
      <c r="A50" s="19" t="s">
        <v>61</v>
      </c>
      <c r="B50" s="17"/>
      <c r="C50" s="16">
        <v>3.847</v>
      </c>
      <c r="D50" s="17"/>
      <c r="E50" s="17"/>
      <c r="F50" s="17"/>
      <c r="G50" s="17"/>
      <c r="H50" s="17"/>
      <c r="M50" s="16"/>
    </row>
    <row r="51" spans="1:13" ht="15" x14ac:dyDescent="0.2">
      <c r="A51" s="19" t="s">
        <v>60</v>
      </c>
      <c r="B51" s="17"/>
      <c r="C51" s="16">
        <f>SQRT((C50^2)+81)</f>
        <v>9.787717251739549</v>
      </c>
      <c r="D51" s="17"/>
      <c r="E51" s="17"/>
      <c r="F51" s="17"/>
      <c r="G51" s="17"/>
      <c r="H51" s="17"/>
    </row>
    <row r="52" spans="1:13" ht="15" x14ac:dyDescent="0.2">
      <c r="A52" s="19" t="s">
        <v>59</v>
      </c>
      <c r="B52" s="17"/>
      <c r="C52" s="17">
        <f>C49/$E$4</f>
        <v>0.29801171180756691</v>
      </c>
      <c r="D52" s="17"/>
      <c r="E52" s="17"/>
      <c r="F52" s="17"/>
      <c r="G52" s="17"/>
      <c r="H52" s="17"/>
    </row>
    <row r="53" spans="1:13" ht="15.75" customHeight="1" x14ac:dyDescent="0.2">
      <c r="A53" s="17"/>
      <c r="B53" s="17"/>
      <c r="C53" s="17"/>
      <c r="D53" s="17"/>
      <c r="E53" s="17"/>
      <c r="F53" s="17"/>
      <c r="G53" s="17"/>
      <c r="H53" s="17"/>
    </row>
    <row r="54" spans="1:13" ht="15" x14ac:dyDescent="0.2">
      <c r="A54" s="20" t="s">
        <v>141</v>
      </c>
      <c r="B54" s="17"/>
      <c r="C54" s="16">
        <v>1</v>
      </c>
      <c r="D54" s="16">
        <v>1</v>
      </c>
      <c r="E54" s="17"/>
      <c r="F54" s="17"/>
      <c r="G54" s="17"/>
      <c r="H54" s="17"/>
    </row>
    <row r="55" spans="1:13" ht="15" x14ac:dyDescent="0.2">
      <c r="A55" s="19" t="s">
        <v>63</v>
      </c>
      <c r="B55" s="17"/>
      <c r="C55" s="16">
        <v>470.55900000000003</v>
      </c>
      <c r="D55" s="16">
        <v>382.41399999999999</v>
      </c>
      <c r="E55" s="16">
        <v>1150.3630000000001</v>
      </c>
      <c r="F55" s="16">
        <v>374.84</v>
      </c>
      <c r="G55" s="16">
        <v>454.92599999999999</v>
      </c>
      <c r="H55" s="17"/>
    </row>
    <row r="56" spans="1:13" ht="15" x14ac:dyDescent="0.2">
      <c r="A56" s="19" t="s">
        <v>62</v>
      </c>
      <c r="B56" s="17"/>
      <c r="C56" s="16">
        <f>C55-$B$7</f>
        <v>242.73800000000003</v>
      </c>
      <c r="D56" s="16">
        <f>D55-$B$7</f>
        <v>154.59299999999999</v>
      </c>
      <c r="E56" s="16">
        <f>E55-$B$7</f>
        <v>922.54200000000003</v>
      </c>
      <c r="F56" s="16">
        <f>F55-$B$7</f>
        <v>147.01899999999998</v>
      </c>
      <c r="G56" s="16">
        <f>G55-$B$7</f>
        <v>227.10499999999999</v>
      </c>
      <c r="H56" s="17"/>
    </row>
    <row r="57" spans="1:13" ht="15" x14ac:dyDescent="0.2">
      <c r="A57" s="19" t="s">
        <v>61</v>
      </c>
      <c r="B57" s="17"/>
      <c r="C57" s="16">
        <v>0.91200000000000003</v>
      </c>
      <c r="D57" s="16">
        <v>0.61099999999999999</v>
      </c>
      <c r="E57" s="16">
        <v>5.3639999999999999</v>
      </c>
      <c r="F57" s="16">
        <v>2.12</v>
      </c>
      <c r="G57" s="16">
        <v>5.157</v>
      </c>
      <c r="H57" s="17"/>
    </row>
    <row r="58" spans="1:13" ht="15" x14ac:dyDescent="0.2">
      <c r="A58" s="19" t="s">
        <v>60</v>
      </c>
      <c r="B58" s="17"/>
      <c r="C58" s="16">
        <f>SQRT((C57^2)+1)</f>
        <v>1.3534193732912205</v>
      </c>
      <c r="D58" s="16">
        <f>SQRT((D57^2)+1)</f>
        <v>1.1718877932635019</v>
      </c>
      <c r="E58" s="16">
        <f>SQRT((E57^2)+1)</f>
        <v>5.4564178725607153</v>
      </c>
      <c r="F58" s="16">
        <f>SQRT((F57^2)+1)</f>
        <v>2.3440136518373782</v>
      </c>
      <c r="G58" s="16">
        <f>SQRT((G57^2)+1)</f>
        <v>5.2530609172176943</v>
      </c>
      <c r="H58" s="17"/>
    </row>
    <row r="59" spans="1:13" ht="15" x14ac:dyDescent="0.2">
      <c r="A59" s="19" t="s">
        <v>59</v>
      </c>
      <c r="B59" s="17"/>
      <c r="C59" s="17"/>
      <c r="D59" s="17"/>
      <c r="E59" s="17">
        <f>E56/$E$4</f>
        <v>4.5443448756901175</v>
      </c>
      <c r="F59" s="17">
        <f>F56/$E$4</f>
        <v>0.72420013319619625</v>
      </c>
      <c r="G59" s="17">
        <f>G56/$E$4</f>
        <v>1.1186953471967718</v>
      </c>
      <c r="H59" s="17"/>
    </row>
    <row r="60" spans="1:13" ht="15.75" customHeight="1" x14ac:dyDescent="0.2">
      <c r="A60" s="17"/>
      <c r="B60" s="17"/>
      <c r="C60" s="17"/>
      <c r="D60" s="17"/>
      <c r="E60" s="17"/>
      <c r="F60" s="17"/>
      <c r="G60" s="17"/>
      <c r="H60" s="17"/>
    </row>
    <row r="61" spans="1:13" ht="15" x14ac:dyDescent="0.2">
      <c r="A61" s="20" t="s">
        <v>140</v>
      </c>
      <c r="B61" s="17"/>
      <c r="C61" s="16">
        <v>1</v>
      </c>
      <c r="D61" s="17"/>
      <c r="E61" s="17"/>
      <c r="F61" s="17"/>
      <c r="G61" s="17"/>
      <c r="H61" s="17"/>
    </row>
    <row r="62" spans="1:13" ht="15" x14ac:dyDescent="0.2">
      <c r="A62" s="19" t="s">
        <v>63</v>
      </c>
      <c r="B62" s="17"/>
      <c r="C62" s="16">
        <v>432.30500000000001</v>
      </c>
      <c r="D62" s="16">
        <v>397.92200000000003</v>
      </c>
      <c r="E62" s="16">
        <v>494.46100000000001</v>
      </c>
      <c r="F62" s="16">
        <v>368.56599999999997</v>
      </c>
      <c r="G62" s="17"/>
      <c r="H62" s="17"/>
    </row>
    <row r="63" spans="1:13" ht="15" x14ac:dyDescent="0.2">
      <c r="A63" s="19" t="s">
        <v>62</v>
      </c>
      <c r="B63" s="17"/>
      <c r="C63" s="16">
        <f>C62-$B$7</f>
        <v>204.48400000000001</v>
      </c>
      <c r="D63" s="16">
        <f>D62-$B$7</f>
        <v>170.10100000000003</v>
      </c>
      <c r="E63" s="16">
        <f>E62-$B$7</f>
        <v>266.64</v>
      </c>
      <c r="F63" s="16">
        <f>F62-$B$7</f>
        <v>140.74499999999998</v>
      </c>
      <c r="G63" s="17"/>
      <c r="H63" s="17"/>
    </row>
    <row r="64" spans="1:13" ht="15" x14ac:dyDescent="0.2">
      <c r="A64" s="19" t="s">
        <v>61</v>
      </c>
      <c r="B64" s="17"/>
      <c r="C64" s="16">
        <v>3.694</v>
      </c>
      <c r="D64" s="16">
        <v>7.556</v>
      </c>
      <c r="E64" s="16">
        <v>2.5449999999999999</v>
      </c>
      <c r="F64" s="16">
        <v>5.1749999999999998</v>
      </c>
      <c r="G64" s="17"/>
      <c r="H64" s="17"/>
    </row>
    <row r="65" spans="1:8" ht="15" x14ac:dyDescent="0.2">
      <c r="A65" s="19" t="s">
        <v>60</v>
      </c>
      <c r="B65" s="17"/>
      <c r="C65" s="16">
        <f>SQRT((C64^2)+4)</f>
        <v>4.2006708987970001</v>
      </c>
      <c r="D65" s="16">
        <f>SQRT((D64^2)+4)</f>
        <v>7.8162098231815653</v>
      </c>
      <c r="E65" s="16">
        <f>SQRT((E64^2)+4)</f>
        <v>3.236823288349242</v>
      </c>
      <c r="F65" s="16">
        <f>SQRT((F64^2)+4)</f>
        <v>5.5480289292684839</v>
      </c>
      <c r="G65" s="17"/>
      <c r="H65" s="17"/>
    </row>
    <row r="66" spans="1:8" ht="15" x14ac:dyDescent="0.2">
      <c r="A66" s="19" t="s">
        <v>59</v>
      </c>
      <c r="B66" s="17"/>
      <c r="C66" s="17"/>
      <c r="D66" s="17">
        <f>D63/$E$4</f>
        <v>0.83789963784821164</v>
      </c>
      <c r="E66" s="17">
        <f>E63/$E$4</f>
        <v>1.3134405996193268</v>
      </c>
      <c r="F66" s="17">
        <f>F63/$E$4</f>
        <v>0.69329506898223114</v>
      </c>
      <c r="G66" s="17"/>
      <c r="H66" s="17"/>
    </row>
    <row r="68" spans="1:8" ht="15" x14ac:dyDescent="0.2">
      <c r="A68" s="9"/>
    </row>
    <row r="69" spans="1:8" ht="15" x14ac:dyDescent="0.2">
      <c r="A69" s="9"/>
    </row>
    <row r="70" spans="1:8" ht="15" x14ac:dyDescent="0.2">
      <c r="A70" s="9"/>
    </row>
    <row r="71" spans="1:8" ht="15" x14ac:dyDescent="0.2">
      <c r="A71" s="9"/>
    </row>
    <row r="72" spans="1:8" ht="15" x14ac:dyDescent="0.2">
      <c r="A72" s="9"/>
    </row>
    <row r="73" spans="1:8" ht="15" x14ac:dyDescent="0.2">
      <c r="A73" s="9"/>
    </row>
  </sheetData>
  <mergeCells count="1">
    <mergeCell ref="G4:H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9B25-41B1-48EC-BD2D-2CB4644BAACD}">
  <dimension ref="A1:T37"/>
  <sheetViews>
    <sheetView workbookViewId="0">
      <selection activeCell="M16" sqref="M16"/>
    </sheetView>
  </sheetViews>
  <sheetFormatPr baseColWidth="10" defaultColWidth="8.83203125" defaultRowHeight="15" x14ac:dyDescent="0.2"/>
  <cols>
    <col min="1" max="1" width="18.6640625" customWidth="1"/>
    <col min="2" max="2" width="14" customWidth="1"/>
  </cols>
  <sheetData>
    <row r="1" spans="1:8" x14ac:dyDescent="0.2">
      <c r="A1" t="s">
        <v>51</v>
      </c>
    </row>
    <row r="2" spans="1:8" s="1" customFormat="1" x14ac:dyDescent="0.2">
      <c r="A2" s="1" t="s">
        <v>29</v>
      </c>
      <c r="B2" s="1" t="s">
        <v>2</v>
      </c>
      <c r="C2" s="1" t="s">
        <v>23</v>
      </c>
      <c r="E2" s="1" t="s">
        <v>25</v>
      </c>
    </row>
    <row r="3" spans="1:8" x14ac:dyDescent="0.2">
      <c r="A3" t="s">
        <v>9</v>
      </c>
      <c r="B3">
        <v>215.845</v>
      </c>
      <c r="C3">
        <v>281.44099999999997</v>
      </c>
      <c r="D3">
        <v>256.18799999999999</v>
      </c>
      <c r="E3">
        <v>417.27</v>
      </c>
      <c r="F3">
        <v>445.09399999999999</v>
      </c>
      <c r="G3">
        <v>318.55500000000001</v>
      </c>
    </row>
    <row r="4" spans="1:8" x14ac:dyDescent="0.2">
      <c r="A4" t="s">
        <v>21</v>
      </c>
      <c r="C4">
        <f>C3-B3</f>
        <v>65.595999999999975</v>
      </c>
      <c r="D4">
        <f>D3-B3</f>
        <v>40.342999999999989</v>
      </c>
      <c r="E4">
        <f>E3-B3</f>
        <v>201.42499999999998</v>
      </c>
      <c r="F4">
        <f>F3-B3</f>
        <v>229.249</v>
      </c>
      <c r="G4">
        <f>G3-B3</f>
        <v>102.71000000000001</v>
      </c>
    </row>
    <row r="5" spans="1:8" x14ac:dyDescent="0.2">
      <c r="A5" t="s">
        <v>5</v>
      </c>
      <c r="C5">
        <v>6.7409999999999997</v>
      </c>
      <c r="D5">
        <v>5.8380000000000001</v>
      </c>
      <c r="E5">
        <v>1.746</v>
      </c>
      <c r="F5">
        <v>0.98399999999999999</v>
      </c>
      <c r="G5">
        <v>1.335</v>
      </c>
    </row>
    <row r="6" spans="1:8" x14ac:dyDescent="0.2">
      <c r="A6" t="s">
        <v>6</v>
      </c>
      <c r="C6">
        <f>SQRT(9+C5^2)</f>
        <v>7.3784199528083247</v>
      </c>
      <c r="D6">
        <f t="shared" ref="D6:G6" si="0">SQRT(9+D5^2)</f>
        <v>6.563706574794459</v>
      </c>
      <c r="E6">
        <f t="shared" si="0"/>
        <v>3.4710972328645591</v>
      </c>
      <c r="F6">
        <f t="shared" si="0"/>
        <v>3.157254503520424</v>
      </c>
      <c r="G6">
        <f t="shared" si="0"/>
        <v>3.28362985124694</v>
      </c>
    </row>
    <row r="7" spans="1:8" x14ac:dyDescent="0.2">
      <c r="A7" t="s">
        <v>10</v>
      </c>
      <c r="E7">
        <f>E4/48.85</f>
        <v>4.1233367451381779</v>
      </c>
      <c r="F7">
        <f t="shared" ref="F7:G7" si="1">F4/48.85</f>
        <v>4.6929170931422721</v>
      </c>
      <c r="G7">
        <f t="shared" si="1"/>
        <v>2.1025588536335724</v>
      </c>
    </row>
    <row r="9" spans="1:8" s="1" customFormat="1" x14ac:dyDescent="0.2">
      <c r="A9" s="1" t="s">
        <v>13</v>
      </c>
      <c r="C9" s="1" t="s">
        <v>25</v>
      </c>
    </row>
    <row r="10" spans="1:8" x14ac:dyDescent="0.2">
      <c r="A10" t="s">
        <v>9</v>
      </c>
      <c r="B10">
        <v>215.845</v>
      </c>
      <c r="C10">
        <v>282.35500000000002</v>
      </c>
      <c r="D10">
        <v>266.35199999999998</v>
      </c>
      <c r="E10">
        <v>383.34</v>
      </c>
      <c r="F10">
        <v>363.03500000000003</v>
      </c>
      <c r="G10">
        <v>466.60500000000002</v>
      </c>
      <c r="H10">
        <v>445.34</v>
      </c>
    </row>
    <row r="11" spans="1:8" x14ac:dyDescent="0.2">
      <c r="A11" t="s">
        <v>4</v>
      </c>
      <c r="C11">
        <f>C10-B10</f>
        <v>66.510000000000019</v>
      </c>
      <c r="D11">
        <f>D10-B10</f>
        <v>50.506999999999977</v>
      </c>
      <c r="E11">
        <f>E10-B10</f>
        <v>167.49499999999998</v>
      </c>
      <c r="F11">
        <f>F10-B10</f>
        <v>147.19000000000003</v>
      </c>
      <c r="G11">
        <f>G10-B10</f>
        <v>250.76000000000002</v>
      </c>
      <c r="H11">
        <f>H10-B10</f>
        <v>229.49499999999998</v>
      </c>
    </row>
    <row r="12" spans="1:8" x14ac:dyDescent="0.2">
      <c r="A12" t="s">
        <v>5</v>
      </c>
      <c r="C12">
        <v>4.2140000000000004</v>
      </c>
      <c r="D12">
        <v>4.1319999999999997</v>
      </c>
      <c r="E12">
        <v>1.9690000000000001</v>
      </c>
      <c r="F12">
        <v>2.052</v>
      </c>
      <c r="G12">
        <v>1.796</v>
      </c>
      <c r="H12">
        <v>0.879</v>
      </c>
    </row>
    <row r="13" spans="1:8" x14ac:dyDescent="0.2">
      <c r="A13" t="s">
        <v>17</v>
      </c>
      <c r="C13">
        <f>SQRT(4+C12^2)</f>
        <v>4.6645252705929252</v>
      </c>
      <c r="D13">
        <f t="shared" ref="D13:H13" si="2">SQRT(4+D12^2)</f>
        <v>4.590579919792269</v>
      </c>
      <c r="E13">
        <f t="shared" si="2"/>
        <v>2.8065924178619168</v>
      </c>
      <c r="F13">
        <f t="shared" si="2"/>
        <v>2.8654326025924952</v>
      </c>
      <c r="G13">
        <f t="shared" si="2"/>
        <v>2.6880505947619366</v>
      </c>
      <c r="H13">
        <f t="shared" si="2"/>
        <v>2.1846374985337955</v>
      </c>
    </row>
    <row r="14" spans="1:8" x14ac:dyDescent="0.2">
      <c r="A14" t="s">
        <v>52</v>
      </c>
      <c r="C14">
        <f>C11/48.85</f>
        <v>1.3615148413510751</v>
      </c>
      <c r="D14">
        <f t="shared" ref="D14:H14" si="3">D11/48.85</f>
        <v>1.033920163766632</v>
      </c>
      <c r="E14">
        <f t="shared" si="3"/>
        <v>3.4287615148413506</v>
      </c>
      <c r="F14">
        <f t="shared" si="3"/>
        <v>3.0131013306038898</v>
      </c>
      <c r="G14">
        <f t="shared" si="3"/>
        <v>5.1332650972364382</v>
      </c>
      <c r="H14">
        <f t="shared" si="3"/>
        <v>4.6979529170931418</v>
      </c>
    </row>
    <row r="16" spans="1:8" s="1" customFormat="1" x14ac:dyDescent="0.2">
      <c r="A16" s="1" t="s">
        <v>14</v>
      </c>
      <c r="C16" s="1" t="s">
        <v>23</v>
      </c>
      <c r="D16" s="1" t="s">
        <v>24</v>
      </c>
    </row>
    <row r="17" spans="1:20" x14ac:dyDescent="0.2">
      <c r="A17" t="s">
        <v>9</v>
      </c>
      <c r="B17">
        <v>215.845</v>
      </c>
      <c r="C17">
        <v>261.80500000000001</v>
      </c>
      <c r="D17">
        <v>330.75799999999998</v>
      </c>
      <c r="E17">
        <v>306.17599999999999</v>
      </c>
      <c r="F17">
        <v>263.75799999999998</v>
      </c>
      <c r="G17">
        <v>297.10500000000002</v>
      </c>
      <c r="H17">
        <v>317.28100000000001</v>
      </c>
      <c r="I17">
        <v>423.04300000000001</v>
      </c>
      <c r="J17">
        <v>411.89499999999998</v>
      </c>
      <c r="K17">
        <v>427.25</v>
      </c>
    </row>
    <row r="18" spans="1:20" x14ac:dyDescent="0.2">
      <c r="A18" t="s">
        <v>4</v>
      </c>
      <c r="C18">
        <f>C17-B17</f>
        <v>45.960000000000008</v>
      </c>
      <c r="D18">
        <f>D17-B17</f>
        <v>114.91299999999998</v>
      </c>
      <c r="E18">
        <f>E17-B17</f>
        <v>90.330999999999989</v>
      </c>
      <c r="F18">
        <f>F17-B17</f>
        <v>47.912999999999982</v>
      </c>
      <c r="G18">
        <f>G17-B17</f>
        <v>81.260000000000019</v>
      </c>
      <c r="H18">
        <f>H17-B17</f>
        <v>101.43600000000001</v>
      </c>
      <c r="I18">
        <f>I17-B17</f>
        <v>207.19800000000001</v>
      </c>
      <c r="J18">
        <f>J17-B17</f>
        <v>196.04999999999998</v>
      </c>
      <c r="K18">
        <f>K17-B17</f>
        <v>211.405</v>
      </c>
    </row>
    <row r="19" spans="1:20" x14ac:dyDescent="0.2">
      <c r="A19" t="s">
        <v>5</v>
      </c>
      <c r="C19">
        <v>11.425000000000001</v>
      </c>
      <c r="D19">
        <v>2.0259999999999998</v>
      </c>
      <c r="E19">
        <v>1.5629999999999999</v>
      </c>
      <c r="F19">
        <v>1.1579999999999999</v>
      </c>
      <c r="G19">
        <v>2.762</v>
      </c>
      <c r="H19">
        <v>3.3740000000000001</v>
      </c>
      <c r="I19">
        <v>3.7930000000000001</v>
      </c>
      <c r="J19">
        <v>3.1629999999999998</v>
      </c>
      <c r="K19">
        <v>3.923</v>
      </c>
    </row>
    <row r="20" spans="1:20" x14ac:dyDescent="0.2">
      <c r="A20" t="s">
        <v>6</v>
      </c>
      <c r="C20">
        <f>SQRT(1+C19^2)</f>
        <v>11.468680176899172</v>
      </c>
      <c r="D20">
        <f t="shared" ref="D20:K20" si="4">SQRT(1+D19^2)</f>
        <v>2.2593530047338772</v>
      </c>
      <c r="E20">
        <f t="shared" si="4"/>
        <v>1.8555239152325684</v>
      </c>
      <c r="F20">
        <f t="shared" si="4"/>
        <v>1.5300209148897277</v>
      </c>
      <c r="G20">
        <f t="shared" si="4"/>
        <v>2.9374553613629604</v>
      </c>
      <c r="H20">
        <f t="shared" si="4"/>
        <v>3.5190731734364378</v>
      </c>
      <c r="I20">
        <f t="shared" si="4"/>
        <v>3.9226074236405561</v>
      </c>
      <c r="J20">
        <f t="shared" si="4"/>
        <v>3.3173135215110432</v>
      </c>
      <c r="K20">
        <f t="shared" si="4"/>
        <v>4.0484477272159518</v>
      </c>
    </row>
    <row r="21" spans="1:20" x14ac:dyDescent="0.2">
      <c r="A21" t="s">
        <v>10</v>
      </c>
      <c r="D21">
        <f>D18/48.85</f>
        <v>2.3523643807574204</v>
      </c>
      <c r="E21">
        <f t="shared" ref="E21:K21" si="5">E18/48.85</f>
        <v>1.8491504605936537</v>
      </c>
      <c r="F21">
        <f t="shared" si="5"/>
        <v>0.98081883316274265</v>
      </c>
      <c r="G21">
        <f t="shared" si="5"/>
        <v>1.6634595701125898</v>
      </c>
      <c r="H21">
        <f t="shared" si="5"/>
        <v>2.0764790174002048</v>
      </c>
      <c r="I21">
        <f t="shared" si="5"/>
        <v>4.2415148413510746</v>
      </c>
      <c r="J21">
        <f t="shared" si="5"/>
        <v>4.0133060388945747</v>
      </c>
      <c r="K21">
        <f t="shared" si="5"/>
        <v>4.3276356192425789</v>
      </c>
    </row>
    <row r="23" spans="1:20" s="1" customFormat="1" x14ac:dyDescent="0.2">
      <c r="A23" s="1" t="s">
        <v>53</v>
      </c>
      <c r="C23" s="1" t="s">
        <v>23</v>
      </c>
      <c r="D23" s="1" t="s">
        <v>25</v>
      </c>
    </row>
    <row r="24" spans="1:20" x14ac:dyDescent="0.2">
      <c r="A24" t="s">
        <v>9</v>
      </c>
      <c r="B24">
        <v>215.845</v>
      </c>
      <c r="C24">
        <v>259.33999999999997</v>
      </c>
      <c r="D24">
        <v>271.387</v>
      </c>
      <c r="E24">
        <v>295.09800000000001</v>
      </c>
      <c r="F24">
        <v>268.32400000000001</v>
      </c>
      <c r="G24">
        <v>270.52699999999999</v>
      </c>
      <c r="H24">
        <v>277.10899999999998</v>
      </c>
      <c r="I24">
        <v>286.84800000000001</v>
      </c>
      <c r="J24">
        <v>289.91399999999999</v>
      </c>
      <c r="K24">
        <v>339.70699999999999</v>
      </c>
      <c r="L24">
        <v>350.31200000000001</v>
      </c>
      <c r="M24">
        <v>284.79700000000003</v>
      </c>
      <c r="N24">
        <v>323.83199999999999</v>
      </c>
      <c r="O24">
        <v>318.98399999999998</v>
      </c>
      <c r="P24">
        <v>369.26600000000002</v>
      </c>
      <c r="Q24">
        <v>356.85899999999998</v>
      </c>
      <c r="R24">
        <v>340.28899999999999</v>
      </c>
      <c r="S24">
        <v>310.33600000000001</v>
      </c>
      <c r="T24">
        <v>283.79300000000001</v>
      </c>
    </row>
    <row r="25" spans="1:20" x14ac:dyDescent="0.2">
      <c r="A25" t="s">
        <v>4</v>
      </c>
      <c r="C25">
        <f>C24-B24</f>
        <v>43.494999999999976</v>
      </c>
      <c r="D25">
        <f>D24-B24</f>
        <v>55.542000000000002</v>
      </c>
      <c r="E25">
        <f>E24-B24</f>
        <v>79.253000000000014</v>
      </c>
      <c r="F25">
        <f>F24-B24</f>
        <v>52.479000000000013</v>
      </c>
      <c r="G25">
        <f>G24-B24</f>
        <v>54.681999999999988</v>
      </c>
      <c r="H25">
        <f>H24-B24</f>
        <v>61.263999999999982</v>
      </c>
      <c r="I25">
        <f>I24-B24</f>
        <v>71.003000000000014</v>
      </c>
      <c r="J25">
        <f>J24-B24</f>
        <v>74.068999999999988</v>
      </c>
      <c r="K25">
        <f>K24-B24</f>
        <v>123.86199999999999</v>
      </c>
      <c r="L25">
        <f>L24-B24</f>
        <v>134.46700000000001</v>
      </c>
      <c r="M25">
        <f>M24-B24</f>
        <v>68.952000000000027</v>
      </c>
      <c r="N25">
        <f>N24-B24</f>
        <v>107.98699999999999</v>
      </c>
      <c r="O25">
        <f>O24-B24</f>
        <v>103.13899999999998</v>
      </c>
      <c r="P25">
        <f>P24-B24</f>
        <v>153.42100000000002</v>
      </c>
      <c r="Q25">
        <f>Q24-B24</f>
        <v>141.01399999999998</v>
      </c>
      <c r="R25">
        <f>R24-B24</f>
        <v>124.44399999999999</v>
      </c>
      <c r="S25">
        <f>S24-B24</f>
        <v>94.491000000000014</v>
      </c>
      <c r="T25">
        <f>T24-B24</f>
        <v>67.948000000000008</v>
      </c>
    </row>
    <row r="26" spans="1:20" x14ac:dyDescent="0.2">
      <c r="A26" t="s">
        <v>5</v>
      </c>
      <c r="C26">
        <v>2.7810000000000001</v>
      </c>
      <c r="D26">
        <v>2.2269999999999999</v>
      </c>
      <c r="E26">
        <v>1.8540000000000001</v>
      </c>
      <c r="F26">
        <v>2.371</v>
      </c>
      <c r="G26">
        <v>1.6619999999999999</v>
      </c>
      <c r="H26">
        <v>8.9540000000000006</v>
      </c>
      <c r="I26">
        <v>3.4340000000000002</v>
      </c>
      <c r="J26">
        <v>3.3929999999999998</v>
      </c>
      <c r="K26">
        <v>2.6040000000000001</v>
      </c>
      <c r="L26">
        <v>3.153</v>
      </c>
      <c r="M26">
        <v>3.891</v>
      </c>
      <c r="N26">
        <v>3.0129999999999999</v>
      </c>
      <c r="O26">
        <v>2.7240000000000002</v>
      </c>
      <c r="P26">
        <v>2.4769999999999999</v>
      </c>
      <c r="Q26">
        <v>2.4180000000000001</v>
      </c>
      <c r="R26">
        <v>2.5009999999999999</v>
      </c>
      <c r="S26">
        <v>1.861</v>
      </c>
      <c r="T26">
        <v>2.5779999999999998</v>
      </c>
    </row>
    <row r="27" spans="1:20" x14ac:dyDescent="0.2">
      <c r="A27" t="s">
        <v>10</v>
      </c>
      <c r="D27">
        <f>D25/48.85</f>
        <v>1.1369907881269192</v>
      </c>
      <c r="E27">
        <f t="shared" ref="E27:T27" si="6">E25/48.85</f>
        <v>1.6223746161719552</v>
      </c>
      <c r="F27">
        <f t="shared" si="6"/>
        <v>1.0742886386898671</v>
      </c>
      <c r="G27">
        <f t="shared" si="6"/>
        <v>1.1193858751279424</v>
      </c>
      <c r="H27">
        <f t="shared" si="6"/>
        <v>1.2541248720573179</v>
      </c>
      <c r="I27">
        <f t="shared" si="6"/>
        <v>1.4534902763561928</v>
      </c>
      <c r="J27">
        <f t="shared" si="6"/>
        <v>1.51625383828045</v>
      </c>
      <c r="K27">
        <f t="shared" si="6"/>
        <v>2.5355578300921184</v>
      </c>
      <c r="L27">
        <f t="shared" si="6"/>
        <v>2.7526509723643811</v>
      </c>
      <c r="M27">
        <f t="shared" si="6"/>
        <v>1.411504605936541</v>
      </c>
      <c r="N27">
        <f t="shared" si="6"/>
        <v>2.2105834186284543</v>
      </c>
      <c r="O27">
        <f t="shared" si="6"/>
        <v>2.1113408393039914</v>
      </c>
      <c r="P27">
        <f t="shared" si="6"/>
        <v>3.1406550665301949</v>
      </c>
      <c r="Q27">
        <f t="shared" si="6"/>
        <v>2.8866734902763556</v>
      </c>
      <c r="R27">
        <f t="shared" si="6"/>
        <v>2.5474718526100304</v>
      </c>
      <c r="S27">
        <f t="shared" si="6"/>
        <v>1.9343091095189358</v>
      </c>
      <c r="T27">
        <f t="shared" si="6"/>
        <v>1.3909518935516889</v>
      </c>
    </row>
    <row r="29" spans="1:20" s="1" customFormat="1" x14ac:dyDescent="0.2">
      <c r="A29" s="1" t="s">
        <v>16</v>
      </c>
      <c r="C29" s="1" t="s">
        <v>25</v>
      </c>
    </row>
    <row r="30" spans="1:20" x14ac:dyDescent="0.2">
      <c r="A30" t="s">
        <v>9</v>
      </c>
      <c r="B30">
        <v>215.845</v>
      </c>
      <c r="C30">
        <v>282.67599999999999</v>
      </c>
      <c r="D30">
        <v>322.96100000000001</v>
      </c>
      <c r="E30">
        <v>323.02</v>
      </c>
      <c r="F30">
        <v>276.93400000000003</v>
      </c>
      <c r="G30">
        <v>305.17200000000003</v>
      </c>
      <c r="H30">
        <v>275.90600000000001</v>
      </c>
      <c r="I30">
        <v>333.16</v>
      </c>
      <c r="J30">
        <v>352.77300000000002</v>
      </c>
      <c r="K30">
        <v>353.20299999999997</v>
      </c>
      <c r="L30">
        <v>284.19099999999997</v>
      </c>
    </row>
    <row r="31" spans="1:20" x14ac:dyDescent="0.2">
      <c r="A31" t="s">
        <v>4</v>
      </c>
      <c r="C31">
        <f>C30-B30</f>
        <v>66.830999999999989</v>
      </c>
      <c r="D31">
        <f>D30-B30</f>
        <v>107.11600000000001</v>
      </c>
      <c r="E31">
        <f>E30-B30</f>
        <v>107.17499999999998</v>
      </c>
      <c r="F31">
        <f>F30-B30</f>
        <v>61.089000000000027</v>
      </c>
      <c r="G31">
        <f>G30-B30</f>
        <v>89.327000000000027</v>
      </c>
      <c r="H31">
        <f>H30-B30</f>
        <v>60.061000000000007</v>
      </c>
      <c r="I31">
        <f>I30-B30</f>
        <v>117.31500000000003</v>
      </c>
      <c r="J31">
        <f>J30-B30</f>
        <v>136.92800000000003</v>
      </c>
      <c r="K31">
        <f>K30-B30</f>
        <v>137.35799999999998</v>
      </c>
      <c r="L31">
        <f>L30-B30</f>
        <v>68.345999999999975</v>
      </c>
    </row>
    <row r="32" spans="1:20" x14ac:dyDescent="0.2">
      <c r="A32" t="s">
        <v>5</v>
      </c>
      <c r="C32">
        <v>9.3010000000000002</v>
      </c>
      <c r="D32">
        <v>8.73</v>
      </c>
      <c r="E32">
        <v>3.161</v>
      </c>
      <c r="F32">
        <v>2.17</v>
      </c>
      <c r="G32">
        <v>2.9740000000000002</v>
      </c>
      <c r="H32">
        <v>1.9259999999999999</v>
      </c>
      <c r="I32">
        <v>1.897</v>
      </c>
      <c r="J32">
        <v>2.597</v>
      </c>
      <c r="K32">
        <v>1.633</v>
      </c>
      <c r="L32">
        <v>2.5590000000000002</v>
      </c>
    </row>
    <row r="33" spans="1:12" x14ac:dyDescent="0.2">
      <c r="A33" t="s">
        <v>6</v>
      </c>
      <c r="C33">
        <f>SQRT(1+C32^2)</f>
        <v>9.3546031984258953</v>
      </c>
      <c r="D33">
        <f t="shared" ref="D33:L33" si="7">SQRT(1+D32^2)</f>
        <v>8.7870871169005724</v>
      </c>
      <c r="E33">
        <f t="shared" si="7"/>
        <v>3.3154066115636556</v>
      </c>
      <c r="F33">
        <f t="shared" si="7"/>
        <v>2.38933045014707</v>
      </c>
      <c r="G33">
        <f t="shared" si="7"/>
        <v>3.1376226669247531</v>
      </c>
      <c r="H33">
        <f t="shared" si="7"/>
        <v>2.1701327148356619</v>
      </c>
      <c r="I33">
        <f t="shared" si="7"/>
        <v>2.1444367558871957</v>
      </c>
      <c r="J33">
        <f t="shared" si="7"/>
        <v>2.782877826998519</v>
      </c>
      <c r="K33">
        <f t="shared" si="7"/>
        <v>1.9148600471052708</v>
      </c>
      <c r="L33">
        <f t="shared" si="7"/>
        <v>2.7474499085515647</v>
      </c>
    </row>
    <row r="34" spans="1:12" x14ac:dyDescent="0.2">
      <c r="A34" t="s">
        <v>10</v>
      </c>
      <c r="C34">
        <f>C31/48.85</f>
        <v>1.3680859774820877</v>
      </c>
      <c r="D34">
        <f t="shared" ref="D34:L34" si="8">D31/48.85</f>
        <v>2.1927533265097239</v>
      </c>
      <c r="E34">
        <f t="shared" si="8"/>
        <v>2.1939611054247692</v>
      </c>
      <c r="F34">
        <f t="shared" si="8"/>
        <v>1.2505424769703177</v>
      </c>
      <c r="G34">
        <f t="shared" si="8"/>
        <v>1.8285977482088029</v>
      </c>
      <c r="H34">
        <f t="shared" si="8"/>
        <v>1.22949846468782</v>
      </c>
      <c r="I34">
        <f t="shared" si="8"/>
        <v>2.4015353121801439</v>
      </c>
      <c r="J34">
        <f t="shared" si="8"/>
        <v>2.8030296827021499</v>
      </c>
      <c r="K34">
        <f t="shared" si="8"/>
        <v>2.8118321392016372</v>
      </c>
      <c r="L34">
        <f t="shared" si="8"/>
        <v>1.3990992835209821</v>
      </c>
    </row>
    <row r="36" spans="1:12" x14ac:dyDescent="0.2">
      <c r="A36" t="s">
        <v>33</v>
      </c>
      <c r="B36">
        <f>AVERAGE(C25,C18,C4:D4)</f>
        <v>48.848499999999987</v>
      </c>
    </row>
    <row r="37" spans="1:12" x14ac:dyDescent="0.2">
      <c r="A37" t="s">
        <v>27</v>
      </c>
      <c r="B37">
        <v>39.994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8546-A72B-43C4-9D30-C67D85801434}">
  <dimension ref="A1:L51"/>
  <sheetViews>
    <sheetView topLeftCell="A24" workbookViewId="0">
      <selection activeCell="C8" sqref="C8"/>
    </sheetView>
  </sheetViews>
  <sheetFormatPr baseColWidth="10" defaultColWidth="8.83203125" defaultRowHeight="15" x14ac:dyDescent="0.2"/>
  <cols>
    <col min="1" max="1" width="18.6640625" customWidth="1"/>
    <col min="2" max="2" width="17.33203125" customWidth="1"/>
  </cols>
  <sheetData>
    <row r="1" spans="1:6" x14ac:dyDescent="0.2">
      <c r="A1" t="s">
        <v>54</v>
      </c>
    </row>
    <row r="2" spans="1:6" s="1" customFormat="1" x14ac:dyDescent="0.2">
      <c r="A2" s="1" t="s">
        <v>11</v>
      </c>
      <c r="B2" s="1" t="s">
        <v>2</v>
      </c>
      <c r="C2" s="1" t="s">
        <v>25</v>
      </c>
    </row>
    <row r="3" spans="1:6" x14ac:dyDescent="0.2">
      <c r="A3" t="s">
        <v>9</v>
      </c>
      <c r="B3">
        <v>218.483</v>
      </c>
      <c r="C3">
        <v>250.059</v>
      </c>
    </row>
    <row r="4" spans="1:6" x14ac:dyDescent="0.2">
      <c r="A4" t="s">
        <v>4</v>
      </c>
      <c r="C4">
        <f>C3-B3</f>
        <v>31.575999999999993</v>
      </c>
    </row>
    <row r="5" spans="1:6" x14ac:dyDescent="0.2">
      <c r="A5" t="s">
        <v>31</v>
      </c>
      <c r="C5">
        <v>3.8119999999999998</v>
      </c>
    </row>
    <row r="6" spans="1:6" x14ac:dyDescent="0.2">
      <c r="A6" t="s">
        <v>6</v>
      </c>
      <c r="C6">
        <f>SQRT(9+C5^2)</f>
        <v>4.8509116668931416</v>
      </c>
    </row>
    <row r="7" spans="1:6" x14ac:dyDescent="0.2">
      <c r="A7" t="s">
        <v>10</v>
      </c>
      <c r="C7">
        <f>C4/12.8</f>
        <v>2.4668749999999995</v>
      </c>
    </row>
    <row r="9" spans="1:6" s="1" customFormat="1" x14ac:dyDescent="0.2">
      <c r="A9" s="1" t="s">
        <v>29</v>
      </c>
      <c r="C9" s="1" t="s">
        <v>25</v>
      </c>
    </row>
    <row r="10" spans="1:6" x14ac:dyDescent="0.2">
      <c r="A10" t="s">
        <v>9</v>
      </c>
      <c r="B10">
        <v>218.483</v>
      </c>
      <c r="C10">
        <v>253.352</v>
      </c>
      <c r="D10">
        <v>252.125</v>
      </c>
      <c r="E10">
        <v>245.28899999999999</v>
      </c>
      <c r="F10">
        <v>345.84399999999999</v>
      </c>
    </row>
    <row r="11" spans="1:6" x14ac:dyDescent="0.2">
      <c r="A11" t="s">
        <v>4</v>
      </c>
      <c r="C11">
        <f>C10-B10</f>
        <v>34.869</v>
      </c>
      <c r="D11">
        <f>D10-B10</f>
        <v>33.641999999999996</v>
      </c>
      <c r="E11">
        <f>E10-B10</f>
        <v>26.805999999999983</v>
      </c>
      <c r="F11">
        <f>F10-B10</f>
        <v>127.36099999999999</v>
      </c>
    </row>
    <row r="12" spans="1:6" x14ac:dyDescent="0.2">
      <c r="A12" t="s">
        <v>5</v>
      </c>
      <c r="C12">
        <v>1.9570000000000001</v>
      </c>
      <c r="D12">
        <v>3.7040000000000002</v>
      </c>
      <c r="E12">
        <v>3.2530000000000001</v>
      </c>
      <c r="F12">
        <v>2.7679999999999998</v>
      </c>
    </row>
    <row r="13" spans="1:6" x14ac:dyDescent="0.2">
      <c r="A13" t="s">
        <v>6</v>
      </c>
      <c r="C13">
        <f>SQRT(4+C12^2)</f>
        <v>2.7981867342977669</v>
      </c>
      <c r="D13">
        <f t="shared" ref="D13:F13" si="0">SQRT(4+D12^2)</f>
        <v>4.2094674247462711</v>
      </c>
      <c r="E13">
        <f t="shared" si="0"/>
        <v>3.8186396792575232</v>
      </c>
      <c r="F13">
        <f t="shared" si="0"/>
        <v>3.4149412879286811</v>
      </c>
    </row>
    <row r="14" spans="1:6" x14ac:dyDescent="0.2">
      <c r="A14" t="s">
        <v>10</v>
      </c>
      <c r="C14">
        <f>C11/12.8</f>
        <v>2.724140625</v>
      </c>
      <c r="D14">
        <f t="shared" ref="D14:F14" si="1">D11/12.8</f>
        <v>2.6282812499999997</v>
      </c>
      <c r="E14">
        <f t="shared" si="1"/>
        <v>2.0942187499999987</v>
      </c>
      <c r="F14">
        <f t="shared" si="1"/>
        <v>9.9500781249999992</v>
      </c>
    </row>
    <row r="16" spans="1:6" s="1" customFormat="1" x14ac:dyDescent="0.2">
      <c r="A16" s="1" t="s">
        <v>13</v>
      </c>
      <c r="C16" s="1" t="s">
        <v>25</v>
      </c>
    </row>
    <row r="17" spans="1:12" x14ac:dyDescent="0.2">
      <c r="A17" t="s">
        <v>9</v>
      </c>
      <c r="B17">
        <v>218.483</v>
      </c>
      <c r="C17">
        <v>256.25799999999998</v>
      </c>
      <c r="D17">
        <v>304.30900000000003</v>
      </c>
      <c r="E17">
        <v>327.75</v>
      </c>
      <c r="F17">
        <v>242.83600000000001</v>
      </c>
      <c r="G17">
        <v>304.39499999999998</v>
      </c>
      <c r="H17">
        <v>293.83999999999997</v>
      </c>
      <c r="I17">
        <v>317.21100000000001</v>
      </c>
      <c r="J17">
        <v>320.40600000000001</v>
      </c>
      <c r="K17">
        <v>383.363</v>
      </c>
    </row>
    <row r="18" spans="1:12" x14ac:dyDescent="0.2">
      <c r="A18" t="s">
        <v>4</v>
      </c>
      <c r="C18">
        <f>C17-B17</f>
        <v>37.774999999999977</v>
      </c>
      <c r="D18">
        <f>D17-B17</f>
        <v>85.826000000000022</v>
      </c>
      <c r="E18">
        <f>E17-B17</f>
        <v>109.267</v>
      </c>
      <c r="F18">
        <f>F17-B17</f>
        <v>24.353000000000009</v>
      </c>
      <c r="G18">
        <f>G17-B17</f>
        <v>85.911999999999978</v>
      </c>
      <c r="H18">
        <f>H17-B17</f>
        <v>75.356999999999971</v>
      </c>
      <c r="I18">
        <f>I17-B17</f>
        <v>98.728000000000009</v>
      </c>
      <c r="J18">
        <f>J17-B17</f>
        <v>101.923</v>
      </c>
      <c r="K18">
        <f>K17-B17</f>
        <v>164.88</v>
      </c>
    </row>
    <row r="19" spans="1:12" x14ac:dyDescent="0.2">
      <c r="A19" t="s">
        <v>31</v>
      </c>
      <c r="C19">
        <v>2.2999999999999998</v>
      </c>
      <c r="D19">
        <v>2.0209999999999999</v>
      </c>
      <c r="E19">
        <v>1.8080000000000001</v>
      </c>
      <c r="F19">
        <v>1.81</v>
      </c>
      <c r="G19">
        <v>2.5750000000000002</v>
      </c>
      <c r="H19">
        <v>3.1930000000000001</v>
      </c>
      <c r="I19">
        <v>3.609</v>
      </c>
      <c r="J19">
        <v>3.9089999999999998</v>
      </c>
      <c r="K19">
        <v>2.96</v>
      </c>
    </row>
    <row r="20" spans="1:12" x14ac:dyDescent="0.2">
      <c r="A20" t="s">
        <v>6</v>
      </c>
      <c r="C20">
        <f>SQRT(1+C19^2)</f>
        <v>2.5079872407968904</v>
      </c>
      <c r="D20">
        <f t="shared" ref="D20:K20" si="2">SQRT(1+D19^2)</f>
        <v>2.2548705062597274</v>
      </c>
      <c r="E20">
        <f t="shared" si="2"/>
        <v>2.0661229392269957</v>
      </c>
      <c r="F20">
        <f t="shared" si="2"/>
        <v>2.067873303662485</v>
      </c>
      <c r="G20">
        <f t="shared" si="2"/>
        <v>2.7623585936659274</v>
      </c>
      <c r="H20">
        <f t="shared" si="2"/>
        <v>3.3459302144545693</v>
      </c>
      <c r="I20">
        <f t="shared" si="2"/>
        <v>3.7449807743164718</v>
      </c>
      <c r="J20">
        <f t="shared" si="2"/>
        <v>4.0348830218483407</v>
      </c>
      <c r="K20">
        <f t="shared" si="2"/>
        <v>3.1243559336285616</v>
      </c>
    </row>
    <row r="21" spans="1:12" x14ac:dyDescent="0.2">
      <c r="A21" t="s">
        <v>10</v>
      </c>
      <c r="C21">
        <f>C18/12.8</f>
        <v>2.9511718749999982</v>
      </c>
      <c r="D21">
        <f t="shared" ref="D21:K21" si="3">D18/12.8</f>
        <v>6.7051562500000017</v>
      </c>
      <c r="E21">
        <f t="shared" si="3"/>
        <v>8.5364843749999988</v>
      </c>
      <c r="F21">
        <f t="shared" si="3"/>
        <v>1.9025781250000007</v>
      </c>
      <c r="G21">
        <f t="shared" si="3"/>
        <v>6.7118749999999983</v>
      </c>
      <c r="H21">
        <f t="shared" si="3"/>
        <v>5.8872656249999977</v>
      </c>
      <c r="I21">
        <f t="shared" si="3"/>
        <v>7.7131250000000007</v>
      </c>
      <c r="J21">
        <f t="shared" si="3"/>
        <v>7.9627343750000001</v>
      </c>
      <c r="K21">
        <f t="shared" si="3"/>
        <v>12.88125</v>
      </c>
    </row>
    <row r="23" spans="1:12" s="1" customFormat="1" x14ac:dyDescent="0.2">
      <c r="A23" s="1" t="s">
        <v>55</v>
      </c>
      <c r="C23" s="1" t="s">
        <v>23</v>
      </c>
      <c r="D23" s="1" t="s">
        <v>25</v>
      </c>
    </row>
    <row r="24" spans="1:12" x14ac:dyDescent="0.2">
      <c r="A24" t="s">
        <v>9</v>
      </c>
      <c r="B24">
        <v>218.483</v>
      </c>
      <c r="C24">
        <v>229.83600000000001</v>
      </c>
      <c r="D24">
        <v>258.64100000000002</v>
      </c>
      <c r="E24">
        <v>235.625</v>
      </c>
      <c r="F24">
        <v>246.38300000000001</v>
      </c>
      <c r="G24">
        <v>258.67200000000003</v>
      </c>
      <c r="H24">
        <v>303.45699999999999</v>
      </c>
      <c r="I24">
        <v>312.26600000000002</v>
      </c>
      <c r="J24">
        <v>314.46499999999997</v>
      </c>
      <c r="K24">
        <v>301.36700000000002</v>
      </c>
      <c r="L24">
        <v>298.80500000000001</v>
      </c>
    </row>
    <row r="25" spans="1:12" x14ac:dyDescent="0.2">
      <c r="A25" t="s">
        <v>4</v>
      </c>
      <c r="C25">
        <f>C24-B24</f>
        <v>11.353000000000009</v>
      </c>
      <c r="D25">
        <f>D24-B24</f>
        <v>40.158000000000015</v>
      </c>
      <c r="E25">
        <f>E24-B24</f>
        <v>17.141999999999996</v>
      </c>
      <c r="F25">
        <f>F24-B24</f>
        <v>27.900000000000006</v>
      </c>
      <c r="G25">
        <f>G24-B24</f>
        <v>40.189000000000021</v>
      </c>
      <c r="H25">
        <f>H24-B24</f>
        <v>84.97399999999999</v>
      </c>
      <c r="I25">
        <f>I24-B24</f>
        <v>93.783000000000015</v>
      </c>
      <c r="J25">
        <f>J24-B24</f>
        <v>95.981999999999971</v>
      </c>
      <c r="K25">
        <f>K24-B24</f>
        <v>82.884000000000015</v>
      </c>
      <c r="L25">
        <f>L24-B24</f>
        <v>80.322000000000003</v>
      </c>
    </row>
    <row r="26" spans="1:12" x14ac:dyDescent="0.2">
      <c r="A26" t="s">
        <v>5</v>
      </c>
      <c r="C26">
        <v>2.246</v>
      </c>
      <c r="D26">
        <v>4.298</v>
      </c>
      <c r="E26">
        <v>2.052</v>
      </c>
      <c r="F26">
        <v>1.3080000000000001</v>
      </c>
      <c r="G26">
        <v>1.165</v>
      </c>
      <c r="H26">
        <v>1.7070000000000001</v>
      </c>
      <c r="I26">
        <v>2.3260000000000001</v>
      </c>
      <c r="J26">
        <v>2.5059999999999998</v>
      </c>
      <c r="K26">
        <v>3.96</v>
      </c>
      <c r="L26">
        <v>3.169</v>
      </c>
    </row>
    <row r="27" spans="1:12" x14ac:dyDescent="0.2">
      <c r="A27" t="s">
        <v>10</v>
      </c>
      <c r="D27">
        <f>D25/12.8</f>
        <v>3.1373437500000012</v>
      </c>
      <c r="E27">
        <f t="shared" ref="E27:L27" si="4">E25/12.8</f>
        <v>1.3392187499999997</v>
      </c>
      <c r="F27">
        <f t="shared" si="4"/>
        <v>2.1796875000000004</v>
      </c>
      <c r="G27">
        <f t="shared" si="4"/>
        <v>3.1397656250000017</v>
      </c>
      <c r="H27">
        <f t="shared" si="4"/>
        <v>6.6385937499999992</v>
      </c>
      <c r="I27">
        <f t="shared" si="4"/>
        <v>7.3267968750000012</v>
      </c>
      <c r="J27">
        <f t="shared" si="4"/>
        <v>7.4985937499999977</v>
      </c>
      <c r="K27">
        <f t="shared" si="4"/>
        <v>6.4753125000000011</v>
      </c>
      <c r="L27">
        <f t="shared" si="4"/>
        <v>6.2751562500000002</v>
      </c>
    </row>
    <row r="29" spans="1:12" s="1" customFormat="1" x14ac:dyDescent="0.2">
      <c r="A29" s="1" t="s">
        <v>15</v>
      </c>
      <c r="C29" s="1" t="s">
        <v>23</v>
      </c>
      <c r="D29" s="1" t="s">
        <v>25</v>
      </c>
    </row>
    <row r="30" spans="1:12" x14ac:dyDescent="0.2">
      <c r="A30" t="s">
        <v>9</v>
      </c>
      <c r="B30">
        <v>218.483</v>
      </c>
      <c r="C30">
        <v>232.69499999999999</v>
      </c>
      <c r="D30">
        <v>261.44900000000001</v>
      </c>
      <c r="E30">
        <v>259.87099999999998</v>
      </c>
      <c r="F30">
        <v>251.15199999999999</v>
      </c>
      <c r="G30">
        <v>268.02699999999999</v>
      </c>
    </row>
    <row r="31" spans="1:12" x14ac:dyDescent="0.2">
      <c r="A31" t="s">
        <v>4</v>
      </c>
      <c r="C31">
        <f>C30-B30</f>
        <v>14.211999999999989</v>
      </c>
      <c r="D31">
        <f>D30-B30</f>
        <v>42.966000000000008</v>
      </c>
      <c r="E31">
        <f>E30-B30</f>
        <v>41.387999999999977</v>
      </c>
      <c r="F31">
        <f>F30-B30</f>
        <v>32.668999999999983</v>
      </c>
      <c r="G31">
        <f>G30-B30</f>
        <v>49.543999999999983</v>
      </c>
    </row>
    <row r="32" spans="1:12" x14ac:dyDescent="0.2">
      <c r="A32" t="s">
        <v>5</v>
      </c>
      <c r="C32">
        <v>1.9059999999999999</v>
      </c>
      <c r="D32">
        <v>1.736</v>
      </c>
      <c r="E32">
        <v>1.417</v>
      </c>
      <c r="F32">
        <v>1.9330000000000001</v>
      </c>
      <c r="G32">
        <v>1.1830000000000001</v>
      </c>
    </row>
    <row r="33" spans="1:7" x14ac:dyDescent="0.2">
      <c r="A33" t="s">
        <v>6</v>
      </c>
      <c r="C33">
        <f>SQRT(1+C32^2)</f>
        <v>2.1524023787386963</v>
      </c>
      <c r="D33">
        <f t="shared" ref="D33:G33" si="5">SQRT(1+D32^2)</f>
        <v>2.0034210740630636</v>
      </c>
      <c r="E33">
        <f t="shared" si="5"/>
        <v>1.7343266704978044</v>
      </c>
      <c r="F33">
        <f t="shared" si="5"/>
        <v>2.1763476284821781</v>
      </c>
      <c r="G33">
        <f t="shared" si="5"/>
        <v>1.5490284051624101</v>
      </c>
    </row>
    <row r="34" spans="1:7" x14ac:dyDescent="0.2">
      <c r="A34" t="s">
        <v>10</v>
      </c>
      <c r="D34">
        <f>D31/12.8</f>
        <v>3.3567187500000006</v>
      </c>
      <c r="E34">
        <f t="shared" ref="E34:G34" si="6">E31/12.8</f>
        <v>3.2334374999999982</v>
      </c>
      <c r="F34">
        <f t="shared" si="6"/>
        <v>2.5522656249999986</v>
      </c>
      <c r="G34">
        <f t="shared" si="6"/>
        <v>3.8706249999999986</v>
      </c>
    </row>
    <row r="36" spans="1:7" s="1" customFormat="1" x14ac:dyDescent="0.2">
      <c r="A36" s="1" t="s">
        <v>16</v>
      </c>
      <c r="C36" s="1" t="s">
        <v>24</v>
      </c>
    </row>
    <row r="37" spans="1:7" x14ac:dyDescent="0.2">
      <c r="A37" t="s">
        <v>9</v>
      </c>
      <c r="B37">
        <v>218.483</v>
      </c>
      <c r="C37">
        <v>249.53100000000001</v>
      </c>
      <c r="D37">
        <v>278.12900000000002</v>
      </c>
      <c r="E37">
        <v>297.92200000000003</v>
      </c>
      <c r="F37">
        <v>355.20299999999997</v>
      </c>
    </row>
    <row r="38" spans="1:7" x14ac:dyDescent="0.2">
      <c r="A38" t="s">
        <v>4</v>
      </c>
      <c r="C38">
        <f>C37-B37</f>
        <v>31.048000000000002</v>
      </c>
      <c r="D38">
        <f>D37-B37</f>
        <v>59.646000000000015</v>
      </c>
      <c r="E38">
        <f>E37-B37</f>
        <v>79.439000000000021</v>
      </c>
      <c r="F38">
        <f>F37-B37</f>
        <v>136.71999999999997</v>
      </c>
    </row>
    <row r="39" spans="1:7" x14ac:dyDescent="0.2">
      <c r="A39" t="s">
        <v>5</v>
      </c>
      <c r="C39">
        <v>2.0259999999999998</v>
      </c>
      <c r="D39">
        <v>0.97</v>
      </c>
      <c r="E39">
        <v>1.679</v>
      </c>
      <c r="F39">
        <v>1.589</v>
      </c>
    </row>
    <row r="40" spans="1:7" x14ac:dyDescent="0.2">
      <c r="A40" t="s">
        <v>6</v>
      </c>
      <c r="C40">
        <f>SQRT(4+C39^2)</f>
        <v>2.8468712650908539</v>
      </c>
      <c r="D40">
        <f t="shared" ref="D40:F40" si="7">SQRT(4+D39^2)</f>
        <v>2.2228135324403619</v>
      </c>
      <c r="E40">
        <f t="shared" si="7"/>
        <v>2.6113293549454846</v>
      </c>
      <c r="F40">
        <f t="shared" si="7"/>
        <v>2.5543924913763743</v>
      </c>
    </row>
    <row r="41" spans="1:7" x14ac:dyDescent="0.2">
      <c r="A41" t="s">
        <v>10</v>
      </c>
      <c r="C41">
        <f>C38/12.8</f>
        <v>2.4256250000000001</v>
      </c>
      <c r="D41">
        <f t="shared" ref="D41:F41" si="8">D38/12.8</f>
        <v>4.6598437500000012</v>
      </c>
      <c r="E41">
        <f t="shared" si="8"/>
        <v>6.2061718750000017</v>
      </c>
      <c r="F41">
        <f t="shared" si="8"/>
        <v>10.681249999999997</v>
      </c>
    </row>
    <row r="43" spans="1:7" s="1" customFormat="1" x14ac:dyDescent="0.2">
      <c r="A43" s="1" t="s">
        <v>18</v>
      </c>
      <c r="C43" s="1" t="s">
        <v>25</v>
      </c>
    </row>
    <row r="44" spans="1:7" x14ac:dyDescent="0.2">
      <c r="A44" t="s">
        <v>3</v>
      </c>
      <c r="B44">
        <v>218.483</v>
      </c>
      <c r="C44">
        <v>318.66399999999999</v>
      </c>
      <c r="D44">
        <v>296.46100000000001</v>
      </c>
    </row>
    <row r="45" spans="1:7" x14ac:dyDescent="0.2">
      <c r="A45" t="s">
        <v>4</v>
      </c>
      <c r="C45">
        <f>C44-B44</f>
        <v>100.18099999999998</v>
      </c>
      <c r="D45">
        <f>D44-B44</f>
        <v>77.978000000000009</v>
      </c>
    </row>
    <row r="46" spans="1:7" x14ac:dyDescent="0.2">
      <c r="A46" t="s">
        <v>5</v>
      </c>
      <c r="C46">
        <v>1.712</v>
      </c>
      <c r="D46">
        <v>1.595</v>
      </c>
    </row>
    <row r="47" spans="1:7" x14ac:dyDescent="0.2">
      <c r="A47" t="s">
        <v>17</v>
      </c>
      <c r="C47">
        <f>SQRT(9+C46^2)</f>
        <v>3.4541198589510471</v>
      </c>
      <c r="D47">
        <f>SQRT(9+D46^2)</f>
        <v>3.3976499231086184</v>
      </c>
    </row>
    <row r="48" spans="1:7" x14ac:dyDescent="0.2">
      <c r="A48" t="s">
        <v>10</v>
      </c>
      <c r="C48">
        <f>C45/12.8</f>
        <v>7.8266406249999987</v>
      </c>
      <c r="D48">
        <f>D45/12.8</f>
        <v>6.0920312500000007</v>
      </c>
    </row>
    <row r="50" spans="1:2" x14ac:dyDescent="0.2">
      <c r="A50" t="s">
        <v>33</v>
      </c>
      <c r="B50">
        <f>AVERAGE(C31,C25)</f>
        <v>12.782499999999999</v>
      </c>
    </row>
    <row r="51" spans="1:2" x14ac:dyDescent="0.2">
      <c r="A51" t="s">
        <v>27</v>
      </c>
      <c r="B51">
        <v>50.728000000000002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24BF-0ADA-4C5D-9785-F214E4F5C39A}">
  <dimension ref="A1:U72"/>
  <sheetViews>
    <sheetView workbookViewId="0">
      <selection activeCell="X25" sqref="X25"/>
    </sheetView>
  </sheetViews>
  <sheetFormatPr baseColWidth="10" defaultColWidth="8.83203125" defaultRowHeight="15" x14ac:dyDescent="0.2"/>
  <cols>
    <col min="1" max="1" width="20.1640625" customWidth="1"/>
    <col min="2" max="2" width="18.1640625" customWidth="1"/>
  </cols>
  <sheetData>
    <row r="1" spans="1:4" x14ac:dyDescent="0.2">
      <c r="A1" t="s">
        <v>56</v>
      </c>
    </row>
    <row r="2" spans="1:4" s="1" customFormat="1" x14ac:dyDescent="0.2">
      <c r="A2" s="1" t="s">
        <v>13</v>
      </c>
      <c r="B2" s="1" t="s">
        <v>30</v>
      </c>
      <c r="C2" s="1" t="s">
        <v>25</v>
      </c>
    </row>
    <row r="3" spans="1:4" x14ac:dyDescent="0.2">
      <c r="A3" t="s">
        <v>9</v>
      </c>
      <c r="B3">
        <v>224.102</v>
      </c>
      <c r="C3">
        <v>380.18</v>
      </c>
    </row>
    <row r="4" spans="1:4" x14ac:dyDescent="0.2">
      <c r="A4" t="s">
        <v>21</v>
      </c>
      <c r="C4">
        <f>C3-B3</f>
        <v>156.078</v>
      </c>
    </row>
    <row r="5" spans="1:4" x14ac:dyDescent="0.2">
      <c r="A5" t="s">
        <v>5</v>
      </c>
      <c r="C5">
        <v>0.434</v>
      </c>
    </row>
    <row r="6" spans="1:4" x14ac:dyDescent="0.2">
      <c r="A6" t="s">
        <v>6</v>
      </c>
      <c r="C6">
        <f>SQRT(25+C5^2)</f>
        <v>5.0188002550410387</v>
      </c>
    </row>
    <row r="7" spans="1:4" x14ac:dyDescent="0.2">
      <c r="A7" t="s">
        <v>10</v>
      </c>
      <c r="C7">
        <f>C4/127.8</f>
        <v>1.2212676056338028</v>
      </c>
    </row>
    <row r="9" spans="1:4" s="1" customFormat="1" x14ac:dyDescent="0.2">
      <c r="A9" s="1" t="s">
        <v>14</v>
      </c>
      <c r="C9" s="1" t="s">
        <v>25</v>
      </c>
    </row>
    <row r="10" spans="1:4" x14ac:dyDescent="0.2">
      <c r="A10" t="s">
        <v>9</v>
      </c>
      <c r="B10">
        <v>224.102</v>
      </c>
      <c r="C10">
        <v>786.88300000000004</v>
      </c>
      <c r="D10">
        <v>462.10500000000002</v>
      </c>
    </row>
    <row r="11" spans="1:4" x14ac:dyDescent="0.2">
      <c r="A11" t="s">
        <v>21</v>
      </c>
      <c r="C11">
        <f>C10-B10</f>
        <v>562.78100000000006</v>
      </c>
      <c r="D11">
        <f>D10-B10</f>
        <v>238.00300000000001</v>
      </c>
    </row>
    <row r="12" spans="1:4" x14ac:dyDescent="0.2">
      <c r="A12" t="s">
        <v>5</v>
      </c>
      <c r="C12">
        <v>0.71599999999999997</v>
      </c>
      <c r="D12">
        <v>0.56899999999999995</v>
      </c>
    </row>
    <row r="13" spans="1:4" x14ac:dyDescent="0.2">
      <c r="A13" t="s">
        <v>6</v>
      </c>
      <c r="C13">
        <f>SQRT(16+C12^2)</f>
        <v>4.0635767496135715</v>
      </c>
      <c r="D13">
        <f>SQRT(16+D12^2)</f>
        <v>4.0402674416429418</v>
      </c>
    </row>
    <row r="14" spans="1:4" x14ac:dyDescent="0.2">
      <c r="A14" t="s">
        <v>10</v>
      </c>
      <c r="C14">
        <f>C11/127.8</f>
        <v>4.4036071987480447</v>
      </c>
      <c r="D14">
        <f>D11/127.8</f>
        <v>1.8623082942097029</v>
      </c>
    </row>
    <row r="16" spans="1:4" s="1" customFormat="1" x14ac:dyDescent="0.2">
      <c r="A16" s="1" t="s">
        <v>15</v>
      </c>
      <c r="C16" s="1" t="s">
        <v>25</v>
      </c>
    </row>
    <row r="17" spans="1:15" x14ac:dyDescent="0.2">
      <c r="A17" t="s">
        <v>9</v>
      </c>
      <c r="B17">
        <v>224.102</v>
      </c>
      <c r="C17">
        <v>840.88300000000004</v>
      </c>
      <c r="D17">
        <v>1225.9649999999999</v>
      </c>
      <c r="E17">
        <v>750.53499999999997</v>
      </c>
      <c r="F17">
        <v>356.01600000000002</v>
      </c>
      <c r="G17">
        <v>336.75799999999998</v>
      </c>
    </row>
    <row r="18" spans="1:15" x14ac:dyDescent="0.2">
      <c r="A18" t="s">
        <v>4</v>
      </c>
      <c r="C18">
        <f>C17-B17</f>
        <v>616.78100000000006</v>
      </c>
      <c r="D18">
        <f>D17-B17</f>
        <v>1001.8629999999999</v>
      </c>
      <c r="E18">
        <f>E17-B17</f>
        <v>526.43299999999999</v>
      </c>
      <c r="F18">
        <f>F17-B17</f>
        <v>131.91400000000002</v>
      </c>
      <c r="G18">
        <f>G17-B17</f>
        <v>112.65599999999998</v>
      </c>
    </row>
    <row r="19" spans="1:15" x14ac:dyDescent="0.2">
      <c r="A19" t="s">
        <v>5</v>
      </c>
      <c r="C19">
        <v>0.93100000000000005</v>
      </c>
      <c r="D19">
        <v>0.309</v>
      </c>
      <c r="E19">
        <v>0.64600000000000002</v>
      </c>
      <c r="F19">
        <v>1.3029999999999999</v>
      </c>
      <c r="G19">
        <v>1.3540000000000001</v>
      </c>
    </row>
    <row r="20" spans="1:15" x14ac:dyDescent="0.2">
      <c r="A20" t="s">
        <v>17</v>
      </c>
      <c r="C20">
        <f>SQRT(9+C19^2)</f>
        <v>3.1411400796526094</v>
      </c>
      <c r="D20">
        <f t="shared" ref="D20:G20" si="0">SQRT(9+D19^2)</f>
        <v>3.0158715158308715</v>
      </c>
      <c r="E20">
        <f t="shared" si="0"/>
        <v>3.0687645722668266</v>
      </c>
      <c r="F20">
        <f t="shared" si="0"/>
        <v>3.2707505254910529</v>
      </c>
      <c r="G20">
        <f t="shared" si="0"/>
        <v>3.291400309898509</v>
      </c>
    </row>
    <row r="21" spans="1:15" x14ac:dyDescent="0.2">
      <c r="A21" t="s">
        <v>10</v>
      </c>
      <c r="C21">
        <f>C18/127.8</f>
        <v>4.8261424100156498</v>
      </c>
      <c r="D21">
        <f t="shared" ref="D21:G21" si="1">D18/127.8</f>
        <v>7.8393035993740217</v>
      </c>
      <c r="E21">
        <f t="shared" si="1"/>
        <v>4.1191940532081377</v>
      </c>
      <c r="F21">
        <f t="shared" si="1"/>
        <v>1.032190923317684</v>
      </c>
      <c r="G21">
        <f t="shared" si="1"/>
        <v>0.88150234741784017</v>
      </c>
    </row>
    <row r="23" spans="1:15" s="1" customFormat="1" x14ac:dyDescent="0.2">
      <c r="A23" s="1" t="s">
        <v>16</v>
      </c>
      <c r="C23" s="1" t="s">
        <v>25</v>
      </c>
    </row>
    <row r="24" spans="1:15" x14ac:dyDescent="0.2">
      <c r="A24" t="s">
        <v>9</v>
      </c>
      <c r="B24">
        <v>224.102</v>
      </c>
      <c r="C24">
        <v>339.06599999999997</v>
      </c>
      <c r="D24">
        <v>411.97300000000001</v>
      </c>
      <c r="E24">
        <v>393.12900000000002</v>
      </c>
      <c r="F24">
        <v>338.72300000000001</v>
      </c>
      <c r="G24">
        <v>341.74200000000002</v>
      </c>
      <c r="H24">
        <v>417.35199999999998</v>
      </c>
      <c r="I24">
        <v>486.50799999999998</v>
      </c>
      <c r="J24">
        <v>863.41399999999999</v>
      </c>
      <c r="K24">
        <v>590.87900000000002</v>
      </c>
      <c r="L24">
        <v>522.98</v>
      </c>
      <c r="M24">
        <v>532.14099999999996</v>
      </c>
      <c r="N24">
        <v>685.61300000000006</v>
      </c>
      <c r="O24">
        <v>675.125</v>
      </c>
    </row>
    <row r="25" spans="1:15" x14ac:dyDescent="0.2">
      <c r="A25" t="s">
        <v>4</v>
      </c>
      <c r="C25">
        <f>C24-B24</f>
        <v>114.96399999999997</v>
      </c>
      <c r="D25">
        <f>D24-B24</f>
        <v>187.87100000000001</v>
      </c>
      <c r="E25">
        <f>E24-B24</f>
        <v>169.02700000000002</v>
      </c>
      <c r="F25">
        <f>F24-B24</f>
        <v>114.62100000000001</v>
      </c>
      <c r="G25">
        <f>G24-B24</f>
        <v>117.64000000000001</v>
      </c>
      <c r="H25">
        <f>H24-B24</f>
        <v>193.24999999999997</v>
      </c>
      <c r="I25">
        <f>I24-B24</f>
        <v>262.40599999999995</v>
      </c>
      <c r="J25">
        <f>J24-B24</f>
        <v>639.31200000000001</v>
      </c>
      <c r="K25">
        <f>K24-B24</f>
        <v>366.77700000000004</v>
      </c>
      <c r="L25">
        <f>L24-B24</f>
        <v>298.87800000000004</v>
      </c>
      <c r="M25">
        <f>M24-B24</f>
        <v>308.03899999999999</v>
      </c>
      <c r="N25">
        <f>N24-B24</f>
        <v>461.51100000000008</v>
      </c>
      <c r="O25">
        <f>O24-B24</f>
        <v>451.02300000000002</v>
      </c>
    </row>
    <row r="26" spans="1:15" x14ac:dyDescent="0.2">
      <c r="A26" t="s">
        <v>5</v>
      </c>
      <c r="C26">
        <v>1.6890000000000001</v>
      </c>
      <c r="D26">
        <v>3.2469999999999999</v>
      </c>
      <c r="E26">
        <v>3.32</v>
      </c>
      <c r="F26">
        <v>3.4510000000000001</v>
      </c>
      <c r="G26">
        <v>3.11</v>
      </c>
      <c r="H26">
        <v>2.3759999999999999</v>
      </c>
      <c r="I26">
        <v>1.841</v>
      </c>
      <c r="J26">
        <v>1.012</v>
      </c>
      <c r="K26">
        <v>0.35899999999999999</v>
      </c>
      <c r="L26">
        <v>1.647</v>
      </c>
      <c r="M26">
        <v>2.181</v>
      </c>
      <c r="N26">
        <v>2.1179999999999999</v>
      </c>
      <c r="O26">
        <v>1.337</v>
      </c>
    </row>
    <row r="27" spans="1:15" x14ac:dyDescent="0.2">
      <c r="A27" t="s">
        <v>6</v>
      </c>
      <c r="C27">
        <f>SQRT(4+C26^2)</f>
        <v>2.6177702343788694</v>
      </c>
      <c r="D27">
        <f t="shared" ref="D27:N27" si="2">SQRT(4+D26^2)</f>
        <v>3.813529729791024</v>
      </c>
      <c r="E27">
        <f t="shared" si="2"/>
        <v>3.875874094962322</v>
      </c>
      <c r="F27">
        <f t="shared" si="2"/>
        <v>3.9886590478505433</v>
      </c>
      <c r="G27">
        <f t="shared" si="2"/>
        <v>3.6975802898652517</v>
      </c>
      <c r="H27">
        <f t="shared" si="2"/>
        <v>3.1057005650899443</v>
      </c>
      <c r="I27">
        <f t="shared" si="2"/>
        <v>2.7183231963841239</v>
      </c>
      <c r="J27">
        <f t="shared" si="2"/>
        <v>2.2414602383267921</v>
      </c>
      <c r="K27">
        <f t="shared" si="2"/>
        <v>2.0319648126874639</v>
      </c>
      <c r="L27">
        <f t="shared" si="2"/>
        <v>2.5908703170942387</v>
      </c>
      <c r="M27">
        <f t="shared" si="2"/>
        <v>2.9591824884585947</v>
      </c>
      <c r="N27">
        <f t="shared" si="2"/>
        <v>2.9130609331079911</v>
      </c>
      <c r="O27">
        <f>SQRT(4+O26^2)</f>
        <v>2.4057366855082041</v>
      </c>
    </row>
    <row r="28" spans="1:15" x14ac:dyDescent="0.2">
      <c r="A28" t="s">
        <v>10</v>
      </c>
      <c r="C28">
        <f>C25/127.8</f>
        <v>0.89956181533646296</v>
      </c>
      <c r="D28">
        <f t="shared" ref="D28:O28" si="3">D25/127.8</f>
        <v>1.4700391236306731</v>
      </c>
      <c r="E28">
        <f t="shared" si="3"/>
        <v>1.322589984350548</v>
      </c>
      <c r="F28">
        <f t="shared" si="3"/>
        <v>0.89687793427230056</v>
      </c>
      <c r="G28">
        <f t="shared" si="3"/>
        <v>0.92050078247261358</v>
      </c>
      <c r="H28">
        <f t="shared" si="3"/>
        <v>1.5121283255086071</v>
      </c>
      <c r="I28">
        <f t="shared" si="3"/>
        <v>2.0532550860719869</v>
      </c>
      <c r="J28">
        <f t="shared" si="3"/>
        <v>5.002441314553991</v>
      </c>
      <c r="K28">
        <f t="shared" si="3"/>
        <v>2.8699295774647893</v>
      </c>
      <c r="L28">
        <f t="shared" si="3"/>
        <v>2.3386384976525827</v>
      </c>
      <c r="M28">
        <f t="shared" si="3"/>
        <v>2.4103208137715177</v>
      </c>
      <c r="N28">
        <f t="shared" si="3"/>
        <v>3.6111971830985921</v>
      </c>
      <c r="O28">
        <f t="shared" si="3"/>
        <v>3.5291314553990611</v>
      </c>
    </row>
    <row r="30" spans="1:15" s="1" customFormat="1" x14ac:dyDescent="0.2">
      <c r="A30" s="1" t="s">
        <v>18</v>
      </c>
      <c r="C30" s="1" t="s">
        <v>25</v>
      </c>
    </row>
    <row r="31" spans="1:15" x14ac:dyDescent="0.2">
      <c r="A31" t="s">
        <v>9</v>
      </c>
      <c r="B31">
        <v>224.102</v>
      </c>
      <c r="C31">
        <v>731.09</v>
      </c>
      <c r="D31">
        <v>520.30100000000004</v>
      </c>
      <c r="E31">
        <v>613.43399999999997</v>
      </c>
      <c r="F31">
        <v>590.58199999999999</v>
      </c>
      <c r="G31">
        <v>507.05500000000001</v>
      </c>
      <c r="H31">
        <v>663.68</v>
      </c>
      <c r="I31">
        <v>838.58600000000001</v>
      </c>
      <c r="J31">
        <v>854.69500000000005</v>
      </c>
      <c r="K31">
        <v>589.66800000000001</v>
      </c>
      <c r="L31">
        <v>741.38699999999994</v>
      </c>
      <c r="M31">
        <v>714.62099999999998</v>
      </c>
      <c r="N31">
        <v>565.02700000000004</v>
      </c>
    </row>
    <row r="32" spans="1:15" x14ac:dyDescent="0.2">
      <c r="A32" t="s">
        <v>4</v>
      </c>
      <c r="C32">
        <f>C31-B31</f>
        <v>506.98800000000006</v>
      </c>
      <c r="D32">
        <f>D31-B31</f>
        <v>296.19900000000007</v>
      </c>
      <c r="E32">
        <f>E31-B31</f>
        <v>389.33199999999999</v>
      </c>
      <c r="F32">
        <f>F31-B31</f>
        <v>366.48</v>
      </c>
      <c r="G32">
        <f>G31-B31</f>
        <v>282.95299999999997</v>
      </c>
      <c r="H32">
        <f>H31-B31</f>
        <v>439.57799999999997</v>
      </c>
      <c r="I32">
        <f>I31-B31</f>
        <v>614.48400000000004</v>
      </c>
      <c r="J32">
        <f>J31-B31</f>
        <v>630.59300000000007</v>
      </c>
      <c r="K32">
        <f>K31-B31</f>
        <v>365.56600000000003</v>
      </c>
      <c r="L32">
        <f>L31-B31</f>
        <v>517.28499999999997</v>
      </c>
      <c r="M32">
        <f>M31-B31</f>
        <v>490.51900000000001</v>
      </c>
      <c r="N32">
        <f>N31-B31</f>
        <v>340.92500000000007</v>
      </c>
    </row>
    <row r="33" spans="1:21" x14ac:dyDescent="0.2">
      <c r="A33" t="s">
        <v>5</v>
      </c>
      <c r="C33">
        <v>1.758</v>
      </c>
      <c r="D33">
        <v>1.5229999999999999</v>
      </c>
      <c r="E33">
        <v>2.2559999999999998</v>
      </c>
      <c r="F33">
        <v>1.5229999999999999</v>
      </c>
      <c r="G33">
        <v>2.3919999999999999</v>
      </c>
      <c r="H33">
        <v>1.659</v>
      </c>
      <c r="I33">
        <v>2.7610000000000001</v>
      </c>
      <c r="J33">
        <v>3.1309999999999998</v>
      </c>
      <c r="K33">
        <v>2.8370000000000002</v>
      </c>
      <c r="L33">
        <v>1.595</v>
      </c>
      <c r="M33">
        <v>2.794</v>
      </c>
      <c r="N33">
        <v>3.7709999999999999</v>
      </c>
    </row>
    <row r="34" spans="1:21" x14ac:dyDescent="0.2">
      <c r="A34" t="s">
        <v>6</v>
      </c>
      <c r="C34">
        <f>SQRT(1+C33^2)</f>
        <v>2.0225142768346531</v>
      </c>
      <c r="D34">
        <f t="shared" ref="D34:N34" si="4">SQRT(1+D33^2)</f>
        <v>1.8219574638283957</v>
      </c>
      <c r="E34">
        <f t="shared" si="4"/>
        <v>2.4676985229156334</v>
      </c>
      <c r="F34">
        <f t="shared" si="4"/>
        <v>1.8219574638283957</v>
      </c>
      <c r="G34">
        <f t="shared" si="4"/>
        <v>2.5926172104651313</v>
      </c>
      <c r="H34">
        <f t="shared" si="4"/>
        <v>1.9370805352385325</v>
      </c>
      <c r="I34">
        <f t="shared" si="4"/>
        <v>2.936515111488446</v>
      </c>
      <c r="J34">
        <f t="shared" si="4"/>
        <v>3.2868162406803334</v>
      </c>
      <c r="K34">
        <f t="shared" si="4"/>
        <v>3.0080839416479055</v>
      </c>
      <c r="L34">
        <f t="shared" si="4"/>
        <v>1.8825581000330376</v>
      </c>
      <c r="M34">
        <f t="shared" si="4"/>
        <v>2.9675639841459192</v>
      </c>
      <c r="N34">
        <f t="shared" si="4"/>
        <v>3.901338360101569</v>
      </c>
    </row>
    <row r="35" spans="1:21" x14ac:dyDescent="0.2">
      <c r="A35" t="s">
        <v>10</v>
      </c>
      <c r="C35">
        <f>C32/127.8</f>
        <v>3.9670422535211274</v>
      </c>
      <c r="D35">
        <f t="shared" ref="D35:N35" si="5">D32/127.8</f>
        <v>2.317676056338029</v>
      </c>
      <c r="E35">
        <f t="shared" si="5"/>
        <v>3.0464162754303601</v>
      </c>
      <c r="F35">
        <f t="shared" si="5"/>
        <v>2.8676056338028171</v>
      </c>
      <c r="G35">
        <f t="shared" si="5"/>
        <v>2.2140297339593111</v>
      </c>
      <c r="H35">
        <f t="shared" si="5"/>
        <v>3.4395774647887323</v>
      </c>
      <c r="I35">
        <f t="shared" si="5"/>
        <v>4.8081690140845073</v>
      </c>
      <c r="J35">
        <f t="shared" si="5"/>
        <v>4.9342175273865418</v>
      </c>
      <c r="K35">
        <f t="shared" si="5"/>
        <v>2.8604538341158063</v>
      </c>
      <c r="L35">
        <f t="shared" si="5"/>
        <v>4.0476134585289509</v>
      </c>
      <c r="M35">
        <f t="shared" si="5"/>
        <v>3.8381768388106416</v>
      </c>
      <c r="N35">
        <f t="shared" si="5"/>
        <v>2.6676447574334903</v>
      </c>
    </row>
    <row r="37" spans="1:21" s="1" customFormat="1" x14ac:dyDescent="0.2">
      <c r="A37" s="1" t="s">
        <v>57</v>
      </c>
      <c r="C37" s="1" t="s">
        <v>25</v>
      </c>
    </row>
    <row r="38" spans="1:21" x14ac:dyDescent="0.2">
      <c r="A38" t="s">
        <v>9</v>
      </c>
      <c r="B38">
        <v>224.102</v>
      </c>
      <c r="C38">
        <v>420.80500000000001</v>
      </c>
      <c r="D38">
        <v>367.92200000000003</v>
      </c>
      <c r="E38">
        <v>340.79300000000001</v>
      </c>
      <c r="F38">
        <v>746.92600000000004</v>
      </c>
      <c r="G38">
        <v>805.91399999999999</v>
      </c>
      <c r="H38">
        <v>556.71100000000001</v>
      </c>
      <c r="I38">
        <v>364.75400000000002</v>
      </c>
      <c r="J38">
        <v>325.48</v>
      </c>
      <c r="K38">
        <v>349.28100000000001</v>
      </c>
      <c r="L38">
        <v>324.613</v>
      </c>
      <c r="M38">
        <v>350.88299999999998</v>
      </c>
      <c r="N38">
        <v>400.27699999999999</v>
      </c>
      <c r="O38">
        <v>696.01599999999996</v>
      </c>
      <c r="P38">
        <v>942.62900000000002</v>
      </c>
      <c r="Q38">
        <v>973.16</v>
      </c>
      <c r="R38">
        <v>615.64499999999998</v>
      </c>
      <c r="S38">
        <v>912.82100000000003</v>
      </c>
      <c r="T38">
        <v>735.47699999999998</v>
      </c>
      <c r="U38">
        <v>804.39499999999998</v>
      </c>
    </row>
    <row r="39" spans="1:21" x14ac:dyDescent="0.2">
      <c r="A39" t="s">
        <v>4</v>
      </c>
      <c r="C39">
        <f>C38-B38</f>
        <v>196.703</v>
      </c>
      <c r="D39">
        <f>D38-B38</f>
        <v>143.82000000000002</v>
      </c>
      <c r="E39">
        <f>E38-B38</f>
        <v>116.691</v>
      </c>
      <c r="F39">
        <f>F38-B38</f>
        <v>522.82400000000007</v>
      </c>
      <c r="G39">
        <f>G38-B38</f>
        <v>581.81200000000001</v>
      </c>
      <c r="H39">
        <f>H38-B38</f>
        <v>332.60900000000004</v>
      </c>
      <c r="I39">
        <f>I38-B38</f>
        <v>140.65200000000002</v>
      </c>
      <c r="J39">
        <f>J38-B38</f>
        <v>101.37800000000001</v>
      </c>
      <c r="K39">
        <f>K38-B38</f>
        <v>125.179</v>
      </c>
      <c r="L39">
        <f>L38-B38</f>
        <v>100.511</v>
      </c>
      <c r="M39">
        <f>M38-B38</f>
        <v>126.78099999999998</v>
      </c>
      <c r="N39">
        <f>N38-B38</f>
        <v>176.17499999999998</v>
      </c>
      <c r="O39">
        <f>O38-B38</f>
        <v>471.91399999999999</v>
      </c>
      <c r="P39">
        <f>P38-B38</f>
        <v>718.52700000000004</v>
      </c>
      <c r="Q39">
        <f>Q38-B38</f>
        <v>749.05799999999999</v>
      </c>
      <c r="R39">
        <f>R38-B38</f>
        <v>391.54300000000001</v>
      </c>
      <c r="S39">
        <f>S38-B38</f>
        <v>688.71900000000005</v>
      </c>
      <c r="T39">
        <f>T38-B38</f>
        <v>511.375</v>
      </c>
      <c r="U39">
        <f>U38-B38</f>
        <v>580.29300000000001</v>
      </c>
    </row>
    <row r="40" spans="1:21" x14ac:dyDescent="0.2">
      <c r="A40" t="s">
        <v>5</v>
      </c>
      <c r="C40">
        <v>2.5339999999999998</v>
      </c>
      <c r="D40">
        <v>2.2919999999999998</v>
      </c>
      <c r="E40">
        <v>2.0619999999999998</v>
      </c>
      <c r="F40">
        <v>1.649</v>
      </c>
      <c r="G40">
        <v>2.3109999999999999</v>
      </c>
      <c r="H40">
        <v>1.6910000000000001</v>
      </c>
      <c r="I40">
        <v>1.0289999999999999</v>
      </c>
      <c r="J40">
        <v>1.256</v>
      </c>
      <c r="K40">
        <v>2.1179999999999999</v>
      </c>
      <c r="L40">
        <v>1.105</v>
      </c>
      <c r="M40">
        <v>1.589</v>
      </c>
      <c r="N40">
        <v>2.3460000000000001</v>
      </c>
      <c r="O40">
        <v>1.161</v>
      </c>
      <c r="P40">
        <v>2.016</v>
      </c>
      <c r="Q40">
        <v>1.77</v>
      </c>
      <c r="R40">
        <v>2.6019999999999999</v>
      </c>
      <c r="S40">
        <v>2.5710000000000002</v>
      </c>
      <c r="T40">
        <v>3.3769999999999998</v>
      </c>
      <c r="U40">
        <v>3.3980000000000001</v>
      </c>
    </row>
    <row r="41" spans="1:21" x14ac:dyDescent="0.2">
      <c r="A41" t="s">
        <v>10</v>
      </c>
      <c r="C41">
        <f>C39/127.8</f>
        <v>1.5391471048513303</v>
      </c>
      <c r="D41">
        <f t="shared" ref="D41:U41" si="6">D39/127.8</f>
        <v>1.1253521126760566</v>
      </c>
      <c r="E41">
        <f t="shared" si="6"/>
        <v>0.91307511737089209</v>
      </c>
      <c r="F41">
        <f t="shared" si="6"/>
        <v>4.0909546165884203</v>
      </c>
      <c r="G41">
        <f t="shared" si="6"/>
        <v>4.5525195618153367</v>
      </c>
      <c r="H41">
        <f t="shared" si="6"/>
        <v>2.6025743348982791</v>
      </c>
      <c r="I41">
        <f t="shared" si="6"/>
        <v>1.1005633802816903</v>
      </c>
      <c r="J41">
        <f t="shared" si="6"/>
        <v>0.79325508607198758</v>
      </c>
      <c r="K41">
        <f t="shared" si="6"/>
        <v>0.97949139280125197</v>
      </c>
      <c r="L41">
        <f t="shared" si="6"/>
        <v>0.78647104851330207</v>
      </c>
      <c r="M41">
        <f t="shared" si="6"/>
        <v>0.99202660406885745</v>
      </c>
      <c r="N41">
        <f t="shared" si="6"/>
        <v>1.3785211267605633</v>
      </c>
      <c r="O41">
        <f t="shared" si="6"/>
        <v>3.6925978090766822</v>
      </c>
      <c r="P41">
        <f t="shared" si="6"/>
        <v>5.6222769953051648</v>
      </c>
      <c r="Q41">
        <f t="shared" si="6"/>
        <v>5.8611737089201883</v>
      </c>
      <c r="R41">
        <f t="shared" si="6"/>
        <v>3.0637167449139282</v>
      </c>
      <c r="S41">
        <f t="shared" si="6"/>
        <v>5.3890375586854464</v>
      </c>
      <c r="T41">
        <f t="shared" si="6"/>
        <v>4.0013693270735526</v>
      </c>
      <c r="U41">
        <f t="shared" si="6"/>
        <v>4.5406338028169015</v>
      </c>
    </row>
    <row r="43" spans="1:21" s="1" customFormat="1" x14ac:dyDescent="0.2">
      <c r="A43" s="1" t="s">
        <v>37</v>
      </c>
      <c r="C43" s="1" t="s">
        <v>25</v>
      </c>
    </row>
    <row r="44" spans="1:21" x14ac:dyDescent="0.2">
      <c r="A44" t="s">
        <v>9</v>
      </c>
      <c r="B44">
        <v>224.102</v>
      </c>
      <c r="C44">
        <v>543.07799999999997</v>
      </c>
      <c r="D44">
        <v>541.70699999999999</v>
      </c>
      <c r="E44">
        <v>578.34</v>
      </c>
      <c r="F44">
        <v>659.75</v>
      </c>
      <c r="G44">
        <v>395.44099999999997</v>
      </c>
      <c r="H44">
        <v>598.44899999999996</v>
      </c>
      <c r="I44">
        <v>486.84800000000001</v>
      </c>
      <c r="J44">
        <v>533.34400000000005</v>
      </c>
      <c r="K44">
        <v>494.27699999999999</v>
      </c>
      <c r="L44">
        <v>596.14099999999996</v>
      </c>
      <c r="M44">
        <v>416.41399999999999</v>
      </c>
      <c r="N44">
        <v>671.38699999999994</v>
      </c>
      <c r="O44">
        <v>494.82799999999997</v>
      </c>
      <c r="P44">
        <v>735.92200000000003</v>
      </c>
      <c r="Q44">
        <v>475.03100000000001</v>
      </c>
      <c r="R44">
        <v>387.83600000000001</v>
      </c>
    </row>
    <row r="45" spans="1:21" x14ac:dyDescent="0.2">
      <c r="A45" t="s">
        <v>4</v>
      </c>
      <c r="C45">
        <f>C44-B44</f>
        <v>318.976</v>
      </c>
      <c r="D45">
        <f>D44-B44</f>
        <v>317.60500000000002</v>
      </c>
      <c r="E45">
        <f>E44-B44</f>
        <v>354.23800000000006</v>
      </c>
      <c r="F45">
        <f>F44-B44</f>
        <v>435.64800000000002</v>
      </c>
      <c r="G45">
        <f>G44-B44</f>
        <v>171.33899999999997</v>
      </c>
      <c r="H45">
        <f>H44-B44</f>
        <v>374.34699999999998</v>
      </c>
      <c r="I45">
        <f>I44-B44</f>
        <v>262.74599999999998</v>
      </c>
      <c r="J45">
        <f>J44-B44</f>
        <v>309.24200000000008</v>
      </c>
      <c r="K45">
        <f>K44-B44</f>
        <v>270.17499999999995</v>
      </c>
      <c r="L45">
        <f>L44-B44</f>
        <v>372.03899999999999</v>
      </c>
      <c r="M45">
        <f>M44-B44</f>
        <v>192.31199999999998</v>
      </c>
      <c r="N45">
        <f>N44-B44</f>
        <v>447.28499999999997</v>
      </c>
      <c r="O45">
        <f>O44-B44</f>
        <v>270.726</v>
      </c>
      <c r="P45">
        <f>P44-B44</f>
        <v>511.82000000000005</v>
      </c>
      <c r="Q45">
        <f>Q44-B44</f>
        <v>250.929</v>
      </c>
      <c r="R45">
        <f>R44-B44</f>
        <v>163.73400000000001</v>
      </c>
    </row>
    <row r="46" spans="1:21" x14ac:dyDescent="0.2">
      <c r="A46" t="s">
        <v>5</v>
      </c>
      <c r="C46">
        <v>1.218</v>
      </c>
      <c r="D46">
        <v>1.9350000000000001</v>
      </c>
      <c r="E46">
        <v>2.2879999999999998</v>
      </c>
      <c r="F46">
        <v>1.615</v>
      </c>
      <c r="G46">
        <v>1.407</v>
      </c>
      <c r="H46">
        <v>2.4769999999999999</v>
      </c>
      <c r="I46">
        <v>1.913</v>
      </c>
      <c r="J46">
        <v>2.2160000000000002</v>
      </c>
      <c r="K46">
        <v>1.9219999999999999</v>
      </c>
      <c r="L46">
        <v>2.2970000000000002</v>
      </c>
      <c r="M46">
        <v>3.3740000000000001</v>
      </c>
      <c r="N46">
        <v>2.7650000000000001</v>
      </c>
      <c r="O46">
        <v>2.72</v>
      </c>
      <c r="P46">
        <v>2.2229999999999999</v>
      </c>
      <c r="Q46">
        <v>1.679</v>
      </c>
      <c r="R46">
        <v>2.0289999999999999</v>
      </c>
    </row>
    <row r="47" spans="1:21" x14ac:dyDescent="0.2">
      <c r="A47" t="s">
        <v>6</v>
      </c>
      <c r="C47">
        <f>SQRT(1+C46^2)</f>
        <v>1.5759200487334375</v>
      </c>
      <c r="D47">
        <f t="shared" ref="D47:R47" si="7">SQRT(1+D46^2)</f>
        <v>2.1781241929697215</v>
      </c>
      <c r="E47">
        <f t="shared" si="7"/>
        <v>2.4969869843473349</v>
      </c>
      <c r="F47">
        <f t="shared" si="7"/>
        <v>1.8995328373050042</v>
      </c>
      <c r="G47">
        <f t="shared" si="7"/>
        <v>1.7261659827490519</v>
      </c>
      <c r="H47">
        <f t="shared" si="7"/>
        <v>2.671241097317874</v>
      </c>
      <c r="I47">
        <f t="shared" si="7"/>
        <v>2.1586034837366497</v>
      </c>
      <c r="J47">
        <f t="shared" si="7"/>
        <v>2.4311840736562917</v>
      </c>
      <c r="K47">
        <f t="shared" si="7"/>
        <v>2.1665834855827737</v>
      </c>
      <c r="L47">
        <f t="shared" si="7"/>
        <v>2.505236316198534</v>
      </c>
      <c r="M47">
        <f t="shared" si="7"/>
        <v>3.5190731734364378</v>
      </c>
      <c r="N47">
        <f t="shared" si="7"/>
        <v>2.9402763475564675</v>
      </c>
      <c r="O47">
        <f t="shared" si="7"/>
        <v>2.8979993098687933</v>
      </c>
      <c r="P47">
        <f t="shared" si="7"/>
        <v>2.4375662042291282</v>
      </c>
      <c r="Q47">
        <f t="shared" si="7"/>
        <v>1.9542366796271122</v>
      </c>
      <c r="R47">
        <f t="shared" si="7"/>
        <v>2.2620435451157874</v>
      </c>
    </row>
    <row r="48" spans="1:21" x14ac:dyDescent="0.2">
      <c r="A48" t="s">
        <v>10</v>
      </c>
      <c r="C48">
        <f>C45/127.8</f>
        <v>2.4958998435054776</v>
      </c>
      <c r="D48">
        <f t="shared" ref="D48:R48" si="8">D45/127.8</f>
        <v>2.4851721439749612</v>
      </c>
      <c r="E48">
        <f t="shared" si="8"/>
        <v>2.7718153364632241</v>
      </c>
      <c r="F48">
        <f t="shared" si="8"/>
        <v>3.4088262910798126</v>
      </c>
      <c r="G48">
        <f t="shared" si="8"/>
        <v>1.3406807511737087</v>
      </c>
      <c r="H48">
        <f t="shared" si="8"/>
        <v>2.9291627543035994</v>
      </c>
      <c r="I48">
        <f t="shared" si="8"/>
        <v>2.0559154929577463</v>
      </c>
      <c r="J48">
        <f t="shared" si="8"/>
        <v>2.4197339593114249</v>
      </c>
      <c r="K48">
        <f t="shared" si="8"/>
        <v>2.1140453834115802</v>
      </c>
      <c r="L48">
        <f t="shared" si="8"/>
        <v>2.9111032863849764</v>
      </c>
      <c r="M48">
        <f t="shared" si="8"/>
        <v>1.5047887323943661</v>
      </c>
      <c r="N48">
        <f t="shared" si="8"/>
        <v>3.4998826291079812</v>
      </c>
      <c r="O48">
        <f t="shared" si="8"/>
        <v>2.1183568075117369</v>
      </c>
      <c r="P48">
        <f t="shared" si="8"/>
        <v>4.0048513302034436</v>
      </c>
      <c r="Q48">
        <f t="shared" si="8"/>
        <v>1.9634507042253522</v>
      </c>
      <c r="R48">
        <f t="shared" si="8"/>
        <v>1.2811737089201878</v>
      </c>
    </row>
    <row r="50" spans="1:10" s="1" customFormat="1" x14ac:dyDescent="0.2">
      <c r="A50" s="1" t="s">
        <v>22</v>
      </c>
      <c r="C50" s="1" t="s">
        <v>25</v>
      </c>
    </row>
    <row r="51" spans="1:10" x14ac:dyDescent="0.2">
      <c r="A51" t="s">
        <v>9</v>
      </c>
      <c r="B51">
        <v>224.102</v>
      </c>
      <c r="C51">
        <v>522.73400000000004</v>
      </c>
      <c r="D51">
        <v>646.83600000000001</v>
      </c>
      <c r="E51">
        <v>422.39100000000002</v>
      </c>
      <c r="F51">
        <v>592.69500000000005</v>
      </c>
      <c r="G51">
        <v>582.09799999999996</v>
      </c>
      <c r="H51">
        <v>650.69500000000005</v>
      </c>
      <c r="I51">
        <v>553.69500000000005</v>
      </c>
      <c r="J51">
        <v>702.76199999999994</v>
      </c>
    </row>
    <row r="52" spans="1:10" x14ac:dyDescent="0.2">
      <c r="A52" t="s">
        <v>4</v>
      </c>
      <c r="C52">
        <f>C51-B51</f>
        <v>298.63200000000006</v>
      </c>
      <c r="D52">
        <f>D51-B51</f>
        <v>422.73400000000004</v>
      </c>
      <c r="E52">
        <f>E51-B51</f>
        <v>198.28900000000002</v>
      </c>
      <c r="F52">
        <f>F51-B51</f>
        <v>368.59300000000007</v>
      </c>
      <c r="G52">
        <f>G51-B51</f>
        <v>357.99599999999998</v>
      </c>
      <c r="H52">
        <f>H51-B51</f>
        <v>426.59300000000007</v>
      </c>
      <c r="I52">
        <f>I51-B51</f>
        <v>329.59300000000007</v>
      </c>
      <c r="J52">
        <f>J51-B51</f>
        <v>478.65999999999997</v>
      </c>
    </row>
    <row r="53" spans="1:10" x14ac:dyDescent="0.2">
      <c r="A53" t="s">
        <v>5</v>
      </c>
      <c r="C53">
        <v>2.0539999999999998</v>
      </c>
      <c r="D53">
        <v>1.165</v>
      </c>
      <c r="E53">
        <v>3.629</v>
      </c>
      <c r="F53">
        <v>2.6680000000000001</v>
      </c>
      <c r="G53">
        <v>2.2999999999999998</v>
      </c>
      <c r="H53">
        <v>2.14</v>
      </c>
      <c r="I53">
        <v>1.849</v>
      </c>
      <c r="J53">
        <v>3.3690000000000002</v>
      </c>
    </row>
    <row r="54" spans="1:10" x14ac:dyDescent="0.2">
      <c r="A54" t="s">
        <v>6</v>
      </c>
      <c r="C54">
        <f>SQRT(4+C53^2)</f>
        <v>2.8668651869245614</v>
      </c>
      <c r="D54">
        <f t="shared" ref="D54:J54" si="9">SQRT(4+D53^2)</f>
        <v>2.3145679942486028</v>
      </c>
      <c r="E54">
        <f t="shared" si="9"/>
        <v>4.1436265517056432</v>
      </c>
      <c r="F54">
        <f t="shared" si="9"/>
        <v>3.3344000959692885</v>
      </c>
      <c r="G54">
        <f t="shared" si="9"/>
        <v>3.047950130825634</v>
      </c>
      <c r="H54">
        <f t="shared" si="9"/>
        <v>2.9290954235053523</v>
      </c>
      <c r="I54">
        <f t="shared" si="9"/>
        <v>2.7237476021100044</v>
      </c>
      <c r="J54">
        <f t="shared" si="9"/>
        <v>3.9179281514596465</v>
      </c>
    </row>
    <row r="55" spans="1:10" x14ac:dyDescent="0.2">
      <c r="A55" t="s">
        <v>10</v>
      </c>
      <c r="C55">
        <f>C52/127.8</f>
        <v>2.3367136150234749</v>
      </c>
      <c r="D55">
        <f t="shared" ref="D55:J55" si="10">D52/127.8</f>
        <v>3.3077777777777779</v>
      </c>
      <c r="E55">
        <f t="shared" si="10"/>
        <v>1.5515571205007825</v>
      </c>
      <c r="F55">
        <f t="shared" si="10"/>
        <v>2.8841392801251962</v>
      </c>
      <c r="G55">
        <f t="shared" si="10"/>
        <v>2.8012206572769953</v>
      </c>
      <c r="H55">
        <f t="shared" si="10"/>
        <v>3.3379733959311433</v>
      </c>
      <c r="I55">
        <f t="shared" si="10"/>
        <v>2.5789749608763701</v>
      </c>
      <c r="J55">
        <f t="shared" si="10"/>
        <v>3.7453834115805944</v>
      </c>
    </row>
    <row r="57" spans="1:10" s="1" customFormat="1" x14ac:dyDescent="0.2">
      <c r="A57" s="1" t="s">
        <v>45</v>
      </c>
      <c r="C57" s="1" t="s">
        <v>25</v>
      </c>
    </row>
    <row r="58" spans="1:10" x14ac:dyDescent="0.2">
      <c r="A58" t="s">
        <v>9</v>
      </c>
      <c r="B58">
        <v>224.102</v>
      </c>
      <c r="C58">
        <v>322.24599999999998</v>
      </c>
      <c r="D58">
        <v>413.44900000000001</v>
      </c>
      <c r="E58">
        <v>350.90600000000001</v>
      </c>
      <c r="F58">
        <v>367.32</v>
      </c>
      <c r="G58">
        <v>419.05900000000003</v>
      </c>
      <c r="H58">
        <v>346.28500000000003</v>
      </c>
      <c r="I58">
        <v>624.69100000000003</v>
      </c>
      <c r="J58">
        <v>624.91</v>
      </c>
    </row>
    <row r="59" spans="1:10" x14ac:dyDescent="0.2">
      <c r="A59" t="s">
        <v>4</v>
      </c>
      <c r="C59">
        <f>C58-B58</f>
        <v>98.143999999999977</v>
      </c>
      <c r="D59">
        <f>D58-B58</f>
        <v>189.34700000000001</v>
      </c>
      <c r="E59">
        <f>E58-B58</f>
        <v>126.804</v>
      </c>
      <c r="F59">
        <f>F58-B58</f>
        <v>143.21799999999999</v>
      </c>
      <c r="G59">
        <f>G58-B58</f>
        <v>194.95700000000002</v>
      </c>
      <c r="H59">
        <f>H58-B58</f>
        <v>122.18300000000002</v>
      </c>
      <c r="I59">
        <f>I58-B58</f>
        <v>400.58900000000006</v>
      </c>
      <c r="J59">
        <f>J58-B58</f>
        <v>400.80799999999999</v>
      </c>
    </row>
    <row r="60" spans="1:10" x14ac:dyDescent="0.2">
      <c r="A60" t="s">
        <v>5</v>
      </c>
      <c r="C60">
        <v>1.179</v>
      </c>
      <c r="D60">
        <v>2.3220000000000001</v>
      </c>
      <c r="E60">
        <v>1.9039999999999999</v>
      </c>
      <c r="F60">
        <v>2.0659999999999998</v>
      </c>
      <c r="G60">
        <v>2.9830000000000001</v>
      </c>
      <c r="H60">
        <v>2.706</v>
      </c>
      <c r="I60">
        <v>3.2930000000000001</v>
      </c>
      <c r="J60">
        <v>3.58</v>
      </c>
    </row>
    <row r="61" spans="1:10" x14ac:dyDescent="0.2">
      <c r="A61" t="s">
        <v>6</v>
      </c>
      <c r="C61">
        <f>SQRT(9+C60^2)</f>
        <v>3.223358652089463</v>
      </c>
      <c r="D61">
        <f t="shared" ref="D61:J61" si="11">SQRT(9+D60^2)</f>
        <v>3.7936373047512069</v>
      </c>
      <c r="E61">
        <f t="shared" si="11"/>
        <v>3.5531979961718991</v>
      </c>
      <c r="F61">
        <f t="shared" si="11"/>
        <v>3.642575462499027</v>
      </c>
      <c r="G61">
        <f t="shared" si="11"/>
        <v>4.2306369496802718</v>
      </c>
      <c r="H61">
        <f t="shared" si="11"/>
        <v>4.0401034640216826</v>
      </c>
      <c r="I61">
        <f t="shared" si="11"/>
        <v>4.4546435323154645</v>
      </c>
      <c r="J61">
        <f t="shared" si="11"/>
        <v>4.6708029288335426</v>
      </c>
    </row>
    <row r="62" spans="1:10" x14ac:dyDescent="0.2">
      <c r="A62" t="s">
        <v>10</v>
      </c>
      <c r="C62">
        <f>C59/127.812</f>
        <v>0.76787782054893106</v>
      </c>
      <c r="D62">
        <f t="shared" ref="D62:J62" si="12">D59/127.812</f>
        <v>1.4814493161831441</v>
      </c>
      <c r="E62">
        <f t="shared" si="12"/>
        <v>0.99211341658060281</v>
      </c>
      <c r="F62">
        <f t="shared" si="12"/>
        <v>1.1205364128563828</v>
      </c>
      <c r="G62">
        <f t="shared" si="12"/>
        <v>1.5253419084280038</v>
      </c>
      <c r="H62">
        <f t="shared" si="12"/>
        <v>0.95595875191687807</v>
      </c>
      <c r="I62">
        <f t="shared" si="12"/>
        <v>3.1342049259850411</v>
      </c>
      <c r="J62">
        <f t="shared" si="12"/>
        <v>3.1359183801208026</v>
      </c>
    </row>
    <row r="64" spans="1:10" s="1" customFormat="1" x14ac:dyDescent="0.2">
      <c r="A64" s="1" t="s">
        <v>58</v>
      </c>
      <c r="C64" s="1" t="s">
        <v>23</v>
      </c>
      <c r="D64" s="1" t="s">
        <v>25</v>
      </c>
    </row>
    <row r="65" spans="1:5" x14ac:dyDescent="0.2">
      <c r="A65" t="s">
        <v>9</v>
      </c>
      <c r="B65">
        <v>224.102</v>
      </c>
      <c r="C65">
        <v>351.91399999999999</v>
      </c>
      <c r="D65">
        <v>351.03899999999999</v>
      </c>
      <c r="E65">
        <v>344.59800000000001</v>
      </c>
    </row>
    <row r="66" spans="1:5" x14ac:dyDescent="0.2">
      <c r="A66" t="s">
        <v>4</v>
      </c>
      <c r="C66">
        <f>C65-B65</f>
        <v>127.81199999999998</v>
      </c>
      <c r="D66">
        <f>D65-B65</f>
        <v>126.93699999999998</v>
      </c>
      <c r="E66">
        <f>E65-B65</f>
        <v>120.49600000000001</v>
      </c>
    </row>
    <row r="67" spans="1:5" x14ac:dyDescent="0.2">
      <c r="A67" t="s">
        <v>5</v>
      </c>
      <c r="C67">
        <v>1.786</v>
      </c>
      <c r="D67">
        <v>3.129</v>
      </c>
      <c r="E67">
        <v>3.1469999999999998</v>
      </c>
    </row>
    <row r="68" spans="1:5" x14ac:dyDescent="0.2">
      <c r="A68" t="s">
        <v>6</v>
      </c>
      <c r="C68">
        <f>SQRT(16+C67^2)</f>
        <v>4.3806159384269243</v>
      </c>
      <c r="D68">
        <f t="shared" ref="D68:E68" si="13">SQRT(16+D67^2)</f>
        <v>5.0784486804535103</v>
      </c>
      <c r="E68">
        <f t="shared" si="13"/>
        <v>5.0895588217447685</v>
      </c>
    </row>
    <row r="69" spans="1:5" x14ac:dyDescent="0.2">
      <c r="A69" t="s">
        <v>10</v>
      </c>
      <c r="D69">
        <f>D66/127.812</f>
        <v>0.99315400744843974</v>
      </c>
      <c r="E69">
        <f>E66/127.812</f>
        <v>0.94275967827747009</v>
      </c>
    </row>
    <row r="72" spans="1:5" x14ac:dyDescent="0.2">
      <c r="A72" t="s">
        <v>27</v>
      </c>
      <c r="B72">
        <v>35.042999999999999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8BA0A-6347-4E42-9A70-8DD486730864}">
  <dimension ref="A1:S24"/>
  <sheetViews>
    <sheetView workbookViewId="0">
      <selection activeCell="P39" sqref="P39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14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4" x14ac:dyDescent="0.2">
      <c r="A2" s="30" t="s">
        <v>703</v>
      </c>
      <c r="B2" s="42">
        <v>45229</v>
      </c>
      <c r="C2" s="30" t="s">
        <v>222</v>
      </c>
      <c r="E2" s="30">
        <v>44.058999999999997</v>
      </c>
      <c r="G2" s="30">
        <f>AVERAGE(C8:E8,C21:D21)</f>
        <v>111.5812</v>
      </c>
    </row>
    <row r="4" spans="1:14" x14ac:dyDescent="0.2">
      <c r="A4" s="30" t="s">
        <v>702</v>
      </c>
    </row>
    <row r="6" spans="1:14" x14ac:dyDescent="0.2">
      <c r="A6" s="45" t="s">
        <v>701</v>
      </c>
      <c r="B6" s="30" t="s">
        <v>235</v>
      </c>
      <c r="C6" s="30">
        <v>1</v>
      </c>
      <c r="D6" s="30">
        <v>1</v>
      </c>
      <c r="E6" s="30">
        <v>1</v>
      </c>
    </row>
    <row r="7" spans="1:14" x14ac:dyDescent="0.2">
      <c r="A7" s="30" t="s">
        <v>215</v>
      </c>
      <c r="B7" s="30">
        <v>217.268</v>
      </c>
      <c r="C7" s="30">
        <v>364.85899999999998</v>
      </c>
      <c r="D7" s="30">
        <v>309.238</v>
      </c>
      <c r="E7" s="30">
        <v>385.70699999999999</v>
      </c>
      <c r="F7" s="30">
        <v>439.77699999999999</v>
      </c>
      <c r="G7" s="30">
        <v>359.46899999999999</v>
      </c>
      <c r="H7" s="30">
        <v>425.137</v>
      </c>
      <c r="I7" s="30">
        <v>348.68799999999999</v>
      </c>
      <c r="J7" s="30">
        <v>495.53500000000003</v>
      </c>
      <c r="K7" s="30">
        <v>481.95299999999997</v>
      </c>
      <c r="L7" s="30">
        <v>689.49599999999998</v>
      </c>
      <c r="M7" s="30">
        <v>574.93799999999999</v>
      </c>
      <c r="N7" s="30">
        <v>531.87599999999998</v>
      </c>
    </row>
    <row r="8" spans="1:14" x14ac:dyDescent="0.2">
      <c r="A8" s="30" t="s">
        <v>62</v>
      </c>
      <c r="C8" s="30">
        <f t="shared" ref="C8:N8" si="0">C7-$B$7</f>
        <v>147.59099999999998</v>
      </c>
      <c r="D8" s="30">
        <f t="shared" si="0"/>
        <v>91.97</v>
      </c>
      <c r="E8" s="30">
        <f t="shared" si="0"/>
        <v>168.43899999999999</v>
      </c>
      <c r="F8" s="30">
        <f t="shared" si="0"/>
        <v>222.50899999999999</v>
      </c>
      <c r="G8" s="30">
        <f t="shared" si="0"/>
        <v>142.20099999999999</v>
      </c>
      <c r="H8" s="30">
        <f t="shared" si="0"/>
        <v>207.869</v>
      </c>
      <c r="I8" s="30">
        <f t="shared" si="0"/>
        <v>131.41999999999999</v>
      </c>
      <c r="J8" s="30">
        <f t="shared" si="0"/>
        <v>278.26700000000005</v>
      </c>
      <c r="K8" s="30">
        <f t="shared" si="0"/>
        <v>264.68499999999995</v>
      </c>
      <c r="L8" s="30">
        <f t="shared" si="0"/>
        <v>472.22799999999995</v>
      </c>
      <c r="M8" s="30">
        <f t="shared" si="0"/>
        <v>357.66999999999996</v>
      </c>
      <c r="N8" s="30">
        <f t="shared" si="0"/>
        <v>314.60799999999995</v>
      </c>
    </row>
    <row r="9" spans="1:14" x14ac:dyDescent="0.2">
      <c r="A9" s="30" t="s">
        <v>214</v>
      </c>
      <c r="C9" s="30">
        <v>0.65100000000000002</v>
      </c>
      <c r="D9" s="30">
        <v>1.341</v>
      </c>
      <c r="E9" s="30">
        <v>1.431</v>
      </c>
      <c r="F9" s="30">
        <v>1.6659999999999999</v>
      </c>
      <c r="G9" s="30">
        <v>1.986</v>
      </c>
      <c r="H9" s="30">
        <v>2.1909999999999998</v>
      </c>
      <c r="I9" s="30">
        <v>1.8720000000000001</v>
      </c>
      <c r="J9" s="30">
        <v>2.504</v>
      </c>
      <c r="K9" s="30">
        <v>2.9860000000000002</v>
      </c>
      <c r="L9" s="30">
        <v>4.0410000000000004</v>
      </c>
      <c r="M9" s="30">
        <v>4.3789999999999996</v>
      </c>
      <c r="N9" s="30">
        <v>2.9540000000000002</v>
      </c>
    </row>
    <row r="10" spans="1:14" x14ac:dyDescent="0.2">
      <c r="A10" s="30" t="s">
        <v>59</v>
      </c>
      <c r="F10" s="30">
        <f t="shared" ref="F10:N10" si="1">F8/$G$2</f>
        <v>1.9941441748251496</v>
      </c>
      <c r="G10" s="30">
        <f t="shared" si="1"/>
        <v>1.2744171957283126</v>
      </c>
      <c r="H10" s="30">
        <f t="shared" si="1"/>
        <v>1.8629392765089461</v>
      </c>
      <c r="I10" s="30">
        <f t="shared" si="1"/>
        <v>1.1777969765516054</v>
      </c>
      <c r="J10" s="30">
        <f t="shared" si="1"/>
        <v>2.4938520109122333</v>
      </c>
      <c r="K10" s="30">
        <f t="shared" si="1"/>
        <v>2.3721289966410106</v>
      </c>
      <c r="L10" s="30">
        <f t="shared" si="1"/>
        <v>4.2321466340207845</v>
      </c>
      <c r="M10" s="30">
        <f t="shared" si="1"/>
        <v>3.20546830469649</v>
      </c>
      <c r="N10" s="30">
        <f t="shared" si="1"/>
        <v>2.8195430771491967</v>
      </c>
    </row>
    <row r="12" spans="1:14" x14ac:dyDescent="0.2">
      <c r="A12" s="45" t="s">
        <v>700</v>
      </c>
    </row>
    <row r="13" spans="1:14" x14ac:dyDescent="0.2">
      <c r="A13" s="30" t="s">
        <v>215</v>
      </c>
      <c r="C13" s="30">
        <v>502.16800000000001</v>
      </c>
      <c r="D13" s="30">
        <v>505.81200000000001</v>
      </c>
      <c r="E13" s="30">
        <v>483.49599999999998</v>
      </c>
      <c r="F13" s="30">
        <v>456.59800000000001</v>
      </c>
    </row>
    <row r="14" spans="1:14" x14ac:dyDescent="0.2">
      <c r="A14" s="30" t="s">
        <v>62</v>
      </c>
      <c r="C14" s="30">
        <f>C13-$B$7</f>
        <v>284.89999999999998</v>
      </c>
      <c r="D14" s="30">
        <f>D13-$B$7</f>
        <v>288.54399999999998</v>
      </c>
      <c r="E14" s="30">
        <f>E13-$B$7</f>
        <v>266.22799999999995</v>
      </c>
      <c r="F14" s="30">
        <f>F13-$B$7</f>
        <v>239.33</v>
      </c>
    </row>
    <row r="15" spans="1:14" x14ac:dyDescent="0.2">
      <c r="A15" s="30" t="s">
        <v>214</v>
      </c>
      <c r="C15" s="30">
        <v>0.84399999999999997</v>
      </c>
      <c r="D15" s="30">
        <v>0.752</v>
      </c>
      <c r="E15" s="30">
        <v>1.3720000000000001</v>
      </c>
      <c r="F15" s="30">
        <v>1.1839999999999999</v>
      </c>
    </row>
    <row r="16" spans="1:14" x14ac:dyDescent="0.2">
      <c r="A16" s="30" t="s">
        <v>60</v>
      </c>
      <c r="C16" s="30">
        <f>SQRT((1+(C15^2)))</f>
        <v>1.3085625701509271</v>
      </c>
      <c r="D16" s="30">
        <f>SQRT((1+(D15^2)))</f>
        <v>1.2512010230174846</v>
      </c>
      <c r="E16" s="30">
        <f>SQRT((1+(E15^2)))</f>
        <v>1.6977585222875484</v>
      </c>
      <c r="F16" s="30">
        <f>SQRT((1+(F15^2)))</f>
        <v>1.5497922441411298</v>
      </c>
    </row>
    <row r="17" spans="1:19" x14ac:dyDescent="0.2">
      <c r="A17" s="30" t="s">
        <v>59</v>
      </c>
      <c r="C17" s="30">
        <f>C14/$G$2</f>
        <v>2.5532975088993486</v>
      </c>
      <c r="D17" s="30">
        <f>D14/$G$2</f>
        <v>2.5859553401469064</v>
      </c>
      <c r="E17" s="30">
        <f>E14/$G$2</f>
        <v>2.3859574910468786</v>
      </c>
      <c r="F17" s="30">
        <f>F14/$G$2</f>
        <v>2.1448953766405094</v>
      </c>
    </row>
    <row r="19" spans="1:19" x14ac:dyDescent="0.2">
      <c r="A19" s="45" t="s">
        <v>699</v>
      </c>
      <c r="C19" s="30">
        <v>1</v>
      </c>
      <c r="D19" s="30">
        <v>1</v>
      </c>
    </row>
    <row r="20" spans="1:19" x14ac:dyDescent="0.2">
      <c r="A20" s="30" t="s">
        <v>215</v>
      </c>
      <c r="C20" s="30">
        <v>314.72699999999998</v>
      </c>
      <c r="D20" s="30">
        <v>269.71499999999997</v>
      </c>
      <c r="E20" s="30">
        <v>482.37900000000002</v>
      </c>
      <c r="F20" s="30">
        <v>323.69099999999997</v>
      </c>
      <c r="G20" s="30">
        <v>325.98</v>
      </c>
      <c r="H20" s="30">
        <v>284.45699999999999</v>
      </c>
      <c r="I20" s="30">
        <v>561.00400000000002</v>
      </c>
      <c r="J20" s="30">
        <v>567.97299999999996</v>
      </c>
      <c r="K20" s="30">
        <v>637.16800000000001</v>
      </c>
      <c r="L20" s="30">
        <v>407.57</v>
      </c>
      <c r="M20" s="30">
        <v>349.23</v>
      </c>
      <c r="N20" s="30">
        <v>519.92200000000003</v>
      </c>
      <c r="O20" s="30">
        <v>735.77</v>
      </c>
      <c r="P20" s="30">
        <v>823.52700000000004</v>
      </c>
      <c r="Q20" s="30">
        <v>747.42200000000003</v>
      </c>
      <c r="R20" s="30">
        <v>617.43399999999997</v>
      </c>
      <c r="S20" s="30">
        <v>541.97699999999998</v>
      </c>
    </row>
    <row r="21" spans="1:19" x14ac:dyDescent="0.2">
      <c r="A21" s="30" t="s">
        <v>62</v>
      </c>
      <c r="C21" s="30">
        <f t="shared" ref="C21:S21" si="2">C20-$B$7</f>
        <v>97.458999999999975</v>
      </c>
      <c r="D21" s="30">
        <f t="shared" si="2"/>
        <v>52.446999999999974</v>
      </c>
      <c r="E21" s="30">
        <f t="shared" si="2"/>
        <v>265.11099999999999</v>
      </c>
      <c r="F21" s="30">
        <f t="shared" si="2"/>
        <v>106.42299999999997</v>
      </c>
      <c r="G21" s="30">
        <f t="shared" si="2"/>
        <v>108.71200000000002</v>
      </c>
      <c r="H21" s="30">
        <f t="shared" si="2"/>
        <v>67.188999999999993</v>
      </c>
      <c r="I21" s="30">
        <f t="shared" si="2"/>
        <v>343.73599999999999</v>
      </c>
      <c r="J21" s="30">
        <f t="shared" si="2"/>
        <v>350.70499999999993</v>
      </c>
      <c r="K21" s="30">
        <f t="shared" si="2"/>
        <v>419.9</v>
      </c>
      <c r="L21" s="30">
        <f t="shared" si="2"/>
        <v>190.30199999999999</v>
      </c>
      <c r="M21" s="30">
        <f t="shared" si="2"/>
        <v>131.96200000000002</v>
      </c>
      <c r="N21" s="30">
        <f t="shared" si="2"/>
        <v>302.654</v>
      </c>
      <c r="O21" s="30">
        <f t="shared" si="2"/>
        <v>518.50199999999995</v>
      </c>
      <c r="P21" s="30">
        <f t="shared" si="2"/>
        <v>606.25900000000001</v>
      </c>
      <c r="Q21" s="30">
        <f t="shared" si="2"/>
        <v>530.154</v>
      </c>
      <c r="R21" s="30">
        <f t="shared" si="2"/>
        <v>400.16599999999994</v>
      </c>
      <c r="S21" s="30">
        <f t="shared" si="2"/>
        <v>324.70899999999995</v>
      </c>
    </row>
    <row r="22" spans="1:19" x14ac:dyDescent="0.2">
      <c r="A22" s="30" t="s">
        <v>214</v>
      </c>
      <c r="C22" s="30">
        <v>2.601</v>
      </c>
      <c r="D22" s="30">
        <v>1.5009999999999999</v>
      </c>
      <c r="E22" s="30">
        <v>1.5960000000000001</v>
      </c>
      <c r="F22" s="30">
        <v>2.0630000000000002</v>
      </c>
      <c r="G22" s="30">
        <v>0.94</v>
      </c>
      <c r="H22" s="30">
        <v>1.6459999999999999</v>
      </c>
      <c r="I22" s="30">
        <v>2.7370000000000001</v>
      </c>
      <c r="J22" s="30">
        <v>3.0910000000000002</v>
      </c>
      <c r="K22" s="30">
        <v>3.415</v>
      </c>
      <c r="L22" s="30">
        <v>3.85</v>
      </c>
      <c r="M22" s="30">
        <v>3.4590000000000001</v>
      </c>
      <c r="N22" s="30">
        <v>2.94</v>
      </c>
      <c r="O22" s="30">
        <v>3.6240000000000001</v>
      </c>
      <c r="P22" s="30">
        <v>3.86</v>
      </c>
      <c r="Q22" s="30">
        <v>4.4130000000000003</v>
      </c>
      <c r="R22" s="30">
        <v>4.157</v>
      </c>
      <c r="S22" s="30">
        <v>4.7519999999999998</v>
      </c>
    </row>
    <row r="23" spans="1:19" x14ac:dyDescent="0.2">
      <c r="A23" s="30" t="s">
        <v>60</v>
      </c>
      <c r="C23" s="30">
        <f t="shared" ref="C23:S23" si="3">SQRT((1+(C22^2)))</f>
        <v>2.7866110241653752</v>
      </c>
      <c r="D23" s="30">
        <f t="shared" si="3"/>
        <v>1.8036077733254534</v>
      </c>
      <c r="E23" s="30">
        <f t="shared" si="3"/>
        <v>1.8834054263487721</v>
      </c>
      <c r="F23" s="30">
        <f t="shared" si="3"/>
        <v>2.2925900200428337</v>
      </c>
      <c r="G23" s="30">
        <f t="shared" si="3"/>
        <v>1.372443077143821</v>
      </c>
      <c r="H23" s="30">
        <f t="shared" si="3"/>
        <v>1.9259584626881234</v>
      </c>
      <c r="I23" s="30">
        <f t="shared" si="3"/>
        <v>2.9139610498426363</v>
      </c>
      <c r="J23" s="30">
        <f t="shared" si="3"/>
        <v>3.2487352923868698</v>
      </c>
      <c r="K23" s="30">
        <f t="shared" si="3"/>
        <v>3.5584020290012202</v>
      </c>
      <c r="L23" s="30">
        <f t="shared" si="3"/>
        <v>3.9777506206397608</v>
      </c>
      <c r="M23" s="30">
        <f t="shared" si="3"/>
        <v>3.6006500801938532</v>
      </c>
      <c r="N23" s="30">
        <f t="shared" si="3"/>
        <v>3.1054146261006759</v>
      </c>
      <c r="O23" s="30">
        <f t="shared" si="3"/>
        <v>3.7594382559100503</v>
      </c>
      <c r="P23" s="30">
        <f t="shared" si="3"/>
        <v>3.9874302501736629</v>
      </c>
      <c r="Q23" s="30">
        <f t="shared" si="3"/>
        <v>4.5248833134126238</v>
      </c>
      <c r="R23" s="30">
        <f t="shared" si="3"/>
        <v>4.2755875619615136</v>
      </c>
      <c r="S23" s="30">
        <f t="shared" si="3"/>
        <v>4.8560790767861262</v>
      </c>
    </row>
    <row r="24" spans="1:19" x14ac:dyDescent="0.2">
      <c r="A24" s="30" t="s">
        <v>59</v>
      </c>
      <c r="E24" s="30">
        <f t="shared" ref="E24:S24" si="4">E21/$G$2</f>
        <v>2.3759468440920153</v>
      </c>
      <c r="F24" s="30">
        <f t="shared" si="4"/>
        <v>0.95377178234326188</v>
      </c>
      <c r="G24" s="30">
        <f t="shared" si="4"/>
        <v>0.97428599082999667</v>
      </c>
      <c r="H24" s="30">
        <f t="shared" si="4"/>
        <v>0.60215340935569783</v>
      </c>
      <c r="I24" s="30">
        <f t="shared" si="4"/>
        <v>3.0805906371324201</v>
      </c>
      <c r="J24" s="30">
        <f t="shared" si="4"/>
        <v>3.1430473950808913</v>
      </c>
      <c r="K24" s="30">
        <f t="shared" si="4"/>
        <v>3.7631787433725394</v>
      </c>
      <c r="L24" s="30">
        <f t="shared" si="4"/>
        <v>1.7055023606127198</v>
      </c>
      <c r="M24" s="30">
        <f t="shared" si="4"/>
        <v>1.182654425655935</v>
      </c>
      <c r="N24" s="30">
        <f t="shared" si="4"/>
        <v>2.7124103343574006</v>
      </c>
      <c r="O24" s="30">
        <f t="shared" si="4"/>
        <v>4.6468580728653208</v>
      </c>
      <c r="P24" s="30">
        <f t="shared" si="4"/>
        <v>5.4333436098554238</v>
      </c>
      <c r="Q24" s="30">
        <f t="shared" si="4"/>
        <v>4.7512842665251851</v>
      </c>
      <c r="R24" s="30">
        <f t="shared" si="4"/>
        <v>3.5863209931422135</v>
      </c>
      <c r="S24" s="30">
        <f t="shared" si="4"/>
        <v>2.9100690797374464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98AC-071C-554F-8CE3-87C3F6947990}">
  <dimension ref="A1:O66"/>
  <sheetViews>
    <sheetView workbookViewId="0">
      <selection activeCell="Q41" sqref="Q41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14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4" x14ac:dyDescent="0.2">
      <c r="A2" s="30" t="s">
        <v>703</v>
      </c>
      <c r="B2" s="42">
        <v>45229</v>
      </c>
      <c r="C2" s="30" t="s">
        <v>222</v>
      </c>
      <c r="E2" s="30">
        <v>37.067</v>
      </c>
      <c r="G2" s="30">
        <f>AVERAGE(C8:F8,C14:F14,C21:D21,C28,C35:H35,C42:G42,C49:G49,C56:G56,C63)</f>
        <v>738.72669696969695</v>
      </c>
    </row>
    <row r="4" spans="1:14" x14ac:dyDescent="0.2">
      <c r="A4" s="30" t="s">
        <v>729</v>
      </c>
    </row>
    <row r="6" spans="1:14" x14ac:dyDescent="0.2">
      <c r="A6" s="45" t="s">
        <v>728</v>
      </c>
      <c r="B6" s="30" t="s">
        <v>235</v>
      </c>
      <c r="C6" s="30">
        <v>1</v>
      </c>
      <c r="D6" s="30">
        <v>1</v>
      </c>
      <c r="E6" s="30">
        <v>1</v>
      </c>
      <c r="F6" s="30">
        <v>1</v>
      </c>
    </row>
    <row r="7" spans="1:14" x14ac:dyDescent="0.2">
      <c r="A7" s="30" t="s">
        <v>215</v>
      </c>
      <c r="B7" s="30">
        <v>229.36699999999999</v>
      </c>
      <c r="C7" s="30">
        <v>557.66</v>
      </c>
      <c r="D7" s="30">
        <v>634.18399999999997</v>
      </c>
      <c r="E7" s="30">
        <v>986.93</v>
      </c>
      <c r="F7" s="30">
        <v>668.09</v>
      </c>
      <c r="G7" s="30">
        <v>1590.9380000000001</v>
      </c>
      <c r="H7" s="30">
        <v>1470.527</v>
      </c>
      <c r="I7" s="30">
        <v>1546.566</v>
      </c>
      <c r="J7" s="30">
        <v>2254.355</v>
      </c>
      <c r="K7" s="30">
        <v>2535.3090000000002</v>
      </c>
      <c r="L7" s="30">
        <v>1950.4059999999999</v>
      </c>
      <c r="M7" s="30">
        <v>1329.07</v>
      </c>
      <c r="N7" s="30">
        <v>1578.4649999999999</v>
      </c>
    </row>
    <row r="8" spans="1:14" x14ac:dyDescent="0.2">
      <c r="A8" s="30" t="s">
        <v>62</v>
      </c>
      <c r="C8" s="30">
        <f t="shared" ref="C8:N8" si="0">C7-$B$7</f>
        <v>328.29300000000001</v>
      </c>
      <c r="D8" s="30">
        <f t="shared" si="0"/>
        <v>404.81700000000001</v>
      </c>
      <c r="E8" s="30">
        <f t="shared" si="0"/>
        <v>757.56299999999999</v>
      </c>
      <c r="F8" s="30">
        <f t="shared" si="0"/>
        <v>438.72300000000007</v>
      </c>
      <c r="G8" s="30">
        <f t="shared" si="0"/>
        <v>1361.5710000000001</v>
      </c>
      <c r="H8" s="30">
        <f t="shared" si="0"/>
        <v>1241.1600000000001</v>
      </c>
      <c r="I8" s="30">
        <f t="shared" si="0"/>
        <v>1317.1990000000001</v>
      </c>
      <c r="J8" s="30">
        <f t="shared" si="0"/>
        <v>2024.9880000000001</v>
      </c>
      <c r="K8" s="30">
        <f t="shared" si="0"/>
        <v>2305.942</v>
      </c>
      <c r="L8" s="30">
        <f t="shared" si="0"/>
        <v>1721.039</v>
      </c>
      <c r="M8" s="30">
        <f t="shared" si="0"/>
        <v>1099.703</v>
      </c>
      <c r="N8" s="30">
        <f t="shared" si="0"/>
        <v>1349.098</v>
      </c>
    </row>
    <row r="9" spans="1:14" x14ac:dyDescent="0.2">
      <c r="A9" s="30" t="s">
        <v>214</v>
      </c>
      <c r="C9" s="30">
        <v>8.8040000000000003</v>
      </c>
      <c r="D9" s="30">
        <v>1.78</v>
      </c>
      <c r="E9" s="30">
        <v>2.3039999999999998</v>
      </c>
      <c r="F9" s="30">
        <v>1.6120000000000001</v>
      </c>
      <c r="G9" s="30">
        <v>7.6820000000000004</v>
      </c>
      <c r="H9" s="30">
        <v>2.2959999999999998</v>
      </c>
      <c r="I9" s="30">
        <v>3.1819999999999999</v>
      </c>
      <c r="J9" s="30">
        <v>2.8570000000000002</v>
      </c>
      <c r="K9" s="30">
        <v>3.2269999999999999</v>
      </c>
      <c r="L9" s="30">
        <v>3.8639999999999999</v>
      </c>
      <c r="M9" s="30">
        <v>3.6539999999999999</v>
      </c>
      <c r="N9" s="30">
        <v>1.8260000000000001</v>
      </c>
    </row>
    <row r="10" spans="1:14" x14ac:dyDescent="0.2">
      <c r="A10" s="30" t="s">
        <v>59</v>
      </c>
      <c r="G10" s="30">
        <f t="shared" ref="G10:N10" si="1">G8/$G$2</f>
        <v>1.8431322511901214</v>
      </c>
      <c r="H10" s="30">
        <f t="shared" si="1"/>
        <v>1.6801342162010875</v>
      </c>
      <c r="I10" s="30">
        <f t="shared" si="1"/>
        <v>1.7830667355102132</v>
      </c>
      <c r="J10" s="30">
        <f t="shared" si="1"/>
        <v>2.7411869752462277</v>
      </c>
      <c r="K10" s="30">
        <f t="shared" si="1"/>
        <v>3.1215089551509618</v>
      </c>
      <c r="L10" s="30">
        <f t="shared" si="1"/>
        <v>2.3297371098943755</v>
      </c>
      <c r="M10" s="30">
        <f t="shared" si="1"/>
        <v>1.4886466192585843</v>
      </c>
      <c r="N10" s="30">
        <f t="shared" si="1"/>
        <v>1.8262477930391365</v>
      </c>
    </row>
    <row r="12" spans="1:14" x14ac:dyDescent="0.2">
      <c r="A12" s="45" t="s">
        <v>727</v>
      </c>
      <c r="C12" s="30">
        <v>1</v>
      </c>
      <c r="D12" s="30">
        <v>1</v>
      </c>
      <c r="E12" s="30">
        <v>1</v>
      </c>
      <c r="F12" s="30">
        <v>1</v>
      </c>
    </row>
    <row r="13" spans="1:14" x14ac:dyDescent="0.2">
      <c r="A13" s="30" t="s">
        <v>215</v>
      </c>
      <c r="C13" s="30">
        <v>1132.0429999999999</v>
      </c>
      <c r="D13" s="30">
        <v>843.78499999999997</v>
      </c>
      <c r="E13" s="30">
        <v>740.60199999999998</v>
      </c>
      <c r="F13" s="30">
        <v>1098.008</v>
      </c>
      <c r="G13" s="30">
        <v>1362.2070000000001</v>
      </c>
      <c r="H13" s="30">
        <v>1829.875</v>
      </c>
      <c r="I13" s="30">
        <v>1593.5160000000001</v>
      </c>
      <c r="J13" s="30">
        <v>1500.2850000000001</v>
      </c>
      <c r="K13" s="30">
        <v>1496.328</v>
      </c>
      <c r="L13" s="30">
        <v>1355.4690000000001</v>
      </c>
      <c r="M13" s="30">
        <v>637.33600000000001</v>
      </c>
    </row>
    <row r="14" spans="1:14" x14ac:dyDescent="0.2">
      <c r="A14" s="30" t="s">
        <v>62</v>
      </c>
      <c r="C14" s="30">
        <f t="shared" ref="C14:M14" si="2">C13-$B$7</f>
        <v>902.67599999999993</v>
      </c>
      <c r="D14" s="30">
        <f t="shared" si="2"/>
        <v>614.41800000000001</v>
      </c>
      <c r="E14" s="30">
        <f t="shared" si="2"/>
        <v>511.23500000000001</v>
      </c>
      <c r="F14" s="30">
        <f t="shared" si="2"/>
        <v>868.64100000000008</v>
      </c>
      <c r="G14" s="30">
        <f t="shared" si="2"/>
        <v>1132.8400000000001</v>
      </c>
      <c r="H14" s="30">
        <f t="shared" si="2"/>
        <v>1600.508</v>
      </c>
      <c r="I14" s="30">
        <f t="shared" si="2"/>
        <v>1364.1490000000001</v>
      </c>
      <c r="J14" s="30">
        <f t="shared" si="2"/>
        <v>1270.9180000000001</v>
      </c>
      <c r="K14" s="30">
        <f t="shared" si="2"/>
        <v>1266.961</v>
      </c>
      <c r="L14" s="30">
        <f t="shared" si="2"/>
        <v>1126.1020000000001</v>
      </c>
      <c r="M14" s="30">
        <f t="shared" si="2"/>
        <v>407.96900000000005</v>
      </c>
    </row>
    <row r="15" spans="1:14" x14ac:dyDescent="0.2">
      <c r="A15" s="30" t="s">
        <v>214</v>
      </c>
      <c r="C15" s="30">
        <v>8.9139999999999997</v>
      </c>
      <c r="D15" s="30">
        <v>1.6259999999999999</v>
      </c>
      <c r="E15" s="30">
        <v>1.8540000000000001</v>
      </c>
      <c r="F15" s="30">
        <v>1.2</v>
      </c>
      <c r="G15" s="30">
        <v>7.7240000000000002</v>
      </c>
      <c r="H15" s="30">
        <v>2.2200000000000002</v>
      </c>
      <c r="I15" s="30">
        <v>1.8149999999999999</v>
      </c>
      <c r="J15" s="30">
        <v>2.5630000000000002</v>
      </c>
      <c r="K15" s="30">
        <v>2.6419999999999999</v>
      </c>
      <c r="L15" s="30">
        <v>3.2320000000000002</v>
      </c>
      <c r="M15" s="30">
        <v>3.169</v>
      </c>
    </row>
    <row r="16" spans="1:14" x14ac:dyDescent="0.2">
      <c r="A16" s="30" t="s">
        <v>60</v>
      </c>
      <c r="C16" s="30">
        <f t="shared" ref="C16:M16" si="3">SQRT((1+(C15^2)))</f>
        <v>8.9699161646026546</v>
      </c>
      <c r="D16" s="30">
        <f t="shared" si="3"/>
        <v>1.9088939205728535</v>
      </c>
      <c r="E16" s="30">
        <f t="shared" si="3"/>
        <v>2.1064937692763301</v>
      </c>
      <c r="F16" s="30">
        <f t="shared" si="3"/>
        <v>1.5620499351813308</v>
      </c>
      <c r="G16" s="30">
        <f t="shared" si="3"/>
        <v>7.7884642902179371</v>
      </c>
      <c r="H16" s="30">
        <f t="shared" si="3"/>
        <v>2.4348305895893456</v>
      </c>
      <c r="I16" s="30">
        <f t="shared" si="3"/>
        <v>2.0722511913375752</v>
      </c>
      <c r="J16" s="30">
        <f t="shared" si="3"/>
        <v>2.7511759303977636</v>
      </c>
      <c r="K16" s="30">
        <f t="shared" si="3"/>
        <v>2.8249184059013102</v>
      </c>
      <c r="L16" s="30">
        <f t="shared" si="3"/>
        <v>3.3831677463584335</v>
      </c>
      <c r="M16" s="30">
        <f t="shared" si="3"/>
        <v>3.3230349080321142</v>
      </c>
    </row>
    <row r="17" spans="1:13" x14ac:dyDescent="0.2">
      <c r="A17" s="30" t="s">
        <v>59</v>
      </c>
      <c r="G17" s="30">
        <f t="shared" ref="G17:M17" si="4">G14/$G$2</f>
        <v>1.533503533373006</v>
      </c>
      <c r="H17" s="30">
        <f t="shared" si="4"/>
        <v>2.1665766332330803</v>
      </c>
      <c r="I17" s="30">
        <f t="shared" si="4"/>
        <v>1.8466220397825401</v>
      </c>
      <c r="J17" s="30">
        <f t="shared" si="4"/>
        <v>1.7204170435607447</v>
      </c>
      <c r="K17" s="30">
        <f t="shared" si="4"/>
        <v>1.7150605294179202</v>
      </c>
      <c r="L17" s="30">
        <f t="shared" si="4"/>
        <v>1.5243824334755205</v>
      </c>
      <c r="M17" s="30">
        <f t="shared" si="4"/>
        <v>0.55225972159056169</v>
      </c>
    </row>
    <row r="19" spans="1:13" x14ac:dyDescent="0.2">
      <c r="A19" s="45" t="s">
        <v>726</v>
      </c>
      <c r="C19" s="30">
        <v>1</v>
      </c>
      <c r="D19" s="30">
        <v>1</v>
      </c>
    </row>
    <row r="20" spans="1:13" x14ac:dyDescent="0.2">
      <c r="A20" s="30" t="s">
        <v>215</v>
      </c>
      <c r="C20" s="30">
        <v>1003.438</v>
      </c>
      <c r="D20" s="30">
        <v>813.89099999999996</v>
      </c>
      <c r="E20" s="30">
        <v>752.75400000000002</v>
      </c>
    </row>
    <row r="21" spans="1:13" x14ac:dyDescent="0.2">
      <c r="A21" s="30" t="s">
        <v>62</v>
      </c>
      <c r="C21" s="30">
        <f>C20-$B$7</f>
        <v>774.07100000000003</v>
      </c>
      <c r="D21" s="30">
        <f>D20-$B$7</f>
        <v>584.524</v>
      </c>
      <c r="E21" s="30">
        <f>E20-$B$7</f>
        <v>523.38700000000006</v>
      </c>
    </row>
    <row r="22" spans="1:13" x14ac:dyDescent="0.2">
      <c r="A22" s="30" t="s">
        <v>214</v>
      </c>
      <c r="C22" s="30">
        <v>4.1890000000000001</v>
      </c>
      <c r="D22" s="30">
        <v>3.4630000000000001</v>
      </c>
      <c r="E22" s="30">
        <v>3.1160000000000001</v>
      </c>
    </row>
    <row r="23" spans="1:13" x14ac:dyDescent="0.2">
      <c r="A23" s="30" t="s">
        <v>60</v>
      </c>
      <c r="C23" s="30">
        <f>SQRT((4+(C22^2)))</f>
        <v>4.6419522832532429</v>
      </c>
      <c r="D23" s="30">
        <f>SQRT((4+(D22^2)))</f>
        <v>3.9990460112381805</v>
      </c>
      <c r="E23" s="30">
        <f>SQRT((4+(E22^2)))</f>
        <v>3.7026282557124204</v>
      </c>
    </row>
    <row r="24" spans="1:13" x14ac:dyDescent="0.2">
      <c r="A24" s="30" t="s">
        <v>59</v>
      </c>
      <c r="E24" s="30">
        <f>E21/$G$2</f>
        <v>0.7084988293329133</v>
      </c>
    </row>
    <row r="26" spans="1:13" x14ac:dyDescent="0.2">
      <c r="A26" s="45" t="s">
        <v>725</v>
      </c>
      <c r="C26" s="30">
        <v>1</v>
      </c>
    </row>
    <row r="27" spans="1:13" x14ac:dyDescent="0.2">
      <c r="A27" s="30" t="s">
        <v>215</v>
      </c>
      <c r="C27" s="30">
        <v>724.21900000000005</v>
      </c>
    </row>
    <row r="28" spans="1:13" x14ac:dyDescent="0.2">
      <c r="A28" s="30" t="s">
        <v>62</v>
      </c>
      <c r="C28" s="30">
        <f>C27-B7</f>
        <v>494.85200000000009</v>
      </c>
    </row>
    <row r="29" spans="1:13" x14ac:dyDescent="0.2">
      <c r="A29" s="30" t="s">
        <v>214</v>
      </c>
      <c r="C29" s="30">
        <v>2.718</v>
      </c>
    </row>
    <row r="30" spans="1:13" x14ac:dyDescent="0.2">
      <c r="A30" s="30" t="s">
        <v>60</v>
      </c>
      <c r="C30" s="30">
        <f>SQRT((9+(C29^2)))</f>
        <v>4.0481506888948688</v>
      </c>
    </row>
    <row r="31" spans="1:13" x14ac:dyDescent="0.2">
      <c r="A31" s="30" t="s">
        <v>59</v>
      </c>
      <c r="C31" s="30">
        <f>C28/$G$2</f>
        <v>0.66987155334972182</v>
      </c>
    </row>
    <row r="33" spans="1:15" x14ac:dyDescent="0.2">
      <c r="A33" s="45" t="s">
        <v>724</v>
      </c>
      <c r="C33" s="30">
        <v>1</v>
      </c>
      <c r="D33" s="30">
        <v>1</v>
      </c>
      <c r="E33" s="30">
        <v>1</v>
      </c>
      <c r="F33" s="30">
        <v>1</v>
      </c>
      <c r="G33" s="30">
        <v>1</v>
      </c>
      <c r="H33" s="30">
        <v>1</v>
      </c>
    </row>
    <row r="34" spans="1:15" x14ac:dyDescent="0.2">
      <c r="A34" s="30" t="s">
        <v>215</v>
      </c>
      <c r="C34" s="30">
        <v>782.20699999999999</v>
      </c>
      <c r="D34" s="30">
        <v>935.52700000000004</v>
      </c>
      <c r="E34" s="30">
        <v>928.36300000000006</v>
      </c>
      <c r="F34" s="30">
        <v>973.75</v>
      </c>
      <c r="G34" s="30">
        <v>790.98400000000004</v>
      </c>
      <c r="H34" s="30">
        <v>753.77700000000004</v>
      </c>
      <c r="I34" s="30">
        <v>1166.1089999999999</v>
      </c>
      <c r="J34" s="30">
        <v>1505.9570000000001</v>
      </c>
      <c r="K34" s="30">
        <v>1210.223</v>
      </c>
      <c r="L34" s="30">
        <v>972.62099999999998</v>
      </c>
      <c r="M34" s="30">
        <v>898.35199999999998</v>
      </c>
      <c r="N34" s="30">
        <v>1123.8399999999999</v>
      </c>
      <c r="O34" s="30">
        <v>880.18</v>
      </c>
    </row>
    <row r="35" spans="1:15" x14ac:dyDescent="0.2">
      <c r="A35" s="30" t="s">
        <v>62</v>
      </c>
      <c r="C35" s="30">
        <f t="shared" ref="C35:O35" si="5">C34-$B$7</f>
        <v>552.84</v>
      </c>
      <c r="D35" s="30">
        <f t="shared" si="5"/>
        <v>706.16000000000008</v>
      </c>
      <c r="E35" s="30">
        <f t="shared" si="5"/>
        <v>698.99600000000009</v>
      </c>
      <c r="F35" s="30">
        <f t="shared" si="5"/>
        <v>744.38300000000004</v>
      </c>
      <c r="G35" s="30">
        <f t="shared" si="5"/>
        <v>561.61700000000008</v>
      </c>
      <c r="H35" s="30">
        <f t="shared" si="5"/>
        <v>524.41000000000008</v>
      </c>
      <c r="I35" s="30">
        <f t="shared" si="5"/>
        <v>936.74199999999996</v>
      </c>
      <c r="J35" s="30">
        <f t="shared" si="5"/>
        <v>1276.5900000000001</v>
      </c>
      <c r="K35" s="30">
        <f t="shared" si="5"/>
        <v>980.85599999999999</v>
      </c>
      <c r="L35" s="30">
        <f t="shared" si="5"/>
        <v>743.25400000000002</v>
      </c>
      <c r="M35" s="30">
        <f t="shared" si="5"/>
        <v>668.98500000000001</v>
      </c>
      <c r="N35" s="30">
        <f t="shared" si="5"/>
        <v>894.47299999999996</v>
      </c>
      <c r="O35" s="30">
        <f t="shared" si="5"/>
        <v>650.81299999999999</v>
      </c>
    </row>
    <row r="36" spans="1:15" x14ac:dyDescent="0.2">
      <c r="A36" s="30" t="s">
        <v>214</v>
      </c>
      <c r="C36" s="30">
        <v>12.352</v>
      </c>
      <c r="D36" s="30">
        <v>3.3170000000000002</v>
      </c>
      <c r="E36" s="30">
        <v>3.871</v>
      </c>
      <c r="F36" s="30">
        <v>2.2839999999999998</v>
      </c>
      <c r="G36" s="30">
        <v>1.091</v>
      </c>
      <c r="H36" s="30">
        <v>1.2509999999999999</v>
      </c>
      <c r="I36" s="30">
        <v>17.120999999999999</v>
      </c>
      <c r="J36" s="30">
        <v>15.285</v>
      </c>
      <c r="K36" s="30">
        <v>3.4990000000000001</v>
      </c>
      <c r="L36" s="30">
        <v>2.5110000000000001</v>
      </c>
      <c r="M36" s="30">
        <v>3.1589999999999998</v>
      </c>
      <c r="N36" s="30">
        <v>2.0699999999999998</v>
      </c>
      <c r="O36" s="30">
        <v>1.746</v>
      </c>
    </row>
    <row r="37" spans="1:15" x14ac:dyDescent="0.2">
      <c r="A37" s="30" t="s">
        <v>60</v>
      </c>
      <c r="C37" s="30">
        <f t="shared" ref="C37:O37" si="6">SQRT((1+(C36^2)))</f>
        <v>12.392413162899308</v>
      </c>
      <c r="D37" s="30">
        <f t="shared" si="6"/>
        <v>3.4644608527157583</v>
      </c>
      <c r="E37" s="30">
        <f t="shared" si="6"/>
        <v>3.9980796640387246</v>
      </c>
      <c r="F37" s="30">
        <f t="shared" si="6"/>
        <v>2.493322281615435</v>
      </c>
      <c r="G37" s="30">
        <f t="shared" si="6"/>
        <v>1.4799597967512494</v>
      </c>
      <c r="H37" s="30">
        <f t="shared" si="6"/>
        <v>1.6015620499999366</v>
      </c>
      <c r="I37" s="30">
        <f t="shared" si="6"/>
        <v>17.150179036966346</v>
      </c>
      <c r="J37" s="30">
        <f t="shared" si="6"/>
        <v>15.317676879997176</v>
      </c>
      <c r="K37" s="30">
        <f t="shared" si="6"/>
        <v>3.6390934310621925</v>
      </c>
      <c r="L37" s="30">
        <f t="shared" si="6"/>
        <v>2.7027987346452567</v>
      </c>
      <c r="M37" s="30">
        <f t="shared" si="6"/>
        <v>3.3134998113776919</v>
      </c>
      <c r="N37" s="30">
        <f t="shared" si="6"/>
        <v>2.2988910370002316</v>
      </c>
      <c r="O37" s="30">
        <f t="shared" si="6"/>
        <v>2.0120924432043372</v>
      </c>
    </row>
    <row r="38" spans="1:15" x14ac:dyDescent="0.2">
      <c r="A38" s="30" t="s">
        <v>59</v>
      </c>
      <c r="I38" s="30">
        <f t="shared" ref="I38:O38" si="7">I35/$G$2</f>
        <v>1.2680494746468134</v>
      </c>
      <c r="J38" s="30">
        <f t="shared" si="7"/>
        <v>1.7280951199363066</v>
      </c>
      <c r="K38" s="30">
        <f t="shared" si="7"/>
        <v>1.3277657407313592</v>
      </c>
      <c r="L38" s="30">
        <f t="shared" si="7"/>
        <v>1.0061285222923098</v>
      </c>
      <c r="M38" s="30">
        <f t="shared" si="7"/>
        <v>0.90559201764904163</v>
      </c>
      <c r="N38" s="30">
        <f t="shared" si="7"/>
        <v>1.2108307492732888</v>
      </c>
      <c r="O38" s="30">
        <f t="shared" si="7"/>
        <v>0.880992933746236</v>
      </c>
    </row>
    <row r="40" spans="1:15" x14ac:dyDescent="0.2">
      <c r="A40" s="45" t="s">
        <v>723</v>
      </c>
      <c r="C40" s="30">
        <v>1</v>
      </c>
      <c r="D40" s="30">
        <v>1</v>
      </c>
      <c r="E40" s="30">
        <v>1</v>
      </c>
      <c r="F40" s="30">
        <v>1</v>
      </c>
      <c r="G40" s="30">
        <v>1</v>
      </c>
    </row>
    <row r="41" spans="1:15" x14ac:dyDescent="0.2">
      <c r="A41" s="30" t="s">
        <v>215</v>
      </c>
      <c r="C41" s="30">
        <v>871.91800000000001</v>
      </c>
      <c r="D41" s="30">
        <v>637.98</v>
      </c>
      <c r="E41" s="30">
        <v>996.11300000000006</v>
      </c>
      <c r="F41" s="30">
        <v>927.19100000000003</v>
      </c>
      <c r="G41" s="30">
        <v>803.46500000000003</v>
      </c>
      <c r="H41" s="30">
        <v>692.56799999999998</v>
      </c>
      <c r="I41" s="30">
        <v>1714.434</v>
      </c>
      <c r="J41" s="30">
        <v>1326.875</v>
      </c>
      <c r="K41" s="30">
        <v>1767.7929999999999</v>
      </c>
      <c r="L41" s="30">
        <v>2966.223</v>
      </c>
      <c r="M41" s="30">
        <v>2236.422</v>
      </c>
    </row>
    <row r="42" spans="1:15" x14ac:dyDescent="0.2">
      <c r="A42" s="30" t="s">
        <v>62</v>
      </c>
      <c r="C42" s="30">
        <f t="shared" ref="C42:M42" si="8">C41-$B$7</f>
        <v>642.55100000000004</v>
      </c>
      <c r="D42" s="30">
        <f t="shared" si="8"/>
        <v>408.61300000000006</v>
      </c>
      <c r="E42" s="30">
        <f t="shared" si="8"/>
        <v>766.74600000000009</v>
      </c>
      <c r="F42" s="30">
        <f t="shared" si="8"/>
        <v>697.82400000000007</v>
      </c>
      <c r="G42" s="30">
        <f t="shared" si="8"/>
        <v>574.09800000000007</v>
      </c>
      <c r="H42" s="30">
        <f t="shared" si="8"/>
        <v>463.20100000000002</v>
      </c>
      <c r="I42" s="30">
        <f t="shared" si="8"/>
        <v>1485.067</v>
      </c>
      <c r="J42" s="30">
        <f t="shared" si="8"/>
        <v>1097.508</v>
      </c>
      <c r="K42" s="30">
        <f t="shared" si="8"/>
        <v>1538.4259999999999</v>
      </c>
      <c r="L42" s="30">
        <f t="shared" si="8"/>
        <v>2736.8559999999998</v>
      </c>
      <c r="M42" s="30">
        <f t="shared" si="8"/>
        <v>2007.0550000000001</v>
      </c>
    </row>
    <row r="43" spans="1:15" x14ac:dyDescent="0.2">
      <c r="A43" s="30" t="s">
        <v>214</v>
      </c>
      <c r="C43" s="30">
        <v>1.093</v>
      </c>
      <c r="D43" s="30">
        <v>2.8740000000000001</v>
      </c>
      <c r="E43" s="30">
        <v>10.704000000000001</v>
      </c>
      <c r="F43" s="30">
        <v>15.475</v>
      </c>
      <c r="G43" s="30">
        <v>17.18</v>
      </c>
      <c r="H43" s="30">
        <v>10.010999999999999</v>
      </c>
      <c r="I43" s="30">
        <v>10.369</v>
      </c>
      <c r="J43" s="30">
        <v>9.3989999999999991</v>
      </c>
      <c r="K43" s="30">
        <v>3.3809999999999998</v>
      </c>
      <c r="L43" s="30">
        <v>2.8239999999999998</v>
      </c>
      <c r="M43" s="30">
        <v>1.9590000000000001</v>
      </c>
    </row>
    <row r="44" spans="1:15" x14ac:dyDescent="0.2">
      <c r="A44" s="30" t="s">
        <v>60</v>
      </c>
      <c r="C44" s="30">
        <f t="shared" ref="C44:M44" si="9">SQRT((4+(C43^2)))</f>
        <v>2.2791772638388617</v>
      </c>
      <c r="D44" s="30">
        <f t="shared" si="9"/>
        <v>3.5014105728977287</v>
      </c>
      <c r="E44" s="30">
        <f t="shared" si="9"/>
        <v>10.889243132559765</v>
      </c>
      <c r="F44" s="30">
        <f t="shared" si="9"/>
        <v>15.603705489402188</v>
      </c>
      <c r="G44" s="30">
        <f t="shared" si="9"/>
        <v>17.296022664184967</v>
      </c>
      <c r="H44" s="30">
        <f t="shared" si="9"/>
        <v>10.208825642550664</v>
      </c>
      <c r="I44" s="30">
        <f t="shared" si="9"/>
        <v>10.560121258773499</v>
      </c>
      <c r="J44" s="30">
        <f t="shared" si="9"/>
        <v>9.6094329177116364</v>
      </c>
      <c r="K44" s="30">
        <f t="shared" si="9"/>
        <v>3.9282516467252959</v>
      </c>
      <c r="L44" s="30">
        <f t="shared" si="9"/>
        <v>3.4604878268822157</v>
      </c>
      <c r="M44" s="30">
        <f t="shared" si="9"/>
        <v>2.7995858622303404</v>
      </c>
    </row>
    <row r="45" spans="1:15" x14ac:dyDescent="0.2">
      <c r="A45" s="30" t="s">
        <v>59</v>
      </c>
      <c r="H45" s="30">
        <f t="shared" ref="H45:M45" si="10">H42/$G$2</f>
        <v>0.6270262086101388</v>
      </c>
      <c r="I45" s="30">
        <f t="shared" si="10"/>
        <v>2.0103063908368788</v>
      </c>
      <c r="J45" s="30">
        <f t="shared" si="10"/>
        <v>1.4856752903368002</v>
      </c>
      <c r="K45" s="30">
        <f t="shared" si="10"/>
        <v>2.0825374340885734</v>
      </c>
      <c r="L45" s="30">
        <f t="shared" si="10"/>
        <v>3.7048288781585317</v>
      </c>
      <c r="M45" s="30">
        <f t="shared" si="10"/>
        <v>2.7169114210073428</v>
      </c>
    </row>
    <row r="47" spans="1:15" x14ac:dyDescent="0.2">
      <c r="A47" s="45" t="s">
        <v>722</v>
      </c>
      <c r="C47" s="30">
        <v>1</v>
      </c>
      <c r="D47" s="30">
        <v>1</v>
      </c>
      <c r="E47" s="30">
        <v>1</v>
      </c>
      <c r="F47" s="30">
        <v>1</v>
      </c>
      <c r="G47" s="30">
        <v>1</v>
      </c>
    </row>
    <row r="48" spans="1:15" x14ac:dyDescent="0.2">
      <c r="A48" s="30" t="s">
        <v>215</v>
      </c>
      <c r="C48" s="30">
        <v>673.13699999999994</v>
      </c>
      <c r="D48" s="30">
        <v>1178.117</v>
      </c>
      <c r="E48" s="30">
        <v>1025.4380000000001</v>
      </c>
      <c r="F48" s="30">
        <v>1834.2339999999999</v>
      </c>
      <c r="G48" s="30">
        <v>1744.5429999999999</v>
      </c>
      <c r="H48" s="30">
        <v>950.18799999999999</v>
      </c>
      <c r="I48" s="30">
        <v>950.68799999999999</v>
      </c>
    </row>
    <row r="49" spans="1:9" x14ac:dyDescent="0.2">
      <c r="A49" s="30" t="s">
        <v>62</v>
      </c>
      <c r="C49" s="30">
        <f t="shared" ref="C49:I49" si="11">C48-$B$7</f>
        <v>443.77</v>
      </c>
      <c r="D49" s="30">
        <f t="shared" si="11"/>
        <v>948.75</v>
      </c>
      <c r="E49" s="30">
        <f t="shared" si="11"/>
        <v>796.07100000000014</v>
      </c>
      <c r="F49" s="30">
        <f t="shared" si="11"/>
        <v>1604.867</v>
      </c>
      <c r="G49" s="30">
        <f t="shared" si="11"/>
        <v>1515.1759999999999</v>
      </c>
      <c r="H49" s="30">
        <f t="shared" si="11"/>
        <v>720.82100000000003</v>
      </c>
      <c r="I49" s="30">
        <f t="shared" si="11"/>
        <v>721.32100000000003</v>
      </c>
    </row>
    <row r="50" spans="1:9" x14ac:dyDescent="0.2">
      <c r="A50" s="30" t="s">
        <v>214</v>
      </c>
      <c r="C50" s="30">
        <v>16.643999999999998</v>
      </c>
      <c r="D50" s="30">
        <v>9.8079999999999998</v>
      </c>
      <c r="E50" s="30">
        <v>3.4870000000000001</v>
      </c>
      <c r="F50" s="30">
        <v>2.9910000000000001</v>
      </c>
      <c r="G50" s="30">
        <v>2.5710000000000002</v>
      </c>
      <c r="H50" s="30">
        <v>1.861</v>
      </c>
      <c r="I50" s="30">
        <v>2.0779999999999998</v>
      </c>
    </row>
    <row r="51" spans="1:9" x14ac:dyDescent="0.2">
      <c r="A51" s="30" t="s">
        <v>60</v>
      </c>
      <c r="C51" s="30">
        <f t="shared" ref="C51:I51" si="12">SQRT((9+(C50^2)))</f>
        <v>16.912206715860588</v>
      </c>
      <c r="D51" s="30">
        <f t="shared" si="12"/>
        <v>10.25655224722226</v>
      </c>
      <c r="E51" s="30">
        <f t="shared" si="12"/>
        <v>4.5999096730261995</v>
      </c>
      <c r="F51" s="30">
        <f t="shared" si="12"/>
        <v>4.2362815062268941</v>
      </c>
      <c r="G51" s="30">
        <f t="shared" si="12"/>
        <v>3.9509544416507767</v>
      </c>
      <c r="H51" s="30">
        <f t="shared" si="12"/>
        <v>3.5303429011924607</v>
      </c>
      <c r="I51" s="30">
        <f t="shared" si="12"/>
        <v>3.6493950183557819</v>
      </c>
    </row>
    <row r="52" spans="1:9" x14ac:dyDescent="0.2">
      <c r="A52" s="30" t="s">
        <v>59</v>
      </c>
      <c r="H52" s="30">
        <f>H49/$G$2</f>
        <v>0.97576140534361733</v>
      </c>
      <c r="I52" s="30">
        <f>I49/$G$2</f>
        <v>0.97643824564470705</v>
      </c>
    </row>
    <row r="54" spans="1:9" x14ac:dyDescent="0.2">
      <c r="A54" s="45" t="s">
        <v>721</v>
      </c>
      <c r="C54" s="30">
        <v>1</v>
      </c>
      <c r="D54" s="30">
        <v>1</v>
      </c>
      <c r="E54" s="30">
        <v>1</v>
      </c>
      <c r="F54" s="30">
        <v>1</v>
      </c>
      <c r="G54" s="30">
        <v>1</v>
      </c>
    </row>
    <row r="55" spans="1:9" x14ac:dyDescent="0.2">
      <c r="A55" s="30" t="s">
        <v>215</v>
      </c>
      <c r="C55" s="30">
        <v>920.79300000000001</v>
      </c>
      <c r="D55" s="30">
        <v>1124.75</v>
      </c>
      <c r="E55" s="30">
        <v>1446.145</v>
      </c>
      <c r="F55" s="30">
        <v>1546.2940000000001</v>
      </c>
      <c r="G55" s="30">
        <v>926.29700000000003</v>
      </c>
    </row>
    <row r="56" spans="1:9" x14ac:dyDescent="0.2">
      <c r="A56" s="30" t="s">
        <v>62</v>
      </c>
      <c r="C56" s="30">
        <f>C55-$B$7</f>
        <v>691.42600000000004</v>
      </c>
      <c r="D56" s="30">
        <f>D55-$B$7</f>
        <v>895.38300000000004</v>
      </c>
      <c r="E56" s="30">
        <f>E55-$B$7</f>
        <v>1216.778</v>
      </c>
      <c r="F56" s="30">
        <f>F55-$B$7</f>
        <v>1316.9270000000001</v>
      </c>
      <c r="G56" s="30">
        <f>G55-$B$7</f>
        <v>696.93000000000006</v>
      </c>
    </row>
    <row r="57" spans="1:9" x14ac:dyDescent="0.2">
      <c r="A57" s="30" t="s">
        <v>214</v>
      </c>
      <c r="C57" s="30">
        <v>8.3089999999999993</v>
      </c>
      <c r="D57" s="30">
        <v>2.355</v>
      </c>
      <c r="E57" s="30">
        <v>1.9530000000000001</v>
      </c>
      <c r="F57" s="30">
        <v>1.613</v>
      </c>
      <c r="G57" s="30">
        <v>2.12</v>
      </c>
    </row>
    <row r="58" spans="1:9" x14ac:dyDescent="0.2">
      <c r="A58" s="30" t="s">
        <v>60</v>
      </c>
      <c r="C58" s="30">
        <f>SQRT((36+(C57^2)))</f>
        <v>10.248877060439353</v>
      </c>
      <c r="D58" s="30">
        <f>SQRT((36+(D57^2)))</f>
        <v>6.4456206062721373</v>
      </c>
      <c r="E58" s="30">
        <f>SQRT((36+(E57^2)))</f>
        <v>6.3098501566994436</v>
      </c>
      <c r="F58" s="30">
        <f>SQRT((36+(F57^2)))</f>
        <v>6.2130321904847712</v>
      </c>
      <c r="G58" s="30">
        <f>SQRT((36+(G57^2)))</f>
        <v>6.363521037916037</v>
      </c>
    </row>
    <row r="59" spans="1:9" x14ac:dyDescent="0.2">
      <c r="A59" s="30" t="s">
        <v>59</v>
      </c>
    </row>
    <row r="61" spans="1:9" x14ac:dyDescent="0.2">
      <c r="A61" s="45" t="s">
        <v>720</v>
      </c>
      <c r="C61" s="30">
        <v>1</v>
      </c>
    </row>
    <row r="62" spans="1:9" x14ac:dyDescent="0.2">
      <c r="A62" s="30" t="s">
        <v>215</v>
      </c>
      <c r="C62" s="30">
        <v>923.21900000000005</v>
      </c>
    </row>
    <row r="63" spans="1:9" x14ac:dyDescent="0.2">
      <c r="A63" s="30" t="s">
        <v>62</v>
      </c>
      <c r="C63" s="30">
        <f>C62-B7</f>
        <v>693.85200000000009</v>
      </c>
    </row>
    <row r="64" spans="1:9" x14ac:dyDescent="0.2">
      <c r="A64" s="30" t="s">
        <v>214</v>
      </c>
      <c r="C64" s="30">
        <v>5.8490000000000002</v>
      </c>
    </row>
    <row r="65" spans="1:3" x14ac:dyDescent="0.2">
      <c r="A65" s="30" t="s">
        <v>60</v>
      </c>
      <c r="C65" s="30">
        <f>SQRT((64+(C64^2)))</f>
        <v>9.9101362755514124</v>
      </c>
    </row>
    <row r="66" spans="1:3" x14ac:dyDescent="0.2">
      <c r="A66" s="30" t="s">
        <v>59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0234F-0F7D-A04C-910B-2E2941B47C1C}">
  <sheetPr>
    <outlinePr summaryBelow="0" summaryRight="0"/>
  </sheetPr>
  <dimension ref="A1:Q59"/>
  <sheetViews>
    <sheetView workbookViewId="0">
      <selection activeCell="Q46" sqref="Q46"/>
    </sheetView>
  </sheetViews>
  <sheetFormatPr baseColWidth="10" defaultColWidth="12.6640625" defaultRowHeight="15.75" customHeight="1" x14ac:dyDescent="0.2"/>
  <cols>
    <col min="1" max="1" width="17.6640625" style="7" customWidth="1"/>
    <col min="2" max="2" width="17.33203125" style="7" customWidth="1"/>
    <col min="3" max="16384" width="12.6640625" style="7"/>
  </cols>
  <sheetData>
    <row r="1" spans="1:17" ht="16" x14ac:dyDescent="0.2">
      <c r="A1" s="53" t="s">
        <v>760</v>
      </c>
      <c r="B1" s="17"/>
      <c r="C1" s="54">
        <v>45229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7" ht="15.7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7" ht="16" x14ac:dyDescent="0.2">
      <c r="A3" s="53" t="s">
        <v>74</v>
      </c>
      <c r="B3" s="53" t="s">
        <v>114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7" ht="16" x14ac:dyDescent="0.2">
      <c r="A4" s="53" t="s">
        <v>27</v>
      </c>
      <c r="B4" s="17"/>
      <c r="C4" s="17"/>
      <c r="D4" s="53" t="s">
        <v>73</v>
      </c>
      <c r="E4" s="17">
        <f>AVERAGE(C8,D8,E8,F8,C14)</f>
        <v>71.678200000000018</v>
      </c>
      <c r="F4" s="17"/>
      <c r="G4" s="57" t="s">
        <v>72</v>
      </c>
      <c r="H4" s="56"/>
      <c r="I4" s="17"/>
      <c r="J4" s="17"/>
      <c r="K4" s="17"/>
      <c r="L4" s="17"/>
      <c r="M4" s="17"/>
    </row>
    <row r="5" spans="1:17" ht="15.75" customHeight="1" x14ac:dyDescent="0.2">
      <c r="A5" s="17"/>
      <c r="B5" s="52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7" ht="15" x14ac:dyDescent="0.2">
      <c r="A6" s="51" t="s">
        <v>759</v>
      </c>
      <c r="B6" s="50" t="s">
        <v>70</v>
      </c>
      <c r="C6" s="17">
        <v>1</v>
      </c>
      <c r="D6" s="17">
        <v>1</v>
      </c>
      <c r="E6" s="17">
        <v>1</v>
      </c>
      <c r="F6" s="17">
        <v>1</v>
      </c>
      <c r="G6" s="17"/>
      <c r="H6" s="17"/>
      <c r="I6" s="17"/>
      <c r="J6" s="17"/>
      <c r="K6" s="17"/>
      <c r="L6" s="17"/>
      <c r="M6" s="17"/>
    </row>
    <row r="7" spans="1:17" ht="15" x14ac:dyDescent="0.2">
      <c r="A7" s="19" t="s">
        <v>63</v>
      </c>
      <c r="B7" s="17">
        <v>216.74199999999999</v>
      </c>
      <c r="C7" s="17">
        <v>309.82</v>
      </c>
      <c r="D7" s="17">
        <v>249.07400000000001</v>
      </c>
      <c r="E7" s="17">
        <v>256.20699999999999</v>
      </c>
      <c r="F7" s="17">
        <v>323.78100000000001</v>
      </c>
      <c r="G7" s="17">
        <v>326.41000000000003</v>
      </c>
      <c r="H7" s="17">
        <v>412.46499999999997</v>
      </c>
      <c r="I7" s="17">
        <v>3944.4949999999999</v>
      </c>
      <c r="J7" s="17">
        <v>436.49200000000002</v>
      </c>
      <c r="K7" s="17">
        <v>479.80099999999999</v>
      </c>
      <c r="L7" s="17">
        <v>429.55099999999999</v>
      </c>
      <c r="M7" s="17">
        <v>339.18799999999999</v>
      </c>
      <c r="N7" s="8">
        <v>426.08199999999999</v>
      </c>
      <c r="O7" s="8">
        <v>368.31599999999997</v>
      </c>
      <c r="P7" s="8">
        <v>409.82</v>
      </c>
      <c r="Q7" s="8">
        <v>277.19900000000001</v>
      </c>
    </row>
    <row r="8" spans="1:17" ht="15" x14ac:dyDescent="0.2">
      <c r="A8" s="19" t="s">
        <v>62</v>
      </c>
      <c r="B8" s="17"/>
      <c r="C8" s="17">
        <f t="shared" ref="C8:Q8" si="0">C7-$B$7</f>
        <v>93.078000000000003</v>
      </c>
      <c r="D8" s="17">
        <f t="shared" si="0"/>
        <v>32.332000000000022</v>
      </c>
      <c r="E8" s="17">
        <f t="shared" si="0"/>
        <v>39.465000000000003</v>
      </c>
      <c r="F8" s="17">
        <f t="shared" si="0"/>
        <v>107.03900000000002</v>
      </c>
      <c r="G8" s="17">
        <f t="shared" si="0"/>
        <v>109.66800000000003</v>
      </c>
      <c r="H8" s="17">
        <f t="shared" si="0"/>
        <v>195.72299999999998</v>
      </c>
      <c r="I8" s="17">
        <f t="shared" si="0"/>
        <v>3727.7529999999997</v>
      </c>
      <c r="J8" s="17">
        <f t="shared" si="0"/>
        <v>219.75000000000003</v>
      </c>
      <c r="K8" s="17">
        <f t="shared" si="0"/>
        <v>263.05899999999997</v>
      </c>
      <c r="L8" s="17">
        <f t="shared" si="0"/>
        <v>212.809</v>
      </c>
      <c r="M8" s="17">
        <f t="shared" si="0"/>
        <v>122.446</v>
      </c>
      <c r="N8" s="17">
        <f t="shared" si="0"/>
        <v>209.34</v>
      </c>
      <c r="O8" s="17">
        <f t="shared" si="0"/>
        <v>151.57399999999998</v>
      </c>
      <c r="P8" s="17">
        <f t="shared" si="0"/>
        <v>193.078</v>
      </c>
      <c r="Q8" s="17">
        <f t="shared" si="0"/>
        <v>60.457000000000022</v>
      </c>
    </row>
    <row r="9" spans="1:17" ht="15" x14ac:dyDescent="0.2">
      <c r="A9" s="19" t="s">
        <v>61</v>
      </c>
      <c r="B9" s="17"/>
      <c r="C9" s="17">
        <v>3.4340000000000002</v>
      </c>
      <c r="D9" s="17">
        <v>2.3959999999999999</v>
      </c>
      <c r="E9" s="17">
        <v>7.52</v>
      </c>
      <c r="F9" s="17">
        <v>2.6480000000000001</v>
      </c>
      <c r="G9" s="17">
        <v>6.4390000000000001</v>
      </c>
      <c r="H9" s="17">
        <v>5.5049999999999999</v>
      </c>
      <c r="I9" s="17">
        <v>2.786</v>
      </c>
      <c r="J9" s="17">
        <v>3.4769999999999999</v>
      </c>
      <c r="K9" s="17">
        <v>2.5750000000000002</v>
      </c>
      <c r="L9" s="17">
        <v>1.831</v>
      </c>
      <c r="M9" s="17">
        <v>4.3920000000000003</v>
      </c>
      <c r="N9" s="8">
        <v>2.3610000000000002</v>
      </c>
      <c r="O9" s="8">
        <v>1.9670000000000001</v>
      </c>
      <c r="P9" s="8">
        <v>1.9279999999999999</v>
      </c>
      <c r="Q9" s="8">
        <v>3.5219999999999998</v>
      </c>
    </row>
    <row r="10" spans="1:17" ht="15" x14ac:dyDescent="0.2">
      <c r="A10" s="19" t="s">
        <v>59</v>
      </c>
      <c r="B10" s="17"/>
      <c r="C10" s="17"/>
      <c r="D10" s="17"/>
      <c r="E10" s="17"/>
      <c r="F10" s="17"/>
      <c r="G10" s="17">
        <f t="shared" ref="G10:Q10" si="1">G8/$E$4</f>
        <v>1.5300049387400911</v>
      </c>
      <c r="H10" s="17">
        <f t="shared" si="1"/>
        <v>2.7305791719100081</v>
      </c>
      <c r="I10" s="17">
        <f t="shared" si="1"/>
        <v>52.006788674938804</v>
      </c>
      <c r="J10" s="17">
        <f t="shared" si="1"/>
        <v>3.0657856921630282</v>
      </c>
      <c r="K10" s="17">
        <f t="shared" si="1"/>
        <v>3.6700000837074578</v>
      </c>
      <c r="L10" s="17">
        <f t="shared" si="1"/>
        <v>2.9689501131445817</v>
      </c>
      <c r="M10" s="17">
        <f t="shared" si="1"/>
        <v>1.708273924289393</v>
      </c>
      <c r="N10" s="17">
        <f t="shared" si="1"/>
        <v>2.9205532505001512</v>
      </c>
      <c r="O10" s="17">
        <f t="shared" si="1"/>
        <v>2.1146457360815414</v>
      </c>
      <c r="P10" s="17">
        <f t="shared" si="1"/>
        <v>2.6936781336584898</v>
      </c>
      <c r="Q10" s="17">
        <f t="shared" si="1"/>
        <v>0.84345030985711145</v>
      </c>
    </row>
    <row r="11" spans="1:17" ht="15.7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7" ht="15" x14ac:dyDescent="0.2">
      <c r="A12" s="20" t="s">
        <v>520</v>
      </c>
      <c r="B12" s="17"/>
      <c r="C12" s="17">
        <v>1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7" ht="15" x14ac:dyDescent="0.2">
      <c r="A13" s="19" t="s">
        <v>63</v>
      </c>
      <c r="B13" s="17"/>
      <c r="C13" s="17">
        <v>303.21899999999999</v>
      </c>
      <c r="D13" s="17">
        <v>261.69099999999997</v>
      </c>
      <c r="E13" s="17">
        <v>328.48399999999998</v>
      </c>
      <c r="F13" s="17">
        <v>343.52</v>
      </c>
      <c r="G13" s="17">
        <v>548.19500000000005</v>
      </c>
      <c r="H13" s="17">
        <v>553.76599999999996</v>
      </c>
      <c r="I13" s="17">
        <v>419.00799999999998</v>
      </c>
      <c r="J13" s="17">
        <v>421.75</v>
      </c>
      <c r="K13" s="17">
        <v>479.55099999999999</v>
      </c>
      <c r="L13" s="17">
        <v>412.80500000000001</v>
      </c>
      <c r="M13" s="17">
        <v>241.363</v>
      </c>
    </row>
    <row r="14" spans="1:17" ht="15" x14ac:dyDescent="0.2">
      <c r="A14" s="19" t="s">
        <v>62</v>
      </c>
      <c r="B14" s="17"/>
      <c r="C14" s="17">
        <f t="shared" ref="C14:M14" si="2">C13-$B$7</f>
        <v>86.477000000000004</v>
      </c>
      <c r="D14" s="17">
        <f t="shared" si="2"/>
        <v>44.948999999999984</v>
      </c>
      <c r="E14" s="17">
        <f t="shared" si="2"/>
        <v>111.74199999999999</v>
      </c>
      <c r="F14" s="17">
        <f t="shared" si="2"/>
        <v>126.77799999999999</v>
      </c>
      <c r="G14" s="17">
        <f t="shared" si="2"/>
        <v>331.45300000000009</v>
      </c>
      <c r="H14" s="17">
        <f t="shared" si="2"/>
        <v>337.024</v>
      </c>
      <c r="I14" s="17">
        <f t="shared" si="2"/>
        <v>202.26599999999999</v>
      </c>
      <c r="J14" s="17">
        <f t="shared" si="2"/>
        <v>205.00800000000001</v>
      </c>
      <c r="K14" s="17">
        <f t="shared" si="2"/>
        <v>262.80899999999997</v>
      </c>
      <c r="L14" s="17">
        <f t="shared" si="2"/>
        <v>196.06300000000002</v>
      </c>
      <c r="M14" s="17">
        <f t="shared" si="2"/>
        <v>24.621000000000009</v>
      </c>
    </row>
    <row r="15" spans="1:17" ht="15" x14ac:dyDescent="0.2">
      <c r="A15" s="19" t="s">
        <v>61</v>
      </c>
      <c r="B15" s="17"/>
      <c r="C15" s="17">
        <v>2.6139999999999999</v>
      </c>
      <c r="D15" s="17">
        <v>5.8109999999999999</v>
      </c>
      <c r="E15" s="17">
        <v>4.5259999999999998</v>
      </c>
      <c r="F15" s="17">
        <v>3.6219999999999999</v>
      </c>
      <c r="G15" s="17">
        <v>2.0870000000000002</v>
      </c>
      <c r="H15" s="17">
        <v>4.3849999999999998</v>
      </c>
      <c r="I15" s="17">
        <v>3.0070000000000001</v>
      </c>
      <c r="J15" s="17">
        <v>2.2989999999999999</v>
      </c>
      <c r="K15" s="17">
        <v>3.1389999999999998</v>
      </c>
      <c r="L15" s="17">
        <v>3.8839999999999999</v>
      </c>
      <c r="M15" s="17">
        <v>1.7789999999999999</v>
      </c>
    </row>
    <row r="16" spans="1:17" ht="15" x14ac:dyDescent="0.2">
      <c r="A16" s="19" t="s">
        <v>60</v>
      </c>
      <c r="B16" s="17"/>
      <c r="C16" s="17">
        <f t="shared" ref="C16:M16" si="3">SQRT((C15^2)+1)</f>
        <v>2.7987490062526148</v>
      </c>
      <c r="D16" s="17">
        <f t="shared" si="3"/>
        <v>5.8964159453010101</v>
      </c>
      <c r="E16" s="17">
        <f t="shared" si="3"/>
        <v>4.6351565237864403</v>
      </c>
      <c r="F16" s="17">
        <f t="shared" si="3"/>
        <v>3.757510345960474</v>
      </c>
      <c r="G16" s="17">
        <f t="shared" si="3"/>
        <v>2.3142102324551246</v>
      </c>
      <c r="H16" s="17">
        <f t="shared" si="3"/>
        <v>4.497579904793243</v>
      </c>
      <c r="I16" s="17">
        <f t="shared" si="3"/>
        <v>3.1689192163890829</v>
      </c>
      <c r="J16" s="17">
        <f t="shared" si="3"/>
        <v>2.50707020244747</v>
      </c>
      <c r="K16" s="17">
        <f t="shared" si="3"/>
        <v>3.2944378883202519</v>
      </c>
      <c r="L16" s="17">
        <f t="shared" si="3"/>
        <v>4.0106677748225419</v>
      </c>
      <c r="M16" s="17">
        <f t="shared" si="3"/>
        <v>2.0407942081454462</v>
      </c>
    </row>
    <row r="17" spans="1:13" ht="15" x14ac:dyDescent="0.2">
      <c r="A17" s="19" t="s">
        <v>59</v>
      </c>
      <c r="B17" s="17"/>
      <c r="C17" s="17"/>
      <c r="D17" s="17">
        <f t="shared" ref="D17:M17" si="4">D14/$E$4</f>
        <v>0.62709443038469115</v>
      </c>
      <c r="E17" s="17">
        <f t="shared" si="4"/>
        <v>1.5589398171271036</v>
      </c>
      <c r="F17" s="17">
        <f t="shared" si="4"/>
        <v>1.7687107098113508</v>
      </c>
      <c r="G17" s="17">
        <f t="shared" si="4"/>
        <v>4.6241814108055168</v>
      </c>
      <c r="H17" s="17">
        <f t="shared" si="4"/>
        <v>4.7019037866464268</v>
      </c>
      <c r="I17" s="17">
        <f t="shared" si="4"/>
        <v>2.8218621561367323</v>
      </c>
      <c r="J17" s="17">
        <f t="shared" si="4"/>
        <v>2.8601164649781938</v>
      </c>
      <c r="K17" s="17">
        <f t="shared" si="4"/>
        <v>3.6665122729086375</v>
      </c>
      <c r="L17" s="17">
        <f t="shared" si="4"/>
        <v>2.7353225945964041</v>
      </c>
      <c r="M17" s="17">
        <f t="shared" si="4"/>
        <v>0.34349355871101678</v>
      </c>
    </row>
    <row r="18" spans="1:13" ht="15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" x14ac:dyDescent="0.2">
      <c r="A19" s="20" t="s">
        <v>521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" x14ac:dyDescent="0.2">
      <c r="A20" s="19" t="s">
        <v>63</v>
      </c>
      <c r="B20" s="17"/>
      <c r="C20" s="17">
        <v>244.19900000000001</v>
      </c>
      <c r="D20" s="17">
        <v>365.50799999999998</v>
      </c>
      <c r="E20" s="17">
        <v>359.69099999999997</v>
      </c>
      <c r="F20" s="17">
        <v>248.941</v>
      </c>
      <c r="G20" s="17">
        <v>314.18</v>
      </c>
      <c r="H20" s="17">
        <v>269.71100000000001</v>
      </c>
      <c r="I20" s="17">
        <v>258.29700000000003</v>
      </c>
      <c r="J20" s="17">
        <v>248.67599999999999</v>
      </c>
      <c r="K20" s="17"/>
      <c r="L20" s="17"/>
      <c r="M20" s="17"/>
    </row>
    <row r="21" spans="1:13" ht="15" x14ac:dyDescent="0.2">
      <c r="A21" s="19" t="s">
        <v>62</v>
      </c>
      <c r="B21" s="17"/>
      <c r="C21" s="17">
        <f t="shared" ref="C21:J21" si="5">C20-$B$7</f>
        <v>27.457000000000022</v>
      </c>
      <c r="D21" s="17">
        <f t="shared" si="5"/>
        <v>148.76599999999999</v>
      </c>
      <c r="E21" s="17">
        <f t="shared" si="5"/>
        <v>142.94899999999998</v>
      </c>
      <c r="F21" s="17">
        <f t="shared" si="5"/>
        <v>32.199000000000012</v>
      </c>
      <c r="G21" s="17">
        <f t="shared" si="5"/>
        <v>97.438000000000017</v>
      </c>
      <c r="H21" s="17">
        <f t="shared" si="5"/>
        <v>52.969000000000023</v>
      </c>
      <c r="I21" s="17">
        <f t="shared" si="5"/>
        <v>41.555000000000035</v>
      </c>
      <c r="J21" s="17">
        <f t="shared" si="5"/>
        <v>31.933999999999997</v>
      </c>
      <c r="K21" s="17"/>
      <c r="L21" s="17"/>
      <c r="M21" s="17"/>
    </row>
    <row r="22" spans="1:13" ht="15" x14ac:dyDescent="0.2">
      <c r="A22" s="19" t="s">
        <v>61</v>
      </c>
      <c r="B22" s="17"/>
      <c r="C22" s="17">
        <v>4.1459999999999999</v>
      </c>
      <c r="D22" s="17">
        <v>4.6369999999999996</v>
      </c>
      <c r="E22" s="17">
        <v>4.1399999999999997</v>
      </c>
      <c r="F22" s="17">
        <v>2.7610000000000001</v>
      </c>
      <c r="G22" s="17">
        <v>3.1970000000000001</v>
      </c>
      <c r="H22" s="17">
        <v>2.2749999999999999</v>
      </c>
      <c r="I22" s="17">
        <v>2.1469999999999998</v>
      </c>
      <c r="J22" s="17">
        <v>2.5739999999999998</v>
      </c>
      <c r="K22" s="17"/>
      <c r="L22" s="17"/>
      <c r="M22" s="17"/>
    </row>
    <row r="23" spans="1:13" ht="15" x14ac:dyDescent="0.2">
      <c r="A23" s="19" t="s">
        <v>60</v>
      </c>
      <c r="B23" s="17"/>
      <c r="C23" s="17">
        <f t="shared" ref="C23:J23" si="6">SQRT((C22^2)+4)</f>
        <v>4.6031854188159746</v>
      </c>
      <c r="D23" s="17">
        <f t="shared" si="6"/>
        <v>5.0499276232437227</v>
      </c>
      <c r="E23" s="17">
        <f t="shared" si="6"/>
        <v>4.5977820740004631</v>
      </c>
      <c r="F23" s="17">
        <f t="shared" si="6"/>
        <v>3.4092698631818514</v>
      </c>
      <c r="G23" s="17">
        <f t="shared" si="6"/>
        <v>3.7710487931078274</v>
      </c>
      <c r="H23" s="17">
        <f t="shared" si="6"/>
        <v>3.0291294128841706</v>
      </c>
      <c r="I23" s="17">
        <f t="shared" si="6"/>
        <v>2.9342135232460502</v>
      </c>
      <c r="J23" s="17">
        <f t="shared" si="6"/>
        <v>3.2596742168505122</v>
      </c>
      <c r="K23" s="17"/>
      <c r="L23" s="17"/>
      <c r="M23" s="17"/>
    </row>
    <row r="24" spans="1:13" ht="15" x14ac:dyDescent="0.2">
      <c r="A24" s="19" t="s">
        <v>59</v>
      </c>
      <c r="B24" s="17"/>
      <c r="C24" s="17">
        <f t="shared" ref="C24:J24" si="7">C21/$E$4</f>
        <v>0.38305928441283421</v>
      </c>
      <c r="D24" s="17">
        <f t="shared" si="7"/>
        <v>2.075470645189192</v>
      </c>
      <c r="E24" s="17">
        <f t="shared" si="7"/>
        <v>1.9943162635222418</v>
      </c>
      <c r="F24" s="17">
        <f t="shared" si="7"/>
        <v>0.44921607964485721</v>
      </c>
      <c r="G24" s="17">
        <f t="shared" si="7"/>
        <v>1.3593812344618028</v>
      </c>
      <c r="H24" s="17">
        <f t="shared" si="7"/>
        <v>0.73898340081084635</v>
      </c>
      <c r="I24" s="17">
        <f t="shared" si="7"/>
        <v>0.57974391097990774</v>
      </c>
      <c r="J24" s="17">
        <f t="shared" si="7"/>
        <v>0.44551900019810753</v>
      </c>
      <c r="K24" s="17"/>
      <c r="L24" s="17"/>
      <c r="M24" s="17"/>
    </row>
    <row r="25" spans="1:13" ht="15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5" x14ac:dyDescent="0.2">
      <c r="A26" s="20" t="s">
        <v>758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" x14ac:dyDescent="0.2">
      <c r="A27" s="19" t="s">
        <v>63</v>
      </c>
      <c r="B27" s="17"/>
      <c r="C27" s="17">
        <v>233.55500000000001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5" x14ac:dyDescent="0.2">
      <c r="A28" s="19" t="s">
        <v>62</v>
      </c>
      <c r="B28" s="17"/>
      <c r="C28" s="17">
        <f>C27-$B$7</f>
        <v>16.813000000000017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5" x14ac:dyDescent="0.2">
      <c r="A29" s="19" t="s">
        <v>61</v>
      </c>
      <c r="B29" s="17"/>
      <c r="C29" s="17">
        <v>3.8769999999999998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5" x14ac:dyDescent="0.2">
      <c r="A30" s="19" t="s">
        <v>60</v>
      </c>
      <c r="B30" s="17"/>
      <c r="C30" s="17">
        <f>SQRT((C29^2)+9)</f>
        <v>4.9021555462877755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5" x14ac:dyDescent="0.2">
      <c r="A31" s="19" t="s">
        <v>59</v>
      </c>
      <c r="B31" s="17"/>
      <c r="C31" s="17">
        <f>C28/$E$4</f>
        <v>0.23456225184226184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5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5" x14ac:dyDescent="0.2">
      <c r="A33" s="20" t="s">
        <v>530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5" x14ac:dyDescent="0.2">
      <c r="A34" s="19" t="s">
        <v>63</v>
      </c>
      <c r="B34" s="17"/>
      <c r="C34" s="17">
        <v>432.60500000000002</v>
      </c>
      <c r="D34" s="17">
        <v>405.55900000000003</v>
      </c>
      <c r="E34" s="17">
        <v>300.43400000000003</v>
      </c>
      <c r="F34" s="17">
        <v>260.27699999999999</v>
      </c>
      <c r="G34" s="17">
        <v>259.54300000000001</v>
      </c>
      <c r="H34" s="17">
        <v>333.37900000000002</v>
      </c>
      <c r="I34" s="17">
        <v>376.94499999999999</v>
      </c>
      <c r="J34" s="16">
        <v>408.78100000000001</v>
      </c>
      <c r="K34" s="17"/>
      <c r="L34" s="17"/>
      <c r="M34" s="17"/>
    </row>
    <row r="35" spans="1:13" ht="15" x14ac:dyDescent="0.2">
      <c r="A35" s="19" t="s">
        <v>62</v>
      </c>
      <c r="B35" s="17"/>
      <c r="C35" s="17">
        <f t="shared" ref="C35:J35" si="8">C34-$B$7</f>
        <v>215.86300000000003</v>
      </c>
      <c r="D35" s="17">
        <f t="shared" si="8"/>
        <v>188.81700000000004</v>
      </c>
      <c r="E35" s="17">
        <f t="shared" si="8"/>
        <v>83.692000000000036</v>
      </c>
      <c r="F35" s="17">
        <f t="shared" si="8"/>
        <v>43.534999999999997</v>
      </c>
      <c r="G35" s="17">
        <f t="shared" si="8"/>
        <v>42.801000000000016</v>
      </c>
      <c r="H35" s="17">
        <f t="shared" si="8"/>
        <v>116.63700000000003</v>
      </c>
      <c r="I35" s="17">
        <f t="shared" si="8"/>
        <v>160.203</v>
      </c>
      <c r="J35" s="17">
        <f t="shared" si="8"/>
        <v>192.03900000000002</v>
      </c>
      <c r="K35" s="17"/>
      <c r="L35" s="17"/>
      <c r="M35" s="17"/>
    </row>
    <row r="36" spans="1:13" ht="15" x14ac:dyDescent="0.2">
      <c r="A36" s="19" t="s">
        <v>61</v>
      </c>
      <c r="B36" s="17"/>
      <c r="C36" s="17">
        <v>6.13</v>
      </c>
      <c r="D36" s="17">
        <v>0.93300000000000005</v>
      </c>
      <c r="E36" s="17">
        <v>3.4569999999999999</v>
      </c>
      <c r="F36" s="17">
        <v>2.4220000000000002</v>
      </c>
      <c r="G36" s="17">
        <v>3.528</v>
      </c>
      <c r="H36" s="17">
        <v>2.3759999999999999</v>
      </c>
      <c r="I36" s="17">
        <v>1.8620000000000001</v>
      </c>
      <c r="J36" s="16">
        <v>2.129</v>
      </c>
      <c r="K36" s="17"/>
      <c r="L36" s="17"/>
      <c r="M36" s="17"/>
    </row>
    <row r="37" spans="1:13" ht="15" x14ac:dyDescent="0.2">
      <c r="A37" s="19" t="s">
        <v>60</v>
      </c>
      <c r="B37" s="17"/>
      <c r="C37" s="17">
        <f t="shared" ref="C37:J37" si="9">SQRT((C36^2)+1)</f>
        <v>6.2110305103098638</v>
      </c>
      <c r="D37" s="17">
        <f t="shared" si="9"/>
        <v>1.3676582175382854</v>
      </c>
      <c r="E37" s="17">
        <f t="shared" si="9"/>
        <v>3.5987288033415354</v>
      </c>
      <c r="F37" s="17">
        <f t="shared" si="9"/>
        <v>2.6203213543380515</v>
      </c>
      <c r="G37" s="17">
        <f t="shared" si="9"/>
        <v>3.666985683091768</v>
      </c>
      <c r="H37" s="17">
        <f t="shared" si="9"/>
        <v>2.5778626805941389</v>
      </c>
      <c r="I37" s="17">
        <f t="shared" si="9"/>
        <v>2.113538265563224</v>
      </c>
      <c r="J37" s="17">
        <f t="shared" si="9"/>
        <v>2.3521566699520675</v>
      </c>
      <c r="K37" s="17"/>
      <c r="L37" s="17"/>
      <c r="M37" s="17"/>
    </row>
    <row r="38" spans="1:13" ht="15" x14ac:dyDescent="0.2">
      <c r="A38" s="19" t="s">
        <v>59</v>
      </c>
      <c r="B38" s="17"/>
      <c r="C38" s="17">
        <f t="shared" ref="C38:J38" si="10">C35/$E$4</f>
        <v>3.0115572098629704</v>
      </c>
      <c r="D38" s="17">
        <f t="shared" si="10"/>
        <v>2.6342318864033971</v>
      </c>
      <c r="E38" s="17">
        <f t="shared" si="10"/>
        <v>1.1676074454994687</v>
      </c>
      <c r="F38" s="17">
        <f t="shared" si="10"/>
        <v>0.60736737250656381</v>
      </c>
      <c r="G38" s="17">
        <f t="shared" si="10"/>
        <v>0.59712716000122779</v>
      </c>
      <c r="H38" s="17">
        <f t="shared" si="10"/>
        <v>1.6272311525680054</v>
      </c>
      <c r="I38" s="17">
        <f t="shared" si="10"/>
        <v>2.2350310136136224</v>
      </c>
      <c r="J38" s="17">
        <f t="shared" si="10"/>
        <v>2.6791827919785929</v>
      </c>
      <c r="K38" s="17"/>
      <c r="L38" s="17"/>
      <c r="M38" s="17"/>
    </row>
    <row r="39" spans="1:13" ht="15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15" x14ac:dyDescent="0.2">
      <c r="A40" s="20" t="s">
        <v>519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5" x14ac:dyDescent="0.2">
      <c r="A41" s="19" t="s">
        <v>63</v>
      </c>
      <c r="B41" s="17"/>
      <c r="C41" s="17">
        <v>431.58600000000001</v>
      </c>
      <c r="D41" s="17">
        <v>256.61700000000002</v>
      </c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" x14ac:dyDescent="0.2">
      <c r="A42" s="19" t="s">
        <v>62</v>
      </c>
      <c r="B42" s="17"/>
      <c r="C42" s="17">
        <f>C41-$B$7</f>
        <v>214.84400000000002</v>
      </c>
      <c r="D42" s="17">
        <f>D41-$B$7</f>
        <v>39.875000000000028</v>
      </c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" x14ac:dyDescent="0.2">
      <c r="A43" s="19" t="s">
        <v>61</v>
      </c>
      <c r="B43" s="17"/>
      <c r="C43" s="17">
        <v>3.8180000000000001</v>
      </c>
      <c r="D43" s="17">
        <v>1.8149999999999999</v>
      </c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" x14ac:dyDescent="0.2">
      <c r="A44" s="19" t="s">
        <v>60</v>
      </c>
      <c r="B44" s="17"/>
      <c r="C44" s="17">
        <f>SQRT((C43^2)+4)</f>
        <v>4.3101187918664143</v>
      </c>
      <c r="D44" s="17">
        <f>SQRT((D43^2)+4)</f>
        <v>2.7007822940770327</v>
      </c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" x14ac:dyDescent="0.2">
      <c r="A45" s="19" t="s">
        <v>59</v>
      </c>
      <c r="B45" s="17"/>
      <c r="C45" s="17">
        <f>C42/$E$4</f>
        <v>2.9973408930469789</v>
      </c>
      <c r="D45" s="17">
        <f>D42/$E$4</f>
        <v>0.55630582241183535</v>
      </c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" x14ac:dyDescent="0.2">
      <c r="A47" s="20" t="s">
        <v>757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" x14ac:dyDescent="0.2">
      <c r="A48" s="19" t="s">
        <v>63</v>
      </c>
      <c r="B48" s="17"/>
      <c r="C48" s="17">
        <v>271.81200000000001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5" x14ac:dyDescent="0.2">
      <c r="A49" s="19" t="s">
        <v>62</v>
      </c>
      <c r="B49" s="17"/>
      <c r="C49" s="17">
        <f>C48-$B$7</f>
        <v>55.070000000000022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" x14ac:dyDescent="0.2">
      <c r="A50" s="19" t="s">
        <v>61</v>
      </c>
      <c r="B50" s="17"/>
      <c r="C50" s="17">
        <v>3.8570000000000002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15" x14ac:dyDescent="0.2">
      <c r="A51" s="19" t="s">
        <v>60</v>
      </c>
      <c r="B51" s="17"/>
      <c r="C51" s="17">
        <f>SQRT((C50^2)+9)</f>
        <v>4.8863533437523738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15" x14ac:dyDescent="0.2">
      <c r="A52" s="19" t="s">
        <v>59</v>
      </c>
      <c r="B52" s="17"/>
      <c r="C52" s="17">
        <f>C49/$E$4</f>
        <v>0.76829496276413201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5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" x14ac:dyDescent="0.2">
      <c r="A54" s="19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" x14ac:dyDescent="0.2">
      <c r="A55" s="19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15" x14ac:dyDescent="0.2">
      <c r="A56" s="19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" x14ac:dyDescent="0.2">
      <c r="A57" s="19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" x14ac:dyDescent="0.2">
      <c r="A58" s="19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15" x14ac:dyDescent="0.2">
      <c r="A59" s="19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</sheetData>
  <mergeCells count="1">
    <mergeCell ref="G4:H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E67D-D2F4-514B-91DD-89BB8DA9AD88}">
  <sheetPr>
    <outlinePr summaryBelow="0" summaryRight="0"/>
  </sheetPr>
  <dimension ref="A1:Z59"/>
  <sheetViews>
    <sheetView workbookViewId="0">
      <selection activeCell="V40" sqref="V40"/>
    </sheetView>
  </sheetViews>
  <sheetFormatPr baseColWidth="10" defaultColWidth="12.6640625" defaultRowHeight="15.75" customHeight="1" x14ac:dyDescent="0.2"/>
  <cols>
    <col min="1" max="1" width="21.83203125" style="7" customWidth="1"/>
    <col min="2" max="2" width="17.1640625" style="7" customWidth="1"/>
    <col min="3" max="3" width="13.6640625" style="7" customWidth="1"/>
    <col min="4" max="16384" width="12.6640625" style="7"/>
  </cols>
  <sheetData>
    <row r="1" spans="1:26" ht="16" x14ac:dyDescent="0.2">
      <c r="A1" s="53" t="s">
        <v>764</v>
      </c>
      <c r="B1" s="17"/>
      <c r="C1" s="54">
        <v>45229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6" ht="15.7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6" ht="16" x14ac:dyDescent="0.2">
      <c r="A3" s="53" t="s">
        <v>74</v>
      </c>
      <c r="B3" s="53" t="s">
        <v>114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6" ht="16" x14ac:dyDescent="0.2">
      <c r="A4" s="53" t="s">
        <v>27</v>
      </c>
      <c r="B4" s="17">
        <v>54.011000000000003</v>
      </c>
      <c r="C4" s="17"/>
      <c r="D4" s="53" t="s">
        <v>73</v>
      </c>
      <c r="E4" s="17">
        <f>AVERAGE(C8,D8,E8,F8,G8,H8,I8,J8,C14,C28,D28,C42)</f>
        <v>103.46599999999999</v>
      </c>
      <c r="F4" s="17"/>
      <c r="G4" s="57" t="s">
        <v>72</v>
      </c>
      <c r="H4" s="56"/>
      <c r="I4" s="17"/>
      <c r="J4" s="17"/>
      <c r="K4" s="17"/>
      <c r="L4" s="17"/>
      <c r="M4" s="17"/>
    </row>
    <row r="5" spans="1:26" ht="15.75" customHeight="1" x14ac:dyDescent="0.2">
      <c r="A5" s="17"/>
      <c r="B5" s="52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6" ht="15" x14ac:dyDescent="0.2">
      <c r="A6" s="51" t="s">
        <v>771</v>
      </c>
      <c r="B6" s="50" t="s">
        <v>70</v>
      </c>
      <c r="C6" s="17">
        <v>1</v>
      </c>
      <c r="D6" s="17">
        <v>1</v>
      </c>
      <c r="E6" s="17">
        <v>1</v>
      </c>
      <c r="F6" s="17">
        <v>1</v>
      </c>
      <c r="G6" s="17">
        <v>1</v>
      </c>
      <c r="H6" s="17">
        <v>1</v>
      </c>
      <c r="I6" s="17">
        <v>1</v>
      </c>
      <c r="J6" s="17">
        <v>1</v>
      </c>
      <c r="K6" s="17"/>
      <c r="L6" s="17"/>
      <c r="M6" s="17"/>
    </row>
    <row r="7" spans="1:26" ht="15" x14ac:dyDescent="0.2">
      <c r="A7" s="19" t="s">
        <v>63</v>
      </c>
      <c r="B7" s="17">
        <v>217.215</v>
      </c>
      <c r="C7" s="17">
        <v>315.93799999999999</v>
      </c>
      <c r="D7" s="17">
        <v>292.89499999999998</v>
      </c>
      <c r="E7" s="17">
        <v>308.35500000000002</v>
      </c>
      <c r="F7" s="17">
        <v>306.40199999999999</v>
      </c>
      <c r="G7" s="17">
        <v>283.29700000000003</v>
      </c>
      <c r="H7" s="17">
        <v>319.52300000000002</v>
      </c>
      <c r="I7" s="17">
        <v>323.93</v>
      </c>
      <c r="J7" s="17">
        <v>349.71100000000001</v>
      </c>
      <c r="K7" s="17">
        <v>416.14100000000002</v>
      </c>
      <c r="L7" s="17">
        <v>498.10199999999998</v>
      </c>
      <c r="M7" s="17">
        <v>317.03500000000003</v>
      </c>
      <c r="N7" s="8">
        <v>397.55500000000001</v>
      </c>
      <c r="O7" s="8">
        <v>403.30900000000003</v>
      </c>
      <c r="P7" s="8">
        <v>364.90199999999999</v>
      </c>
      <c r="Q7" s="8">
        <v>549.27700000000004</v>
      </c>
      <c r="R7" s="8">
        <v>433.10199999999998</v>
      </c>
      <c r="S7" s="8">
        <v>432.72300000000001</v>
      </c>
      <c r="T7" s="8">
        <v>876.48</v>
      </c>
      <c r="U7" s="8">
        <v>917.86699999999996</v>
      </c>
      <c r="V7" s="8">
        <v>1017.3440000000001</v>
      </c>
      <c r="W7" s="8">
        <v>734.14099999999996</v>
      </c>
      <c r="X7" s="8">
        <v>857.07799999999997</v>
      </c>
      <c r="Y7" s="8">
        <v>949.63699999999994</v>
      </c>
      <c r="Z7" s="8">
        <v>525.04300000000001</v>
      </c>
    </row>
    <row r="8" spans="1:26" ht="15" x14ac:dyDescent="0.2">
      <c r="A8" s="19" t="s">
        <v>62</v>
      </c>
      <c r="C8" s="17">
        <f t="shared" ref="C8:Z8" si="0">C7-$B$7</f>
        <v>98.722999999999985</v>
      </c>
      <c r="D8" s="17">
        <f t="shared" si="0"/>
        <v>75.679999999999978</v>
      </c>
      <c r="E8" s="17">
        <f t="shared" si="0"/>
        <v>91.140000000000015</v>
      </c>
      <c r="F8" s="17">
        <f t="shared" si="0"/>
        <v>89.186999999999983</v>
      </c>
      <c r="G8" s="17">
        <f t="shared" si="0"/>
        <v>66.082000000000022</v>
      </c>
      <c r="H8" s="17">
        <f t="shared" si="0"/>
        <v>102.30800000000002</v>
      </c>
      <c r="I8" s="17">
        <f t="shared" si="0"/>
        <v>106.715</v>
      </c>
      <c r="J8" s="17">
        <f t="shared" si="0"/>
        <v>132.49600000000001</v>
      </c>
      <c r="K8" s="17">
        <f t="shared" si="0"/>
        <v>198.92600000000002</v>
      </c>
      <c r="L8" s="17">
        <f t="shared" si="0"/>
        <v>280.88699999999994</v>
      </c>
      <c r="M8" s="17">
        <f t="shared" si="0"/>
        <v>99.820000000000022</v>
      </c>
      <c r="N8" s="17">
        <f t="shared" si="0"/>
        <v>180.34</v>
      </c>
      <c r="O8" s="17">
        <f t="shared" si="0"/>
        <v>186.09400000000002</v>
      </c>
      <c r="P8" s="17">
        <f t="shared" si="0"/>
        <v>147.68699999999998</v>
      </c>
      <c r="Q8" s="17">
        <f t="shared" si="0"/>
        <v>332.06200000000001</v>
      </c>
      <c r="R8" s="17">
        <f t="shared" si="0"/>
        <v>215.88699999999997</v>
      </c>
      <c r="S8" s="17">
        <f t="shared" si="0"/>
        <v>215.50800000000001</v>
      </c>
      <c r="T8" s="17">
        <f t="shared" si="0"/>
        <v>659.26499999999999</v>
      </c>
      <c r="U8" s="17">
        <f t="shared" si="0"/>
        <v>700.65199999999993</v>
      </c>
      <c r="V8" s="17">
        <f t="shared" si="0"/>
        <v>800.12900000000002</v>
      </c>
      <c r="W8" s="17">
        <f t="shared" si="0"/>
        <v>516.92599999999993</v>
      </c>
      <c r="X8" s="17">
        <f t="shared" si="0"/>
        <v>639.86299999999994</v>
      </c>
      <c r="Y8" s="17">
        <f t="shared" si="0"/>
        <v>732.42199999999991</v>
      </c>
      <c r="Z8" s="17">
        <f t="shared" si="0"/>
        <v>307.82799999999997</v>
      </c>
    </row>
    <row r="9" spans="1:26" ht="15" x14ac:dyDescent="0.2">
      <c r="A9" s="19" t="s">
        <v>61</v>
      </c>
      <c r="B9" s="17"/>
      <c r="C9" s="17">
        <v>26.007000000000001</v>
      </c>
      <c r="D9" s="17">
        <v>12.430999999999999</v>
      </c>
      <c r="E9" s="17">
        <v>13.398</v>
      </c>
      <c r="F9" s="17">
        <v>12.868</v>
      </c>
      <c r="G9" s="17">
        <v>12.657999999999999</v>
      </c>
      <c r="H9" s="17">
        <v>3.415</v>
      </c>
      <c r="I9" s="17">
        <v>11.092000000000001</v>
      </c>
      <c r="J9" s="17">
        <v>6.9059999999999997</v>
      </c>
      <c r="K9" s="17">
        <v>2.5139999999999998</v>
      </c>
      <c r="L9" s="17">
        <v>10.875</v>
      </c>
      <c r="M9" s="17">
        <v>3.7909999999999999</v>
      </c>
      <c r="N9" s="8">
        <v>1.2749999999999999</v>
      </c>
      <c r="O9" s="8">
        <v>2.1539999999999999</v>
      </c>
      <c r="P9" s="8">
        <v>2.9729999999999999</v>
      </c>
      <c r="Q9" s="8">
        <v>3.0070000000000001</v>
      </c>
      <c r="R9" s="8">
        <v>8.6199999999999992</v>
      </c>
      <c r="S9" s="8">
        <v>5.077</v>
      </c>
      <c r="T9" s="8">
        <v>4.2370000000000001</v>
      </c>
      <c r="U9" s="8">
        <v>8.5969999999999995</v>
      </c>
      <c r="V9" s="8">
        <v>8.0090000000000003</v>
      </c>
      <c r="W9" s="8">
        <v>7.1639999999999997</v>
      </c>
      <c r="X9" s="8">
        <v>6.4320000000000004</v>
      </c>
      <c r="Y9" s="8">
        <v>5.6550000000000002</v>
      </c>
      <c r="Z9" s="8">
        <v>3.871</v>
      </c>
    </row>
    <row r="10" spans="1:26" ht="15" x14ac:dyDescent="0.2">
      <c r="A10" s="19" t="s">
        <v>59</v>
      </c>
      <c r="B10" s="17"/>
      <c r="C10" s="17"/>
      <c r="D10" s="17"/>
      <c r="E10" s="17"/>
      <c r="F10" s="17"/>
      <c r="G10" s="17"/>
      <c r="H10" s="17"/>
      <c r="I10" s="17"/>
      <c r="J10" s="17"/>
      <c r="K10" s="17">
        <f t="shared" ref="K10:Z10" si="1">K8/$E$4</f>
        <v>1.9226219241103359</v>
      </c>
      <c r="L10" s="17">
        <f t="shared" si="1"/>
        <v>2.7147758684012135</v>
      </c>
      <c r="M10" s="17">
        <f t="shared" si="1"/>
        <v>0.96476137088512193</v>
      </c>
      <c r="N10" s="17">
        <f t="shared" si="1"/>
        <v>1.7429880347167186</v>
      </c>
      <c r="O10" s="17">
        <f t="shared" si="1"/>
        <v>1.7986005064465624</v>
      </c>
      <c r="P10" s="17">
        <f t="shared" si="1"/>
        <v>1.4273964394100476</v>
      </c>
      <c r="Q10" s="17">
        <f t="shared" si="1"/>
        <v>3.2093827924149001</v>
      </c>
      <c r="R10" s="17">
        <f t="shared" si="1"/>
        <v>2.0865501710706895</v>
      </c>
      <c r="S10" s="17">
        <f t="shared" si="1"/>
        <v>2.0828871320047169</v>
      </c>
      <c r="T10" s="17">
        <f t="shared" si="1"/>
        <v>6.3718032977016605</v>
      </c>
      <c r="U10" s="17">
        <f t="shared" si="1"/>
        <v>6.7718090967080968</v>
      </c>
      <c r="V10" s="17">
        <f t="shared" si="1"/>
        <v>7.7332553689134604</v>
      </c>
      <c r="W10" s="17">
        <f t="shared" si="1"/>
        <v>4.9960953356658226</v>
      </c>
      <c r="X10" s="17">
        <f t="shared" si="1"/>
        <v>6.184282759553863</v>
      </c>
      <c r="Y10" s="17">
        <f t="shared" si="1"/>
        <v>7.0788664875418004</v>
      </c>
      <c r="Z10" s="17">
        <f t="shared" si="1"/>
        <v>2.975160922428624</v>
      </c>
    </row>
    <row r="11" spans="1:26" ht="15.7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26" ht="15" x14ac:dyDescent="0.2">
      <c r="A12" s="20" t="s">
        <v>770</v>
      </c>
      <c r="B12" s="17"/>
      <c r="C12" s="17">
        <v>1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26" ht="15" x14ac:dyDescent="0.2">
      <c r="A13" s="19" t="s">
        <v>63</v>
      </c>
      <c r="B13" s="17"/>
      <c r="C13" s="16">
        <v>323.63299999999998</v>
      </c>
      <c r="D13" s="16">
        <v>287.00400000000002</v>
      </c>
      <c r="E13" s="16">
        <v>274.90600000000001</v>
      </c>
      <c r="F13" s="16">
        <v>498.75400000000002</v>
      </c>
      <c r="G13" s="16">
        <v>350.20299999999997</v>
      </c>
      <c r="H13" s="16">
        <v>671.70699999999999</v>
      </c>
      <c r="I13" s="16">
        <v>648.14499999999998</v>
      </c>
      <c r="J13" s="17">
        <v>794.58600000000001</v>
      </c>
      <c r="K13" s="17">
        <v>293.43</v>
      </c>
      <c r="L13" s="17"/>
      <c r="M13" s="17"/>
    </row>
    <row r="14" spans="1:26" ht="15" x14ac:dyDescent="0.2">
      <c r="A14" s="19" t="s">
        <v>62</v>
      </c>
      <c r="B14" s="17"/>
      <c r="C14" s="17">
        <f t="shared" ref="C14:K14" si="2">C13-$B$7</f>
        <v>106.41799999999998</v>
      </c>
      <c r="D14" s="17">
        <f t="shared" si="2"/>
        <v>69.789000000000016</v>
      </c>
      <c r="E14" s="17">
        <f t="shared" si="2"/>
        <v>57.691000000000003</v>
      </c>
      <c r="F14" s="17">
        <f t="shared" si="2"/>
        <v>281.53899999999999</v>
      </c>
      <c r="G14" s="17">
        <f t="shared" si="2"/>
        <v>132.98799999999997</v>
      </c>
      <c r="H14" s="17">
        <f t="shared" si="2"/>
        <v>454.49199999999996</v>
      </c>
      <c r="I14" s="17">
        <f t="shared" si="2"/>
        <v>430.92999999999995</v>
      </c>
      <c r="J14" s="17">
        <f t="shared" si="2"/>
        <v>577.37099999999998</v>
      </c>
      <c r="K14" s="17">
        <f t="shared" si="2"/>
        <v>76.215000000000003</v>
      </c>
      <c r="L14" s="17"/>
      <c r="M14" s="17"/>
    </row>
    <row r="15" spans="1:26" ht="15" x14ac:dyDescent="0.2">
      <c r="A15" s="19" t="s">
        <v>61</v>
      </c>
      <c r="B15" s="17"/>
      <c r="C15" s="11">
        <v>11.268000000000001</v>
      </c>
      <c r="D15" s="16">
        <v>7.0350000000000001</v>
      </c>
      <c r="E15" s="16">
        <v>2.7989999999999999</v>
      </c>
      <c r="F15" s="16">
        <v>8.2080000000000002</v>
      </c>
      <c r="G15" s="16">
        <v>6.9820000000000002</v>
      </c>
      <c r="H15" s="16">
        <v>5.6539999999999999</v>
      </c>
      <c r="I15" s="16">
        <v>4.7169999999999996</v>
      </c>
      <c r="J15" s="17">
        <v>3.8559999999999999</v>
      </c>
      <c r="K15" s="17">
        <v>10.74</v>
      </c>
      <c r="L15" s="17"/>
      <c r="M15" s="17"/>
    </row>
    <row r="16" spans="1:26" ht="15" x14ac:dyDescent="0.2">
      <c r="A16" s="19" t="s">
        <v>60</v>
      </c>
      <c r="B16" s="17"/>
      <c r="C16" s="17">
        <f t="shared" ref="C16:K16" si="3">SQRT((C15^2)+1)</f>
        <v>11.312286417873269</v>
      </c>
      <c r="D16" s="17">
        <f t="shared" si="3"/>
        <v>7.1057177681075965</v>
      </c>
      <c r="E16" s="17">
        <f t="shared" si="3"/>
        <v>2.9722720265816855</v>
      </c>
      <c r="F16" s="17">
        <f t="shared" si="3"/>
        <v>8.2686917949576522</v>
      </c>
      <c r="G16" s="17">
        <f t="shared" si="3"/>
        <v>7.0532491803423483</v>
      </c>
      <c r="H16" s="17">
        <f t="shared" si="3"/>
        <v>5.7417519974307494</v>
      </c>
      <c r="I16" s="17">
        <f t="shared" si="3"/>
        <v>4.8218346093577278</v>
      </c>
      <c r="J16" s="17">
        <f t="shared" si="3"/>
        <v>3.9835582084362717</v>
      </c>
      <c r="K16" s="17">
        <f t="shared" si="3"/>
        <v>10.786454468452551</v>
      </c>
      <c r="L16" s="17"/>
      <c r="M16" s="17"/>
    </row>
    <row r="17" spans="1:15" ht="15" x14ac:dyDescent="0.2">
      <c r="A17" s="19" t="s">
        <v>59</v>
      </c>
      <c r="B17" s="17"/>
      <c r="C17" s="17"/>
      <c r="D17" s="17">
        <f t="shared" ref="D17:K17" si="4">D14/$E$4</f>
        <v>0.67451143370769162</v>
      </c>
      <c r="E17" s="17">
        <f t="shared" si="4"/>
        <v>0.55758413391838868</v>
      </c>
      <c r="F17" s="17">
        <f t="shared" si="4"/>
        <v>2.7210774553959753</v>
      </c>
      <c r="G17" s="17">
        <f t="shared" si="4"/>
        <v>1.2853304467167956</v>
      </c>
      <c r="H17" s="17">
        <f t="shared" si="4"/>
        <v>4.3926700558637615</v>
      </c>
      <c r="I17" s="17">
        <f t="shared" si="4"/>
        <v>4.1649430730868104</v>
      </c>
      <c r="J17" s="17">
        <f t="shared" si="4"/>
        <v>5.5802969091295695</v>
      </c>
      <c r="K17" s="17">
        <f t="shared" si="4"/>
        <v>0.73661879264685992</v>
      </c>
      <c r="L17" s="17"/>
      <c r="M17" s="17"/>
    </row>
    <row r="18" spans="1:15" ht="15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5" ht="15" x14ac:dyDescent="0.2">
      <c r="A19" s="20" t="s">
        <v>769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5" ht="15" x14ac:dyDescent="0.2">
      <c r="A20" s="19" t="s">
        <v>63</v>
      </c>
      <c r="B20" s="17"/>
      <c r="C20" s="17">
        <v>303.46499999999997</v>
      </c>
      <c r="D20" s="17">
        <v>306.54300000000001</v>
      </c>
      <c r="E20" s="17">
        <v>320.19499999999999</v>
      </c>
      <c r="F20" s="17">
        <v>268.49200000000002</v>
      </c>
      <c r="G20" s="17"/>
      <c r="H20" s="17"/>
      <c r="I20" s="17"/>
      <c r="J20" s="17"/>
      <c r="K20" s="17"/>
      <c r="L20" s="17"/>
      <c r="M20" s="17"/>
    </row>
    <row r="21" spans="1:15" ht="15" x14ac:dyDescent="0.2">
      <c r="A21" s="19" t="s">
        <v>62</v>
      </c>
      <c r="B21" s="17"/>
      <c r="C21" s="17">
        <f>C20-$B$7</f>
        <v>86.249999999999972</v>
      </c>
      <c r="D21" s="17">
        <f>D20-$B$7</f>
        <v>89.328000000000003</v>
      </c>
      <c r="E21" s="17">
        <f>E20-$B$7</f>
        <v>102.97999999999999</v>
      </c>
      <c r="F21" s="17">
        <f>F20-$B$7</f>
        <v>51.277000000000015</v>
      </c>
      <c r="G21" s="17"/>
      <c r="H21" s="17"/>
      <c r="I21" s="17"/>
      <c r="J21" s="17"/>
      <c r="K21" s="17"/>
      <c r="L21" s="17"/>
      <c r="M21" s="17"/>
    </row>
    <row r="22" spans="1:15" ht="15" x14ac:dyDescent="0.2">
      <c r="A22" s="19" t="s">
        <v>61</v>
      </c>
      <c r="B22" s="17"/>
      <c r="C22" s="17">
        <v>8.2240000000000002</v>
      </c>
      <c r="D22" s="17">
        <v>5.7160000000000002</v>
      </c>
      <c r="E22" s="17">
        <v>4.5419999999999998</v>
      </c>
      <c r="F22" s="17">
        <v>7.0289999999999999</v>
      </c>
      <c r="G22" s="17"/>
      <c r="H22" s="17"/>
      <c r="I22" s="17"/>
      <c r="J22" s="17"/>
      <c r="K22" s="17"/>
      <c r="L22" s="17"/>
      <c r="M22" s="17"/>
    </row>
    <row r="23" spans="1:15" ht="15" x14ac:dyDescent="0.2">
      <c r="A23" s="19" t="s">
        <v>60</v>
      </c>
      <c r="B23" s="17"/>
      <c r="C23" s="17">
        <f>SQRT((C22^2)+4)</f>
        <v>8.4636975371287928</v>
      </c>
      <c r="D23" s="17">
        <f>SQRT((D22^2)+4)</f>
        <v>6.0557952409241844</v>
      </c>
      <c r="E23" s="17">
        <f>SQRT((E22^2)+4)</f>
        <v>4.9628383008113408</v>
      </c>
      <c r="F23" s="17">
        <f>SQRT((F22^2)+4)</f>
        <v>7.3079984263818778</v>
      </c>
      <c r="G23" s="17"/>
      <c r="H23" s="17"/>
      <c r="I23" s="17"/>
      <c r="J23" s="17"/>
      <c r="K23" s="17"/>
      <c r="L23" s="17"/>
      <c r="M23" s="17"/>
    </row>
    <row r="24" spans="1:15" ht="15" x14ac:dyDescent="0.2">
      <c r="A24" s="19" t="s">
        <v>59</v>
      </c>
      <c r="B24" s="17"/>
      <c r="C24" s="17">
        <f>C21/$E$4</f>
        <v>0.83360717530396433</v>
      </c>
      <c r="D24" s="17">
        <f>D21/$E$4</f>
        <v>0.86335607832524697</v>
      </c>
      <c r="E24" s="17">
        <f>E21/$E$4</f>
        <v>0.99530280478611333</v>
      </c>
      <c r="F24" s="17">
        <f>F21/$E$4</f>
        <v>0.49559275510795836</v>
      </c>
      <c r="G24" s="17"/>
      <c r="H24" s="17"/>
      <c r="I24" s="17"/>
      <c r="J24" s="17"/>
      <c r="K24" s="17"/>
      <c r="L24" s="17"/>
      <c r="M24" s="17"/>
    </row>
    <row r="25" spans="1:15" ht="15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5" ht="15" x14ac:dyDescent="0.2">
      <c r="A26" s="20" t="s">
        <v>768</v>
      </c>
      <c r="B26" s="17"/>
      <c r="C26" s="17">
        <v>1</v>
      </c>
      <c r="D26" s="17">
        <v>1</v>
      </c>
      <c r="E26" s="17"/>
      <c r="F26" s="17"/>
      <c r="G26" s="17"/>
      <c r="H26" s="17"/>
      <c r="I26" s="17"/>
      <c r="J26" s="17"/>
      <c r="K26" s="17"/>
      <c r="L26" s="17"/>
      <c r="M26" s="17"/>
    </row>
    <row r="27" spans="1:15" ht="15" x14ac:dyDescent="0.2">
      <c r="A27" s="19" t="s">
        <v>63</v>
      </c>
      <c r="B27" s="17"/>
      <c r="C27" s="17">
        <v>339.92599999999999</v>
      </c>
      <c r="D27" s="17">
        <v>343.91</v>
      </c>
      <c r="E27" s="17">
        <v>423.02300000000002</v>
      </c>
      <c r="F27" s="17">
        <v>891.85900000000004</v>
      </c>
      <c r="G27" s="17">
        <v>688.41</v>
      </c>
      <c r="H27" s="17">
        <v>688.41</v>
      </c>
      <c r="I27" s="17">
        <v>545.42200000000003</v>
      </c>
      <c r="J27" s="16">
        <v>481.84399999999999</v>
      </c>
      <c r="K27" s="17">
        <v>807.98800000000006</v>
      </c>
      <c r="L27" s="17">
        <v>858.62099999999998</v>
      </c>
      <c r="M27" s="17"/>
    </row>
    <row r="28" spans="1:15" ht="15" x14ac:dyDescent="0.2">
      <c r="A28" s="19" t="s">
        <v>62</v>
      </c>
      <c r="B28" s="17"/>
      <c r="C28" s="17">
        <f t="shared" ref="C28:L28" si="5">C27-$B$7</f>
        <v>122.71099999999998</v>
      </c>
      <c r="D28" s="17">
        <f t="shared" si="5"/>
        <v>126.69500000000002</v>
      </c>
      <c r="E28" s="17">
        <f t="shared" si="5"/>
        <v>205.80800000000002</v>
      </c>
      <c r="F28" s="17">
        <f t="shared" si="5"/>
        <v>674.64400000000001</v>
      </c>
      <c r="G28" s="17">
        <f t="shared" si="5"/>
        <v>471.19499999999994</v>
      </c>
      <c r="H28" s="17">
        <f t="shared" si="5"/>
        <v>471.19499999999994</v>
      </c>
      <c r="I28" s="17">
        <f t="shared" si="5"/>
        <v>328.20699999999999</v>
      </c>
      <c r="J28" s="17">
        <f t="shared" si="5"/>
        <v>264.62900000000002</v>
      </c>
      <c r="K28" s="17">
        <f t="shared" si="5"/>
        <v>590.77300000000002</v>
      </c>
      <c r="L28" s="17">
        <f t="shared" si="5"/>
        <v>641.40599999999995</v>
      </c>
      <c r="M28" s="17"/>
      <c r="N28" s="17"/>
      <c r="O28" s="17"/>
    </row>
    <row r="29" spans="1:15" ht="15" x14ac:dyDescent="0.2">
      <c r="A29" s="19" t="s">
        <v>61</v>
      </c>
      <c r="B29" s="17"/>
      <c r="C29" s="17">
        <v>8.6120000000000001</v>
      </c>
      <c r="D29" s="17">
        <v>1.399</v>
      </c>
      <c r="E29" s="17">
        <v>3.34</v>
      </c>
      <c r="F29" s="17">
        <v>3.0489999999999999</v>
      </c>
      <c r="G29" s="17">
        <v>8.548</v>
      </c>
      <c r="H29" s="17">
        <v>7.8860000000000001</v>
      </c>
      <c r="I29" s="17">
        <v>6.7489999999999997</v>
      </c>
      <c r="J29" s="16">
        <v>5.6260000000000003</v>
      </c>
      <c r="K29" s="17">
        <v>4.4729999999999999</v>
      </c>
      <c r="L29" s="17">
        <v>3.8119999999999998</v>
      </c>
      <c r="M29" s="17"/>
    </row>
    <row r="30" spans="1:15" ht="15" x14ac:dyDescent="0.2">
      <c r="A30" s="19" t="s">
        <v>60</v>
      </c>
      <c r="B30" s="17"/>
      <c r="C30" s="17">
        <f t="shared" ref="C30:L30" si="6">SQRT((C29^2)+1)</f>
        <v>8.6698641281164264</v>
      </c>
      <c r="D30" s="17">
        <f t="shared" si="6"/>
        <v>1.7196514181659026</v>
      </c>
      <c r="E30" s="17">
        <f t="shared" si="6"/>
        <v>3.48648820448313</v>
      </c>
      <c r="F30" s="17">
        <f t="shared" si="6"/>
        <v>3.2088005547244594</v>
      </c>
      <c r="G30" s="17">
        <f t="shared" si="6"/>
        <v>8.6062944406986208</v>
      </c>
      <c r="H30" s="17">
        <f t="shared" si="6"/>
        <v>7.9491506464527397</v>
      </c>
      <c r="I30" s="17">
        <f t="shared" si="6"/>
        <v>6.8226828300896409</v>
      </c>
      <c r="J30" s="17">
        <f t="shared" si="6"/>
        <v>5.7141820062017628</v>
      </c>
      <c r="K30" s="17">
        <f t="shared" si="6"/>
        <v>4.5834189204130142</v>
      </c>
      <c r="L30" s="17">
        <f t="shared" si="6"/>
        <v>3.9409826185863848</v>
      </c>
      <c r="M30" s="17"/>
      <c r="N30" s="17"/>
      <c r="O30" s="17"/>
    </row>
    <row r="31" spans="1:15" ht="15" x14ac:dyDescent="0.2">
      <c r="A31" s="19" t="s">
        <v>59</v>
      </c>
      <c r="B31" s="17"/>
      <c r="C31" s="17"/>
      <c r="D31" s="17"/>
      <c r="E31" s="17">
        <f t="shared" ref="E31:L31" si="7">E28/$E$4</f>
        <v>1.9891365279415463</v>
      </c>
      <c r="F31" s="17">
        <f t="shared" si="7"/>
        <v>6.5204414976900624</v>
      </c>
      <c r="G31" s="17">
        <f t="shared" si="7"/>
        <v>4.5541047300562498</v>
      </c>
      <c r="H31" s="17">
        <f t="shared" si="7"/>
        <v>4.5541047300562498</v>
      </c>
      <c r="I31" s="17">
        <f t="shared" si="7"/>
        <v>3.1721241760578356</v>
      </c>
      <c r="J31" s="17">
        <f t="shared" si="7"/>
        <v>2.5576421239827578</v>
      </c>
      <c r="K31" s="17">
        <f t="shared" si="7"/>
        <v>5.7098273829083954</v>
      </c>
      <c r="L31" s="17">
        <f t="shared" si="7"/>
        <v>6.1991958711074169</v>
      </c>
      <c r="M31" s="17"/>
      <c r="N31" s="17"/>
      <c r="O31" s="17"/>
    </row>
    <row r="32" spans="1:15" ht="15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5" x14ac:dyDescent="0.2">
      <c r="A33" s="20" t="s">
        <v>767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5" x14ac:dyDescent="0.2">
      <c r="A34" s="19" t="s">
        <v>63</v>
      </c>
      <c r="B34" s="17"/>
      <c r="C34" s="17">
        <v>826.90200000000004</v>
      </c>
      <c r="D34" s="17">
        <v>313.69499999999999</v>
      </c>
      <c r="E34" s="17">
        <v>409.36700000000002</v>
      </c>
      <c r="F34" s="17"/>
      <c r="G34" s="17"/>
      <c r="H34" s="17"/>
      <c r="I34" s="17"/>
      <c r="J34" s="17"/>
      <c r="K34" s="17"/>
      <c r="L34" s="17"/>
      <c r="M34" s="17"/>
    </row>
    <row r="35" spans="1:13" ht="15" x14ac:dyDescent="0.2">
      <c r="A35" s="19" t="s">
        <v>62</v>
      </c>
      <c r="B35" s="17"/>
      <c r="C35" s="17">
        <f>C34-$B$7</f>
        <v>609.68700000000001</v>
      </c>
      <c r="D35" s="17">
        <f>D34-$B$7</f>
        <v>96.47999999999999</v>
      </c>
      <c r="E35" s="17">
        <f>E34-$B$7</f>
        <v>192.15200000000002</v>
      </c>
      <c r="F35" s="17"/>
      <c r="G35" s="17"/>
      <c r="H35" s="17"/>
      <c r="I35" s="17"/>
      <c r="J35" s="17"/>
      <c r="K35" s="17"/>
      <c r="L35" s="17"/>
      <c r="M35" s="17"/>
    </row>
    <row r="36" spans="1:13" ht="15" x14ac:dyDescent="0.2">
      <c r="A36" s="19" t="s">
        <v>61</v>
      </c>
      <c r="B36" s="17"/>
      <c r="C36" s="17">
        <v>3.2130000000000001</v>
      </c>
      <c r="D36" s="17">
        <v>8.3420000000000005</v>
      </c>
      <c r="E36" s="17">
        <v>4.0759999999999996</v>
      </c>
      <c r="F36" s="17"/>
      <c r="G36" s="17"/>
      <c r="H36" s="17"/>
      <c r="I36" s="17"/>
      <c r="J36" s="17"/>
      <c r="K36" s="17"/>
      <c r="L36" s="17"/>
      <c r="M36" s="17"/>
    </row>
    <row r="37" spans="1:13" ht="15" x14ac:dyDescent="0.2">
      <c r="A37" s="19" t="s">
        <v>60</v>
      </c>
      <c r="B37" s="17"/>
      <c r="C37" s="17">
        <f>SQRT((C36^2)+4)</f>
        <v>3.7846227024632193</v>
      </c>
      <c r="D37" s="17">
        <f>SQRT((D36^2)+4)</f>
        <v>8.5784010165065148</v>
      </c>
      <c r="E37" s="17">
        <f>SQRT((E36^2)+4)</f>
        <v>4.5402396412524304</v>
      </c>
      <c r="F37" s="17"/>
      <c r="G37" s="17"/>
      <c r="H37" s="17"/>
      <c r="I37" s="17"/>
      <c r="J37" s="17"/>
      <c r="K37" s="17"/>
      <c r="L37" s="17"/>
      <c r="M37" s="17"/>
    </row>
    <row r="38" spans="1:13" ht="15" x14ac:dyDescent="0.2">
      <c r="A38" s="19" t="s">
        <v>59</v>
      </c>
      <c r="B38" s="17"/>
      <c r="C38" s="17">
        <f>C35/$E$4</f>
        <v>5.8926313958208496</v>
      </c>
      <c r="D38" s="17">
        <f>D35/$E$4</f>
        <v>0.93248023505306088</v>
      </c>
      <c r="E38" s="17">
        <f>E35/$E$4</f>
        <v>1.8571511414377673</v>
      </c>
      <c r="F38" s="17"/>
      <c r="G38" s="17"/>
      <c r="H38" s="17"/>
      <c r="I38" s="17"/>
      <c r="J38" s="17"/>
      <c r="K38" s="17"/>
      <c r="L38" s="17"/>
      <c r="M38" s="17"/>
    </row>
    <row r="39" spans="1:13" ht="15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15" x14ac:dyDescent="0.2">
      <c r="A40" s="20" t="s">
        <v>766</v>
      </c>
      <c r="B40" s="17"/>
      <c r="C40" s="17">
        <v>1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5" x14ac:dyDescent="0.2">
      <c r="A41" s="19" t="s">
        <v>63</v>
      </c>
      <c r="B41" s="17"/>
      <c r="C41" s="17">
        <v>340.65199999999999</v>
      </c>
      <c r="D41" s="17">
        <v>492.62900000000002</v>
      </c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" x14ac:dyDescent="0.2">
      <c r="A42" s="19" t="s">
        <v>62</v>
      </c>
      <c r="B42" s="17"/>
      <c r="C42" s="17">
        <f>C41-$B$7</f>
        <v>123.43699999999998</v>
      </c>
      <c r="D42" s="17">
        <f>D41-$B$7</f>
        <v>275.41399999999999</v>
      </c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" x14ac:dyDescent="0.2">
      <c r="A43" s="19" t="s">
        <v>61</v>
      </c>
      <c r="B43" s="17"/>
      <c r="C43" s="17">
        <v>15.972</v>
      </c>
      <c r="D43" s="17">
        <v>3.169</v>
      </c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" x14ac:dyDescent="0.2">
      <c r="A44" s="19" t="s">
        <v>60</v>
      </c>
      <c r="B44" s="17"/>
      <c r="C44" s="17">
        <f>SQRT((C43^2)+9)</f>
        <v>16.251300994074288</v>
      </c>
      <c r="D44" s="17">
        <f>SQRT((D43^2)+9)</f>
        <v>4.3637782940933194</v>
      </c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" x14ac:dyDescent="0.2">
      <c r="A45" s="19" t="s">
        <v>59</v>
      </c>
      <c r="B45" s="17"/>
      <c r="C45" s="17"/>
      <c r="D45" s="17">
        <f>D42/$E$4</f>
        <v>2.6618792646859837</v>
      </c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" x14ac:dyDescent="0.2">
      <c r="A47" s="19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" x14ac:dyDescent="0.2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" ht="15" x14ac:dyDescent="0.2">
      <c r="A49" s="19"/>
    </row>
    <row r="50" spans="1:1" ht="15" x14ac:dyDescent="0.2">
      <c r="A50" s="19"/>
    </row>
    <row r="51" spans="1:1" ht="15" x14ac:dyDescent="0.2">
      <c r="A51" s="19"/>
    </row>
    <row r="52" spans="1:1" ht="15" x14ac:dyDescent="0.2">
      <c r="A52" s="19"/>
    </row>
    <row r="54" spans="1:1" ht="15" x14ac:dyDescent="0.2">
      <c r="A54" s="19"/>
    </row>
    <row r="55" spans="1:1" ht="15" x14ac:dyDescent="0.2">
      <c r="A55" s="19"/>
    </row>
    <row r="56" spans="1:1" ht="15" x14ac:dyDescent="0.2">
      <c r="A56" s="19"/>
    </row>
    <row r="57" spans="1:1" ht="15" x14ac:dyDescent="0.2">
      <c r="A57" s="19"/>
    </row>
    <row r="58" spans="1:1" ht="15" x14ac:dyDescent="0.2">
      <c r="A58" s="19"/>
    </row>
    <row r="59" spans="1:1" ht="15" x14ac:dyDescent="0.2">
      <c r="A59" s="19"/>
    </row>
  </sheetData>
  <mergeCells count="1">
    <mergeCell ref="G4:H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2BC65-6919-F349-AF8C-AFAB0220C7E5}">
  <dimension ref="A1:Q66"/>
  <sheetViews>
    <sheetView workbookViewId="0">
      <selection activeCell="L34" sqref="L34"/>
    </sheetView>
  </sheetViews>
  <sheetFormatPr baseColWidth="10" defaultRowHeight="16" x14ac:dyDescent="0.2"/>
  <cols>
    <col min="1" max="1" width="35" style="30" bestFit="1" customWidth="1"/>
    <col min="2" max="2" width="10.6640625" style="30" bestFit="1" customWidth="1"/>
    <col min="3" max="16384" width="10.83203125" style="30"/>
  </cols>
  <sheetData>
    <row r="1" spans="1:17" ht="34" x14ac:dyDescent="0.2">
      <c r="A1" s="30" t="s">
        <v>227</v>
      </c>
      <c r="C1" s="49" t="s">
        <v>226</v>
      </c>
      <c r="E1" s="30" t="s">
        <v>225</v>
      </c>
      <c r="G1" s="30" t="s">
        <v>224</v>
      </c>
    </row>
    <row r="2" spans="1:17" x14ac:dyDescent="0.2">
      <c r="A2" s="30" t="s">
        <v>703</v>
      </c>
      <c r="B2" s="42">
        <v>45257</v>
      </c>
      <c r="C2" s="30" t="s">
        <v>222</v>
      </c>
      <c r="E2" s="30">
        <v>45.465000000000003</v>
      </c>
      <c r="G2" s="30">
        <f>AVERAGE(C8:I8,C14:H14,C21:D21,C28:E28,C35:D35,C42:D42,C49:D49,C56:H56)</f>
        <v>1087.1211000000001</v>
      </c>
    </row>
    <row r="4" spans="1:17" x14ac:dyDescent="0.2">
      <c r="A4" s="30" t="s">
        <v>532</v>
      </c>
    </row>
    <row r="6" spans="1:17" x14ac:dyDescent="0.2">
      <c r="A6" s="45" t="s">
        <v>756</v>
      </c>
      <c r="B6" s="30" t="s">
        <v>235</v>
      </c>
      <c r="C6" s="30">
        <v>1</v>
      </c>
      <c r="D6" s="30">
        <v>1</v>
      </c>
      <c r="E6" s="30">
        <v>1</v>
      </c>
      <c r="F6" s="30">
        <v>1</v>
      </c>
      <c r="G6" s="30">
        <v>1</v>
      </c>
      <c r="H6" s="30">
        <v>1</v>
      </c>
      <c r="I6" s="30">
        <v>1</v>
      </c>
    </row>
    <row r="7" spans="1:17" x14ac:dyDescent="0.2">
      <c r="A7" s="30" t="s">
        <v>215</v>
      </c>
      <c r="B7" s="30">
        <v>222.041</v>
      </c>
      <c r="C7" s="30">
        <v>1795.0039999999999</v>
      </c>
      <c r="D7" s="30">
        <v>1270.6310000000001</v>
      </c>
      <c r="E7" s="30">
        <v>1377.7929999999999</v>
      </c>
      <c r="F7" s="30">
        <v>1174.203</v>
      </c>
      <c r="G7" s="30">
        <v>899.44899999999996</v>
      </c>
      <c r="H7" s="30">
        <v>2169.7660000000001</v>
      </c>
      <c r="I7" s="30">
        <v>2246.9299999999998</v>
      </c>
      <c r="J7" s="30">
        <v>3071.84</v>
      </c>
      <c r="K7" s="30">
        <v>2333.4059999999999</v>
      </c>
      <c r="L7" s="30">
        <v>1710.578</v>
      </c>
      <c r="M7" s="30">
        <v>1772.0740000000001</v>
      </c>
      <c r="N7" s="30">
        <v>2601.172</v>
      </c>
      <c r="O7" s="30">
        <v>4166.348</v>
      </c>
      <c r="P7" s="30">
        <v>2498.6950000000002</v>
      </c>
      <c r="Q7" s="30">
        <v>2254.152</v>
      </c>
    </row>
    <row r="8" spans="1:17" x14ac:dyDescent="0.2">
      <c r="A8" s="30" t="s">
        <v>62</v>
      </c>
      <c r="C8" s="30">
        <f t="shared" ref="C8:Q8" si="0">C7-$B$7</f>
        <v>1572.963</v>
      </c>
      <c r="D8" s="30">
        <f t="shared" si="0"/>
        <v>1048.5900000000001</v>
      </c>
      <c r="E8" s="30">
        <f t="shared" si="0"/>
        <v>1155.752</v>
      </c>
      <c r="F8" s="30">
        <f t="shared" si="0"/>
        <v>952.16200000000003</v>
      </c>
      <c r="G8" s="30">
        <f t="shared" si="0"/>
        <v>677.4079999999999</v>
      </c>
      <c r="H8" s="30">
        <f t="shared" si="0"/>
        <v>1947.7250000000001</v>
      </c>
      <c r="I8" s="30">
        <f t="shared" si="0"/>
        <v>2024.8889999999999</v>
      </c>
      <c r="J8" s="30">
        <f t="shared" si="0"/>
        <v>2849.799</v>
      </c>
      <c r="K8" s="30">
        <f t="shared" si="0"/>
        <v>2111.3649999999998</v>
      </c>
      <c r="L8" s="30">
        <f t="shared" si="0"/>
        <v>1488.537</v>
      </c>
      <c r="M8" s="30">
        <f t="shared" si="0"/>
        <v>1550.0330000000001</v>
      </c>
      <c r="N8" s="30">
        <f t="shared" si="0"/>
        <v>2379.1309999999999</v>
      </c>
      <c r="O8" s="30">
        <f t="shared" si="0"/>
        <v>3944.3069999999998</v>
      </c>
      <c r="P8" s="30">
        <f t="shared" si="0"/>
        <v>2276.654</v>
      </c>
      <c r="Q8" s="30">
        <f t="shared" si="0"/>
        <v>2032.1110000000001</v>
      </c>
    </row>
    <row r="9" spans="1:17" x14ac:dyDescent="0.2">
      <c r="A9" s="30" t="s">
        <v>214</v>
      </c>
      <c r="C9" s="30">
        <v>1.633</v>
      </c>
      <c r="D9" s="30">
        <v>1.752</v>
      </c>
      <c r="E9" s="30">
        <v>2.3319999999999999</v>
      </c>
      <c r="F9" s="30">
        <v>0.26100000000000001</v>
      </c>
      <c r="G9" s="30">
        <v>3.407</v>
      </c>
      <c r="H9" s="30">
        <v>1.294</v>
      </c>
      <c r="I9" s="30">
        <v>0.78300000000000003</v>
      </c>
      <c r="J9" s="30">
        <v>1.389</v>
      </c>
      <c r="K9" s="30">
        <v>1.339</v>
      </c>
      <c r="L9" s="30">
        <v>2.0089999999999999</v>
      </c>
      <c r="M9" s="30">
        <v>2.806</v>
      </c>
      <c r="N9" s="30">
        <v>2.8090000000000002</v>
      </c>
      <c r="O9" s="30">
        <v>2.3769999999999998</v>
      </c>
      <c r="P9" s="30">
        <v>2.2650000000000001</v>
      </c>
      <c r="Q9" s="30">
        <v>2.911</v>
      </c>
    </row>
    <row r="10" spans="1:17" x14ac:dyDescent="0.2">
      <c r="A10" s="30" t="s">
        <v>59</v>
      </c>
      <c r="J10" s="30">
        <f t="shared" ref="J10:Q10" si="1">J8/$G$2</f>
        <v>2.621418165832675</v>
      </c>
      <c r="K10" s="30">
        <f t="shared" si="1"/>
        <v>1.9421617334076209</v>
      </c>
      <c r="L10" s="30">
        <f t="shared" si="1"/>
        <v>1.3692467196156894</v>
      </c>
      <c r="M10" s="30">
        <f t="shared" si="1"/>
        <v>1.4258144745787751</v>
      </c>
      <c r="N10" s="30">
        <f t="shared" si="1"/>
        <v>2.1884691595076204</v>
      </c>
      <c r="O10" s="30">
        <f t="shared" si="1"/>
        <v>3.6282130850003735</v>
      </c>
      <c r="P10" s="30">
        <f t="shared" si="1"/>
        <v>2.0942045922942714</v>
      </c>
      <c r="Q10" s="30">
        <f t="shared" si="1"/>
        <v>1.869259091742401</v>
      </c>
    </row>
    <row r="12" spans="1:17" x14ac:dyDescent="0.2">
      <c r="A12" s="45" t="s">
        <v>755</v>
      </c>
      <c r="C12" s="30">
        <v>1</v>
      </c>
      <c r="D12" s="30">
        <v>1</v>
      </c>
      <c r="E12" s="30">
        <v>1</v>
      </c>
      <c r="F12" s="30">
        <v>1</v>
      </c>
      <c r="G12" s="30">
        <v>1</v>
      </c>
      <c r="H12" s="30">
        <v>1</v>
      </c>
    </row>
    <row r="13" spans="1:17" x14ac:dyDescent="0.2">
      <c r="A13" s="30" t="s">
        <v>215</v>
      </c>
      <c r="C13" s="30">
        <v>1972.8520000000001</v>
      </c>
      <c r="D13" s="30">
        <v>1693.3050000000001</v>
      </c>
      <c r="E13" s="30">
        <v>876.54300000000001</v>
      </c>
      <c r="F13" s="30">
        <v>1553.125</v>
      </c>
      <c r="G13" s="30">
        <v>1666.5229999999999</v>
      </c>
      <c r="H13" s="30">
        <v>1033.4839999999999</v>
      </c>
      <c r="I13" s="30">
        <v>1976.492</v>
      </c>
      <c r="J13" s="30">
        <v>3024.9380000000001</v>
      </c>
      <c r="K13" s="30">
        <v>1645.5050000000001</v>
      </c>
      <c r="L13" s="30">
        <v>2808.3359999999998</v>
      </c>
      <c r="M13" s="30">
        <v>2235.9409999999998</v>
      </c>
      <c r="N13" s="30">
        <v>1894.4770000000001</v>
      </c>
      <c r="O13" s="30">
        <v>2139.3119999999999</v>
      </c>
      <c r="P13" s="30">
        <v>3305.2339999999999</v>
      </c>
    </row>
    <row r="14" spans="1:17" x14ac:dyDescent="0.2">
      <c r="A14" s="30" t="s">
        <v>62</v>
      </c>
      <c r="C14" s="30">
        <f t="shared" ref="C14:P14" si="2">C13-$B$7</f>
        <v>1750.8110000000001</v>
      </c>
      <c r="D14" s="30">
        <f t="shared" si="2"/>
        <v>1471.2640000000001</v>
      </c>
      <c r="E14" s="30">
        <f t="shared" si="2"/>
        <v>654.50199999999995</v>
      </c>
      <c r="F14" s="30">
        <f t="shared" si="2"/>
        <v>1331.0840000000001</v>
      </c>
      <c r="G14" s="30">
        <f t="shared" si="2"/>
        <v>1444.482</v>
      </c>
      <c r="H14" s="30">
        <f t="shared" si="2"/>
        <v>811.44299999999998</v>
      </c>
      <c r="I14" s="30">
        <f t="shared" si="2"/>
        <v>1754.451</v>
      </c>
      <c r="J14" s="30">
        <f t="shared" si="2"/>
        <v>2802.8969999999999</v>
      </c>
      <c r="K14" s="30">
        <f t="shared" si="2"/>
        <v>1423.4640000000002</v>
      </c>
      <c r="L14" s="30">
        <f t="shared" si="2"/>
        <v>2586.2949999999996</v>
      </c>
      <c r="M14" s="30">
        <f t="shared" si="2"/>
        <v>2013.8999999999999</v>
      </c>
      <c r="N14" s="30">
        <f t="shared" si="2"/>
        <v>1672.4360000000001</v>
      </c>
      <c r="O14" s="30">
        <f t="shared" si="2"/>
        <v>1917.271</v>
      </c>
      <c r="P14" s="30">
        <f t="shared" si="2"/>
        <v>3083.1929999999998</v>
      </c>
    </row>
    <row r="15" spans="1:17" x14ac:dyDescent="0.2">
      <c r="A15" s="30" t="s">
        <v>214</v>
      </c>
      <c r="C15" s="30">
        <v>2.383</v>
      </c>
      <c r="D15" s="30">
        <v>0.85899999999999999</v>
      </c>
      <c r="E15" s="30">
        <v>1.677</v>
      </c>
      <c r="F15" s="30">
        <v>1.2849999999999999</v>
      </c>
      <c r="G15" s="30">
        <v>1.087</v>
      </c>
      <c r="H15" s="30">
        <v>7.6710000000000003</v>
      </c>
      <c r="I15" s="30">
        <v>1.4570000000000001</v>
      </c>
      <c r="J15" s="30">
        <v>2.1949999999999998</v>
      </c>
      <c r="K15" s="30">
        <v>1.5660000000000001</v>
      </c>
      <c r="L15" s="30">
        <v>3.1219999999999999</v>
      </c>
      <c r="M15" s="30">
        <v>2.67</v>
      </c>
      <c r="N15" s="30">
        <v>3.5270000000000001</v>
      </c>
      <c r="O15" s="30">
        <v>3.0379999999999998</v>
      </c>
      <c r="P15" s="30">
        <v>2.423</v>
      </c>
    </row>
    <row r="16" spans="1:17" x14ac:dyDescent="0.2">
      <c r="A16" s="30" t="s">
        <v>60</v>
      </c>
      <c r="C16" s="30">
        <f t="shared" ref="C16:P16" si="3">SQRT((1+(C15^2)))</f>
        <v>2.5843159636545994</v>
      </c>
      <c r="D16" s="30">
        <f t="shared" si="3"/>
        <v>1.3182871462621488</v>
      </c>
      <c r="E16" s="30">
        <f t="shared" si="3"/>
        <v>1.9525186298727089</v>
      </c>
      <c r="F16" s="30">
        <f t="shared" si="3"/>
        <v>1.6282582718966914</v>
      </c>
      <c r="G16" s="30">
        <f t="shared" si="3"/>
        <v>1.4770135408993377</v>
      </c>
      <c r="H16" s="30">
        <f t="shared" si="3"/>
        <v>7.7359059585804175</v>
      </c>
      <c r="I16" s="30">
        <f t="shared" si="3"/>
        <v>1.7671584535632339</v>
      </c>
      <c r="J16" s="30">
        <f t="shared" si="3"/>
        <v>2.4120582497112295</v>
      </c>
      <c r="K16" s="30">
        <f t="shared" si="3"/>
        <v>1.8580516677423156</v>
      </c>
      <c r="L16" s="30">
        <f t="shared" si="3"/>
        <v>3.2782440421664765</v>
      </c>
      <c r="M16" s="30">
        <f t="shared" si="3"/>
        <v>2.85112258592997</v>
      </c>
      <c r="N16" s="30">
        <f t="shared" si="3"/>
        <v>3.6660235951231956</v>
      </c>
      <c r="O16" s="30">
        <f t="shared" si="3"/>
        <v>3.1983501997123454</v>
      </c>
      <c r="P16" s="30">
        <f t="shared" si="3"/>
        <v>2.6212456962291801</v>
      </c>
    </row>
    <row r="17" spans="1:16" x14ac:dyDescent="0.2">
      <c r="A17" s="30" t="s">
        <v>59</v>
      </c>
      <c r="I17" s="30">
        <f t="shared" ref="I17:P17" si="4">I14/$G$2</f>
        <v>1.6138505636584553</v>
      </c>
      <c r="J17" s="30">
        <f t="shared" si="4"/>
        <v>2.5782748582471631</v>
      </c>
      <c r="K17" s="30">
        <f t="shared" si="4"/>
        <v>1.309388622849837</v>
      </c>
      <c r="L17" s="30">
        <f t="shared" si="4"/>
        <v>2.3790311861300451</v>
      </c>
      <c r="M17" s="30">
        <f t="shared" si="4"/>
        <v>1.8525075081331783</v>
      </c>
      <c r="N17" s="30">
        <f t="shared" si="4"/>
        <v>1.5384081865396597</v>
      </c>
      <c r="O17" s="30">
        <f t="shared" si="4"/>
        <v>1.7636222864223681</v>
      </c>
      <c r="P17" s="30">
        <f t="shared" si="4"/>
        <v>2.8361081391944278</v>
      </c>
    </row>
    <row r="19" spans="1:16" x14ac:dyDescent="0.2">
      <c r="A19" s="45" t="s">
        <v>743</v>
      </c>
      <c r="C19" s="30">
        <v>1</v>
      </c>
      <c r="D19" s="30">
        <v>1</v>
      </c>
    </row>
    <row r="20" spans="1:16" x14ac:dyDescent="0.2">
      <c r="A20" s="30" t="s">
        <v>215</v>
      </c>
      <c r="C20" s="30">
        <v>1124.27</v>
      </c>
      <c r="D20" s="30">
        <v>1341.047</v>
      </c>
      <c r="E20" s="30">
        <v>1026.8710000000001</v>
      </c>
      <c r="F20" s="30">
        <v>1722.367</v>
      </c>
      <c r="G20" s="30">
        <v>2143.3980000000001</v>
      </c>
      <c r="H20" s="30">
        <v>2641.3359999999998</v>
      </c>
      <c r="I20" s="30">
        <v>1749.0229999999999</v>
      </c>
      <c r="J20" s="30">
        <v>1988.2270000000001</v>
      </c>
      <c r="K20" s="30">
        <v>2533.2579999999998</v>
      </c>
      <c r="L20" s="30">
        <v>2002.098</v>
      </c>
      <c r="M20" s="30">
        <v>1802.383</v>
      </c>
      <c r="N20" s="30">
        <v>937.79700000000003</v>
      </c>
    </row>
    <row r="21" spans="1:16" x14ac:dyDescent="0.2">
      <c r="A21" s="30" t="s">
        <v>62</v>
      </c>
      <c r="C21" s="30">
        <f t="shared" ref="C21:N21" si="5">C20-$B$7</f>
        <v>902.22900000000004</v>
      </c>
      <c r="D21" s="30">
        <f t="shared" si="5"/>
        <v>1119.0060000000001</v>
      </c>
      <c r="E21" s="30">
        <f t="shared" si="5"/>
        <v>804.83000000000015</v>
      </c>
      <c r="F21" s="30">
        <f t="shared" si="5"/>
        <v>1500.326</v>
      </c>
      <c r="G21" s="30">
        <f t="shared" si="5"/>
        <v>1921.3570000000002</v>
      </c>
      <c r="H21" s="30">
        <f t="shared" si="5"/>
        <v>2419.2949999999996</v>
      </c>
      <c r="I21" s="30">
        <f t="shared" si="5"/>
        <v>1526.982</v>
      </c>
      <c r="J21" s="30">
        <f t="shared" si="5"/>
        <v>1766.1860000000001</v>
      </c>
      <c r="K21" s="30">
        <f t="shared" si="5"/>
        <v>2311.2169999999996</v>
      </c>
      <c r="L21" s="30">
        <f t="shared" si="5"/>
        <v>1780.057</v>
      </c>
      <c r="M21" s="30">
        <f t="shared" si="5"/>
        <v>1580.3420000000001</v>
      </c>
      <c r="N21" s="30">
        <f t="shared" si="5"/>
        <v>715.75600000000009</v>
      </c>
    </row>
    <row r="22" spans="1:16" x14ac:dyDescent="0.2">
      <c r="A22" s="30" t="s">
        <v>214</v>
      </c>
      <c r="C22" s="30">
        <v>2.544</v>
      </c>
      <c r="D22" s="30">
        <v>2.1800000000000002</v>
      </c>
      <c r="E22" s="30">
        <v>3.2210000000000001</v>
      </c>
      <c r="F22" s="30">
        <v>2.254</v>
      </c>
      <c r="G22" s="30">
        <v>2.516</v>
      </c>
      <c r="H22" s="30">
        <v>2.0329999999999999</v>
      </c>
      <c r="I22" s="30">
        <v>1.0249999999999999</v>
      </c>
      <c r="J22" s="30">
        <v>1.7350000000000001</v>
      </c>
      <c r="K22" s="30">
        <v>2.6760000000000002</v>
      </c>
      <c r="L22" s="30">
        <v>3.2290000000000001</v>
      </c>
      <c r="M22" s="30">
        <v>2.6219999999999999</v>
      </c>
      <c r="N22" s="30">
        <v>2.0859999999999999</v>
      </c>
    </row>
    <row r="23" spans="1:16" x14ac:dyDescent="0.2">
      <c r="A23" s="30" t="s">
        <v>60</v>
      </c>
      <c r="C23" s="30">
        <f t="shared" ref="C23:N23" si="6">SQRT((4+(C22^2)))</f>
        <v>3.2360370826058218</v>
      </c>
      <c r="D23" s="30">
        <f t="shared" si="6"/>
        <v>2.9584455377782435</v>
      </c>
      <c r="E23" s="30">
        <f t="shared" si="6"/>
        <v>3.7914167536687389</v>
      </c>
      <c r="F23" s="30">
        <f t="shared" si="6"/>
        <v>3.0133894537546917</v>
      </c>
      <c r="G23" s="30">
        <f t="shared" si="6"/>
        <v>3.2140715611199449</v>
      </c>
      <c r="H23" s="30">
        <f t="shared" si="6"/>
        <v>2.8518571142327591</v>
      </c>
      <c r="I23" s="30">
        <f t="shared" si="6"/>
        <v>2.2473595617969102</v>
      </c>
      <c r="J23" s="30">
        <f t="shared" si="6"/>
        <v>2.6476829492973661</v>
      </c>
      <c r="K23" s="30">
        <f t="shared" si="6"/>
        <v>3.3408046934832933</v>
      </c>
      <c r="L23" s="30">
        <f t="shared" si="6"/>
        <v>3.7982155020482975</v>
      </c>
      <c r="M23" s="30">
        <f t="shared" si="6"/>
        <v>3.2977089016467174</v>
      </c>
      <c r="N23" s="30">
        <f t="shared" si="6"/>
        <v>2.8898781981253121</v>
      </c>
    </row>
    <row r="24" spans="1:16" x14ac:dyDescent="0.2">
      <c r="A24" s="30" t="s">
        <v>59</v>
      </c>
      <c r="E24" s="30">
        <f t="shared" ref="E24:N24" si="7">E21/$G$2</f>
        <v>0.74033150492617616</v>
      </c>
      <c r="F24" s="30">
        <f t="shared" si="7"/>
        <v>1.3800909576679175</v>
      </c>
      <c r="G24" s="30">
        <f t="shared" si="7"/>
        <v>1.7673808373326578</v>
      </c>
      <c r="H24" s="30">
        <f t="shared" si="7"/>
        <v>2.2254144455479703</v>
      </c>
      <c r="I24" s="30">
        <f t="shared" si="7"/>
        <v>1.4046107650748383</v>
      </c>
      <c r="J24" s="30">
        <f t="shared" si="7"/>
        <v>1.6246451292316928</v>
      </c>
      <c r="K24" s="30">
        <f t="shared" si="7"/>
        <v>2.1259977384304283</v>
      </c>
      <c r="L24" s="30">
        <f t="shared" si="7"/>
        <v>1.6374045173072254</v>
      </c>
      <c r="M24" s="30">
        <f t="shared" si="7"/>
        <v>1.4536945332033386</v>
      </c>
      <c r="N24" s="30">
        <f t="shared" si="7"/>
        <v>0.65839583097044119</v>
      </c>
    </row>
    <row r="26" spans="1:16" x14ac:dyDescent="0.2">
      <c r="A26" s="45" t="s">
        <v>742</v>
      </c>
      <c r="C26" s="30">
        <v>1</v>
      </c>
      <c r="D26" s="30">
        <v>1</v>
      </c>
      <c r="E26" s="30">
        <v>1</v>
      </c>
    </row>
    <row r="27" spans="1:16" x14ac:dyDescent="0.2">
      <c r="A27" s="30" t="s">
        <v>215</v>
      </c>
      <c r="C27" s="30">
        <v>1118.8009999999999</v>
      </c>
      <c r="D27" s="30">
        <v>1132.836</v>
      </c>
      <c r="E27" s="30">
        <v>1610.875</v>
      </c>
      <c r="F27" s="30">
        <v>1908.422</v>
      </c>
      <c r="G27" s="30">
        <v>2661.3980000000001</v>
      </c>
      <c r="H27" s="30">
        <v>1604.2809999999999</v>
      </c>
      <c r="I27" s="30">
        <v>1336.547</v>
      </c>
    </row>
    <row r="28" spans="1:16" x14ac:dyDescent="0.2">
      <c r="A28" s="30" t="s">
        <v>62</v>
      </c>
      <c r="C28" s="30">
        <f t="shared" ref="C28:I28" si="8">C27-$B$7</f>
        <v>896.76</v>
      </c>
      <c r="D28" s="30">
        <f t="shared" si="8"/>
        <v>910.79500000000007</v>
      </c>
      <c r="E28" s="30">
        <f t="shared" si="8"/>
        <v>1388.8340000000001</v>
      </c>
      <c r="F28" s="30">
        <f t="shared" si="8"/>
        <v>1686.3810000000001</v>
      </c>
      <c r="G28" s="30">
        <f t="shared" si="8"/>
        <v>2439.357</v>
      </c>
      <c r="H28" s="30">
        <f t="shared" si="8"/>
        <v>1382.24</v>
      </c>
      <c r="I28" s="30">
        <f t="shared" si="8"/>
        <v>1114.5060000000001</v>
      </c>
    </row>
    <row r="29" spans="1:16" x14ac:dyDescent="0.2">
      <c r="A29" s="30" t="s">
        <v>214</v>
      </c>
      <c r="C29" s="30">
        <v>5.4550000000000001</v>
      </c>
      <c r="D29" s="30">
        <v>2.2330000000000001</v>
      </c>
      <c r="E29" s="30">
        <v>5.1269999999999998</v>
      </c>
      <c r="F29" s="30">
        <v>5.6710000000000003</v>
      </c>
      <c r="G29" s="30">
        <v>3.343</v>
      </c>
      <c r="H29" s="30">
        <v>2.456</v>
      </c>
      <c r="I29" s="30">
        <v>2.1640000000000001</v>
      </c>
    </row>
    <row r="30" spans="1:16" x14ac:dyDescent="0.2">
      <c r="A30" s="30" t="s">
        <v>60</v>
      </c>
      <c r="C30" s="30">
        <f t="shared" ref="C30:I30" si="9">SQRT((9+(C29^2)))</f>
        <v>6.2255140350014475</v>
      </c>
      <c r="D30" s="30">
        <f t="shared" si="9"/>
        <v>3.7398247285133563</v>
      </c>
      <c r="E30" s="30">
        <f t="shared" si="9"/>
        <v>5.9402128749734215</v>
      </c>
      <c r="F30" s="30">
        <f t="shared" si="9"/>
        <v>6.4156247552362355</v>
      </c>
      <c r="G30" s="30">
        <f t="shared" si="9"/>
        <v>4.4917311807364433</v>
      </c>
      <c r="H30" s="30">
        <f t="shared" si="9"/>
        <v>3.8771040739190896</v>
      </c>
      <c r="I30" s="30">
        <f t="shared" si="9"/>
        <v>3.6990398754271356</v>
      </c>
    </row>
    <row r="31" spans="1:16" x14ac:dyDescent="0.2">
      <c r="A31" s="30" t="s">
        <v>59</v>
      </c>
      <c r="F31" s="30">
        <f>F28/$G$2</f>
        <v>1.5512356443086239</v>
      </c>
      <c r="G31" s="30">
        <f>G28/$G$2</f>
        <v>2.2438686913537045</v>
      </c>
      <c r="H31" s="30">
        <f>H28/$G$2</f>
        <v>1.2714682844441156</v>
      </c>
      <c r="I31" s="30">
        <f>I28/$G$2</f>
        <v>1.0251902938872219</v>
      </c>
    </row>
    <row r="33" spans="1:6" x14ac:dyDescent="0.2">
      <c r="A33" s="45" t="s">
        <v>741</v>
      </c>
      <c r="C33" s="30">
        <v>1</v>
      </c>
      <c r="D33" s="30">
        <v>1</v>
      </c>
    </row>
    <row r="34" spans="1:6" x14ac:dyDescent="0.2">
      <c r="A34" s="30" t="s">
        <v>215</v>
      </c>
      <c r="C34" s="30">
        <v>1409.117</v>
      </c>
      <c r="D34" s="30">
        <v>657.91</v>
      </c>
      <c r="E34" s="30">
        <v>1782.9490000000001</v>
      </c>
      <c r="F34" s="30">
        <v>910.15599999999995</v>
      </c>
    </row>
    <row r="35" spans="1:6" x14ac:dyDescent="0.2">
      <c r="A35" s="30" t="s">
        <v>62</v>
      </c>
      <c r="C35" s="30">
        <f>C34-$B$7</f>
        <v>1187.076</v>
      </c>
      <c r="D35" s="30">
        <f>D34-$B$7</f>
        <v>435.86899999999997</v>
      </c>
      <c r="E35" s="30">
        <f>E34-$B$7</f>
        <v>1560.9080000000001</v>
      </c>
      <c r="F35" s="30">
        <f>F34-$B$7</f>
        <v>688.11500000000001</v>
      </c>
    </row>
    <row r="36" spans="1:6" x14ac:dyDescent="0.2">
      <c r="A36" s="30" t="s">
        <v>214</v>
      </c>
      <c r="C36" s="30">
        <v>5.8049999999999997</v>
      </c>
      <c r="D36" s="30">
        <v>2.3250000000000002</v>
      </c>
      <c r="E36" s="30">
        <v>5.48</v>
      </c>
      <c r="F36" s="30">
        <v>3.2320000000000002</v>
      </c>
    </row>
    <row r="37" spans="1:6" x14ac:dyDescent="0.2">
      <c r="A37" s="30" t="s">
        <v>60</v>
      </c>
      <c r="C37" s="30">
        <f>SQRT((16+(C36^2)))</f>
        <v>7.0496826169693625</v>
      </c>
      <c r="D37" s="30">
        <f>SQRT((16+(D36^2)))</f>
        <v>4.6266213374340461</v>
      </c>
      <c r="E37" s="30">
        <f>SQRT((16+(E36^2)))</f>
        <v>6.7845707307094969</v>
      </c>
      <c r="F37" s="30">
        <f>SQRT((16+(F36^2)))</f>
        <v>5.1425503400550197</v>
      </c>
    </row>
    <row r="38" spans="1:6" x14ac:dyDescent="0.2">
      <c r="A38" s="30" t="s">
        <v>59</v>
      </c>
      <c r="E38" s="30">
        <f>E35/$G$2</f>
        <v>1.435817959931051</v>
      </c>
      <c r="F38" s="30">
        <f>F35/$G$2</f>
        <v>0.6329699607523025</v>
      </c>
    </row>
    <row r="40" spans="1:6" x14ac:dyDescent="0.2">
      <c r="A40" s="45" t="s">
        <v>754</v>
      </c>
      <c r="C40" s="30">
        <v>1</v>
      </c>
      <c r="D40" s="30">
        <v>1</v>
      </c>
    </row>
    <row r="41" spans="1:6" x14ac:dyDescent="0.2">
      <c r="A41" s="30" t="s">
        <v>215</v>
      </c>
      <c r="C41" s="30">
        <v>611.18399999999997</v>
      </c>
      <c r="D41" s="30">
        <v>557.27</v>
      </c>
    </row>
    <row r="42" spans="1:6" x14ac:dyDescent="0.2">
      <c r="A42" s="30" t="s">
        <v>62</v>
      </c>
      <c r="C42" s="30">
        <f>C41-$B$7</f>
        <v>389.14299999999997</v>
      </c>
      <c r="D42" s="30">
        <f>D41-$B$7</f>
        <v>335.22899999999998</v>
      </c>
    </row>
    <row r="43" spans="1:6" x14ac:dyDescent="0.2">
      <c r="A43" s="30" t="s">
        <v>214</v>
      </c>
      <c r="C43" s="30">
        <v>5.97</v>
      </c>
      <c r="D43" s="30">
        <v>6.415</v>
      </c>
    </row>
    <row r="44" spans="1:6" x14ac:dyDescent="0.2">
      <c r="A44" s="30" t="s">
        <v>60</v>
      </c>
      <c r="C44" s="30">
        <f>SQRT((36+(C43^2)))</f>
        <v>8.464094753722927</v>
      </c>
      <c r="D44" s="30">
        <f>SQRT((36+(D43^2)))</f>
        <v>8.7836339290751404</v>
      </c>
    </row>
    <row r="45" spans="1:6" x14ac:dyDescent="0.2">
      <c r="A45" s="30" t="s">
        <v>59</v>
      </c>
    </row>
    <row r="47" spans="1:6" x14ac:dyDescent="0.2">
      <c r="A47" s="45" t="s">
        <v>753</v>
      </c>
      <c r="C47" s="30">
        <v>1</v>
      </c>
      <c r="D47" s="30">
        <v>1</v>
      </c>
    </row>
    <row r="48" spans="1:6" x14ac:dyDescent="0.2">
      <c r="A48" s="30" t="s">
        <v>215</v>
      </c>
      <c r="C48" s="30">
        <v>732.92200000000003</v>
      </c>
      <c r="D48" s="30">
        <v>711.02700000000004</v>
      </c>
    </row>
    <row r="49" spans="1:14" x14ac:dyDescent="0.2">
      <c r="A49" s="30" t="s">
        <v>62</v>
      </c>
      <c r="C49" s="30">
        <f>C48-$B$7</f>
        <v>510.88100000000003</v>
      </c>
      <c r="D49" s="30">
        <f>D48-$B$7</f>
        <v>488.98600000000005</v>
      </c>
    </row>
    <row r="50" spans="1:14" x14ac:dyDescent="0.2">
      <c r="A50" s="30" t="s">
        <v>214</v>
      </c>
      <c r="C50" s="30">
        <v>5.5759999999999996</v>
      </c>
      <c r="D50" s="30">
        <v>5.5049999999999999</v>
      </c>
    </row>
    <row r="51" spans="1:14" x14ac:dyDescent="0.2">
      <c r="A51" s="30" t="s">
        <v>60</v>
      </c>
      <c r="C51" s="30">
        <f>SQRT((100+(C50^2)))</f>
        <v>11.449531693479868</v>
      </c>
      <c r="D51" s="30">
        <f>SQRT((100+(D50^2)))</f>
        <v>11.415122644982839</v>
      </c>
    </row>
    <row r="52" spans="1:14" x14ac:dyDescent="0.2">
      <c r="A52" s="30" t="s">
        <v>59</v>
      </c>
    </row>
    <row r="54" spans="1:14" x14ac:dyDescent="0.2">
      <c r="A54" s="45" t="s">
        <v>739</v>
      </c>
      <c r="C54" s="30">
        <v>1</v>
      </c>
      <c r="D54" s="30">
        <v>1</v>
      </c>
      <c r="E54" s="30">
        <v>1</v>
      </c>
      <c r="F54" s="30">
        <v>1</v>
      </c>
      <c r="G54" s="30">
        <v>1</v>
      </c>
      <c r="H54" s="30">
        <v>1</v>
      </c>
    </row>
    <row r="55" spans="1:14" x14ac:dyDescent="0.2">
      <c r="A55" s="30" t="s">
        <v>215</v>
      </c>
      <c r="C55" s="30">
        <v>1648.8320000000001</v>
      </c>
      <c r="D55" s="30">
        <v>992.30899999999997</v>
      </c>
      <c r="E55" s="30">
        <v>1231.902</v>
      </c>
      <c r="F55" s="30">
        <v>1247.6679999999999</v>
      </c>
      <c r="G55" s="30">
        <v>2250.1170000000002</v>
      </c>
      <c r="H55" s="30">
        <v>1167.1679999999999</v>
      </c>
      <c r="I55" s="30">
        <v>2118.3319999999999</v>
      </c>
      <c r="J55" s="30">
        <v>2203.5160000000001</v>
      </c>
      <c r="K55" s="30">
        <v>2691.8090000000002</v>
      </c>
      <c r="L55" s="30">
        <v>4934.0739999999996</v>
      </c>
      <c r="M55" s="30">
        <v>2640.6480000000001</v>
      </c>
      <c r="N55" s="30">
        <v>2569.9650000000001</v>
      </c>
    </row>
    <row r="56" spans="1:14" x14ac:dyDescent="0.2">
      <c r="A56" s="30" t="s">
        <v>62</v>
      </c>
      <c r="C56" s="30">
        <f t="shared" ref="C56:N56" si="10">C55-$B$7</f>
        <v>1426.7910000000002</v>
      </c>
      <c r="D56" s="30">
        <f t="shared" si="10"/>
        <v>770.26800000000003</v>
      </c>
      <c r="E56" s="30">
        <f t="shared" si="10"/>
        <v>1009.8610000000001</v>
      </c>
      <c r="F56" s="30">
        <f t="shared" si="10"/>
        <v>1025.627</v>
      </c>
      <c r="G56" s="30">
        <f t="shared" si="10"/>
        <v>2028.0760000000002</v>
      </c>
      <c r="H56" s="30">
        <f t="shared" si="10"/>
        <v>945.12699999999995</v>
      </c>
      <c r="I56" s="30">
        <f t="shared" si="10"/>
        <v>1896.2909999999999</v>
      </c>
      <c r="J56" s="30">
        <f t="shared" si="10"/>
        <v>1981.4750000000001</v>
      </c>
      <c r="K56" s="30">
        <f t="shared" si="10"/>
        <v>2469.768</v>
      </c>
      <c r="L56" s="30">
        <f t="shared" si="10"/>
        <v>4712.0329999999994</v>
      </c>
      <c r="M56" s="30">
        <f t="shared" si="10"/>
        <v>2418.607</v>
      </c>
      <c r="N56" s="30">
        <f t="shared" si="10"/>
        <v>2347.924</v>
      </c>
    </row>
    <row r="57" spans="1:14" x14ac:dyDescent="0.2">
      <c r="A57" s="30" t="s">
        <v>214</v>
      </c>
      <c r="C57" s="30">
        <v>1.5640000000000001</v>
      </c>
      <c r="D57" s="30">
        <v>0.96599999999999997</v>
      </c>
      <c r="E57" s="30">
        <v>1.365</v>
      </c>
      <c r="F57" s="30">
        <v>2.7909999999999999</v>
      </c>
      <c r="G57" s="30">
        <v>3.0680000000000001</v>
      </c>
      <c r="H57" s="30">
        <v>2.9620000000000002</v>
      </c>
      <c r="I57" s="30">
        <v>2.3119999999999998</v>
      </c>
      <c r="J57" s="30">
        <v>1.444</v>
      </c>
      <c r="K57" s="30">
        <v>2.1469999999999998</v>
      </c>
      <c r="L57" s="30">
        <v>2.2599999999999998</v>
      </c>
      <c r="M57" s="30">
        <v>2.9039999999999999</v>
      </c>
      <c r="N57" s="30">
        <v>2.2669999999999999</v>
      </c>
    </row>
    <row r="58" spans="1:14" x14ac:dyDescent="0.2">
      <c r="A58" s="30" t="s">
        <v>60</v>
      </c>
      <c r="C58" s="30">
        <f t="shared" ref="C58:N58" si="11">SQRT((1+(C57^2)))</f>
        <v>1.856366343155359</v>
      </c>
      <c r="D58" s="30">
        <f t="shared" si="11"/>
        <v>1.390379804226169</v>
      </c>
      <c r="E58" s="30">
        <f t="shared" si="11"/>
        <v>1.6921066751242368</v>
      </c>
      <c r="F58" s="30">
        <f t="shared" si="11"/>
        <v>2.9647396175718366</v>
      </c>
      <c r="G58" s="30">
        <f t="shared" si="11"/>
        <v>3.2268597738358573</v>
      </c>
      <c r="H58" s="30">
        <f t="shared" si="11"/>
        <v>3.1262507896840268</v>
      </c>
      <c r="I58" s="30">
        <f t="shared" si="11"/>
        <v>2.5189966256428371</v>
      </c>
      <c r="J58" s="30">
        <f t="shared" si="11"/>
        <v>1.7564555217824334</v>
      </c>
      <c r="K58" s="30">
        <f t="shared" si="11"/>
        <v>2.3684613148624569</v>
      </c>
      <c r="L58" s="30">
        <f t="shared" si="11"/>
        <v>2.4713559031430496</v>
      </c>
      <c r="M58" s="30">
        <f t="shared" si="11"/>
        <v>3.0713540987649077</v>
      </c>
      <c r="N58" s="30">
        <f t="shared" si="11"/>
        <v>2.4777588663951944</v>
      </c>
    </row>
    <row r="59" spans="1:14" x14ac:dyDescent="0.2">
      <c r="A59" s="30" t="s">
        <v>59</v>
      </c>
      <c r="I59" s="30">
        <f t="shared" ref="I59:N59" si="12">I56/$G$2</f>
        <v>1.7443236084737936</v>
      </c>
      <c r="J59" s="30">
        <f t="shared" si="12"/>
        <v>1.8226810242207607</v>
      </c>
      <c r="K59" s="30">
        <f t="shared" si="12"/>
        <v>2.2718425757719172</v>
      </c>
      <c r="L59" s="30">
        <f t="shared" si="12"/>
        <v>4.3344140776956674</v>
      </c>
      <c r="M59" s="30">
        <f t="shared" si="12"/>
        <v>2.2247815813712011</v>
      </c>
      <c r="N59" s="30">
        <f t="shared" si="12"/>
        <v>2.1597630659546576</v>
      </c>
    </row>
    <row r="61" spans="1:14" x14ac:dyDescent="0.2">
      <c r="A61" s="45" t="s">
        <v>752</v>
      </c>
    </row>
    <row r="62" spans="1:14" x14ac:dyDescent="0.2">
      <c r="A62" s="30" t="s">
        <v>215</v>
      </c>
      <c r="C62" s="30">
        <v>1396.039</v>
      </c>
      <c r="D62" s="30">
        <v>1170.9770000000001</v>
      </c>
      <c r="E62" s="30">
        <v>1273.4179999999999</v>
      </c>
      <c r="F62" s="30">
        <v>1585.172</v>
      </c>
      <c r="G62" s="30">
        <v>1344.8979999999999</v>
      </c>
    </row>
    <row r="63" spans="1:14" x14ac:dyDescent="0.2">
      <c r="A63" s="30" t="s">
        <v>62</v>
      </c>
      <c r="C63" s="30">
        <f>C62-$B$7</f>
        <v>1173.998</v>
      </c>
      <c r="D63" s="30">
        <f>D62-$B$7</f>
        <v>948.93600000000015</v>
      </c>
      <c r="E63" s="30">
        <f>E62-$B$7</f>
        <v>1051.377</v>
      </c>
      <c r="F63" s="30">
        <f>F62-$B$7</f>
        <v>1363.1310000000001</v>
      </c>
      <c r="G63" s="30">
        <f>G62-$B$7</f>
        <v>1122.857</v>
      </c>
    </row>
    <row r="64" spans="1:14" x14ac:dyDescent="0.2">
      <c r="A64" s="30" t="s">
        <v>214</v>
      </c>
      <c r="C64" s="30">
        <v>2.2480000000000002</v>
      </c>
      <c r="D64" s="30">
        <v>1.3879999999999999</v>
      </c>
      <c r="E64" s="30">
        <v>1.627</v>
      </c>
      <c r="F64" s="30">
        <v>2.1869999999999998</v>
      </c>
      <c r="G64" s="30">
        <v>2.5099999999999998</v>
      </c>
    </row>
    <row r="65" spans="1:7" x14ac:dyDescent="0.2">
      <c r="A65" s="30" t="s">
        <v>60</v>
      </c>
      <c r="C65" s="30">
        <f>SQRT((4+(C64^2)))</f>
        <v>3.0089041194428248</v>
      </c>
      <c r="D65" s="30">
        <f>SQRT((4+(D64^2)))</f>
        <v>2.4344494244079091</v>
      </c>
      <c r="E65" s="30">
        <f>SQRT((4+(E64^2)))</f>
        <v>2.5782026685270498</v>
      </c>
      <c r="F65" s="30">
        <f>SQRT((4+(F64^2)))</f>
        <v>2.9636074301432029</v>
      </c>
      <c r="G65" s="30">
        <f>SQRT((4+(G64^2)))</f>
        <v>3.2093768865622496</v>
      </c>
    </row>
    <row r="66" spans="1:7" x14ac:dyDescent="0.2">
      <c r="A66" s="30" t="s">
        <v>59</v>
      </c>
      <c r="C66" s="30">
        <f>C63/$G$2</f>
        <v>1.0799146479633226</v>
      </c>
      <c r="D66" s="30">
        <f>D63/$G$2</f>
        <v>0.8728889541376762</v>
      </c>
      <c r="E66" s="30">
        <f>E63/$G$2</f>
        <v>0.96712040636503138</v>
      </c>
      <c r="F66" s="30">
        <f>F63/$G$2</f>
        <v>1.2538906659064937</v>
      </c>
      <c r="G66" s="30">
        <f>G63/$G$2</f>
        <v>1.0328720507770477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114</vt:i4>
      </vt:variant>
    </vt:vector>
  </HeadingPairs>
  <TitlesOfParts>
    <vt:vector size="114" baseType="lpstr">
      <vt:lpstr>ctrl rnai N2 1_4</vt:lpstr>
      <vt:lpstr>ctrl rnai N2 1_7</vt:lpstr>
      <vt:lpstr>ctrl rnai N2 1_10</vt:lpstr>
      <vt:lpstr>ctrl rnai N2 1_15</vt:lpstr>
      <vt:lpstr>ctrl rnai N2 1_16</vt:lpstr>
      <vt:lpstr>ctrl rnai N2 4_2</vt:lpstr>
      <vt:lpstr>ctrl rnai N2 5_9</vt:lpstr>
      <vt:lpstr>ctrl rnai N2 4_8</vt:lpstr>
      <vt:lpstr>ctrl rnai N2 4_1</vt:lpstr>
      <vt:lpstr>ctrl rnai N2 1_5</vt:lpstr>
      <vt:lpstr>atx-2 rnai N2 1_7</vt:lpstr>
      <vt:lpstr>atx-2 rnai N2 1_17</vt:lpstr>
      <vt:lpstr>atx-2 rnai N2 1_18</vt:lpstr>
      <vt:lpstr>atx-2 rnai N2 1_22</vt:lpstr>
      <vt:lpstr>atx-2 rnai N2 1_20 </vt:lpstr>
      <vt:lpstr>atx-2 rnai N2 1_10</vt:lpstr>
      <vt:lpstr>atx-2 rnai N2 1_1</vt:lpstr>
      <vt:lpstr>atx-2 rnai N2 1_8</vt:lpstr>
      <vt:lpstr>atx-2 rnai N2 1_9</vt:lpstr>
      <vt:lpstr>atx-2 rnai N2 1_3</vt:lpstr>
      <vt:lpstr>ctrl rnai fm638 4_14</vt:lpstr>
      <vt:lpstr>ctrl rnai fm638 4_2</vt:lpstr>
      <vt:lpstr>ctrl rnai fm638 5_24</vt:lpstr>
      <vt:lpstr>ctrl rnai fm638 4_15</vt:lpstr>
      <vt:lpstr>ctrl rnai fm638 4_18</vt:lpstr>
      <vt:lpstr>ctrl rnai fm638 5_1</vt:lpstr>
      <vt:lpstr>ctrl rnai fm638 5_33</vt:lpstr>
      <vt:lpstr>ctrl rnai fm638 5_37</vt:lpstr>
      <vt:lpstr>ctrl rnai fm638 5_2</vt:lpstr>
      <vt:lpstr>atx-2 rnai fm638 1_1</vt:lpstr>
      <vt:lpstr>atx-2 rnai fm638 2_18</vt:lpstr>
      <vt:lpstr>atx-2 rnai fm638 2_21</vt:lpstr>
      <vt:lpstr>atx-2 rnai fm638 2_17</vt:lpstr>
      <vt:lpstr>atx-2 rnai fm638 2_15</vt:lpstr>
      <vt:lpstr>atx-2 rnai fm638 2_3</vt:lpstr>
      <vt:lpstr>atx-2 rnai in fm638 1_9</vt:lpstr>
      <vt:lpstr>atx-2 rnai fm638 1_7</vt:lpstr>
      <vt:lpstr>atx-2 rnai fm638 3_9</vt:lpstr>
      <vt:lpstr>atx-2 rnai fm638 2_11</vt:lpstr>
      <vt:lpstr>No aux young 956 5_11</vt:lpstr>
      <vt:lpstr>no aux yg fm956 4_6</vt:lpstr>
      <vt:lpstr>No aux young 956 5_12</vt:lpstr>
      <vt:lpstr>no aux yg fm956 4_9</vt:lpstr>
      <vt:lpstr>No aux yg fm956 5_2</vt:lpstr>
      <vt:lpstr>no aux yg fm956 5_8</vt:lpstr>
      <vt:lpstr>No aux young 956 2_1</vt:lpstr>
      <vt:lpstr>no aux yg fm956 4_3</vt:lpstr>
      <vt:lpstr>no aux yg fm956 4_4</vt:lpstr>
      <vt:lpstr>No aux young 956 3_1</vt:lpstr>
      <vt:lpstr>1hr aux yg fm956 1_7</vt:lpstr>
      <vt:lpstr>1hr aux yg fm956 2_12</vt:lpstr>
      <vt:lpstr>1hr aux yg fm956 2_13</vt:lpstr>
      <vt:lpstr>1hr aux yg fm956 2_4</vt:lpstr>
      <vt:lpstr>1hr aux yg fm956 2_1</vt:lpstr>
      <vt:lpstr>1hr aux yg fm956 1_15</vt:lpstr>
      <vt:lpstr>1hr aux yg fm956 1_11</vt:lpstr>
      <vt:lpstr>1hr auxin yg fm956 2_5</vt:lpstr>
      <vt:lpstr>1 hr auxin yg fm956 2_6</vt:lpstr>
      <vt:lpstr>1 hr aux yg fm956 2_8</vt:lpstr>
      <vt:lpstr>1 hr aux yg fm956 2_10</vt:lpstr>
      <vt:lpstr>1 hr aux yg fm956 3_1</vt:lpstr>
      <vt:lpstr>1 hr aux yg fm956 3_2</vt:lpstr>
      <vt:lpstr>1 hr aux yg fm956 3_6</vt:lpstr>
      <vt:lpstr>1hr aux yg fm956 3_7</vt:lpstr>
      <vt:lpstr>gfp rnai in fm956 1_5</vt:lpstr>
      <vt:lpstr>gfp rnai in fm956 1_2</vt:lpstr>
      <vt:lpstr>gfp rnai in fm956 1_8</vt:lpstr>
      <vt:lpstr>gfp rnai in fm956 2_5</vt:lpstr>
      <vt:lpstr>gfp rnai in fm956 4_5</vt:lpstr>
      <vt:lpstr>gfp rnai in fm956 4_11</vt:lpstr>
      <vt:lpstr>gfp rnai in fm956 4_12</vt:lpstr>
      <vt:lpstr>gfp rnai in fm956 4_14</vt:lpstr>
      <vt:lpstr>gfp rnai in fm956 5_6</vt:lpstr>
      <vt:lpstr>gfp rnai in fm956 1_12</vt:lpstr>
      <vt:lpstr>gfp rnai in fm638 1_4</vt:lpstr>
      <vt:lpstr>gfp rnai in fm638 2_11</vt:lpstr>
      <vt:lpstr>gfp rnai in fm638 3_1</vt:lpstr>
      <vt:lpstr>gfp rnai in fm638 2_1</vt:lpstr>
      <vt:lpstr>gfp rnai in fm638 1_14</vt:lpstr>
      <vt:lpstr>gfp rnai in fm638 2_4</vt:lpstr>
      <vt:lpstr>gfp rnai in fm638 1_9</vt:lpstr>
      <vt:lpstr>gfp rnai in fm638 2_5</vt:lpstr>
      <vt:lpstr>gfp rnai in fm638 2_10</vt:lpstr>
      <vt:lpstr>gfp rnai in fm638 1_1</vt:lpstr>
      <vt:lpstr>control rnai in fm956 5_5</vt:lpstr>
      <vt:lpstr>control rnai in fm956 4_14</vt:lpstr>
      <vt:lpstr>control rnai in fm956 4_10</vt:lpstr>
      <vt:lpstr>Control rnai in fm956 5_7</vt:lpstr>
      <vt:lpstr>Control rnai in fm956 4_24</vt:lpstr>
      <vt:lpstr>Control rnai in fm956 4_23</vt:lpstr>
      <vt:lpstr>Control rnai in fm956 4_27</vt:lpstr>
      <vt:lpstr>control rnai in fm956 5_8</vt:lpstr>
      <vt:lpstr>Control rnai in fm956 5_15</vt:lpstr>
      <vt:lpstr>Control rnai in fm956 4_6</vt:lpstr>
      <vt:lpstr>ctrl rnai old worms fm956 5_6</vt:lpstr>
      <vt:lpstr>ctrl rnai old worms fm956 4_19</vt:lpstr>
      <vt:lpstr>ctrl rnai old worms fm956 4_2</vt:lpstr>
      <vt:lpstr>ctrl rnai old worms fm956 4_6_ </vt:lpstr>
      <vt:lpstr>ctrl rnai old worms fm956 4_6</vt:lpstr>
      <vt:lpstr>ctrl rnai old worms fm956  4_5_</vt:lpstr>
      <vt:lpstr>ctrl rnai old worms fm956 4_8</vt:lpstr>
      <vt:lpstr>ctrl rnai old worms fm956 4_14</vt:lpstr>
      <vt:lpstr>ctrl rnai old worms fm956 4_20</vt:lpstr>
      <vt:lpstr>ctrl rnai old worms fm956 5_5</vt:lpstr>
      <vt:lpstr>klp-7 rnai fm956 2_23</vt:lpstr>
      <vt:lpstr>klp-7 rnai fm956 1_5</vt:lpstr>
      <vt:lpstr>klp-7 rnai fm956 1_3</vt:lpstr>
      <vt:lpstr>klp-7 rnai fm956 1_11</vt:lpstr>
      <vt:lpstr>klp-7 rnai fm956 2_11</vt:lpstr>
      <vt:lpstr>klp-7 rnai fm956 1_28</vt:lpstr>
      <vt:lpstr>klp-7 rnai fm956 1_20</vt:lpstr>
      <vt:lpstr>klp-7 rnai fm956 2_14</vt:lpstr>
      <vt:lpstr>klp-7 rnai fm956 2_18</vt:lpstr>
      <vt:lpstr>klp-7 rnai fm956 3_8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meghana magadum</dc:creator>
  <cp:lastModifiedBy>Microsoft Office User</cp:lastModifiedBy>
  <dcterms:created xsi:type="dcterms:W3CDTF">2015-06-05T18:17:20Z</dcterms:created>
  <dcterms:modified xsi:type="dcterms:W3CDTF">2024-03-07T23:26:46Z</dcterms:modified>
</cp:coreProperties>
</file>